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66925"/>
  <mc:AlternateContent xmlns:mc="http://schemas.openxmlformats.org/markup-compatibility/2006">
    <mc:Choice Requires="x15">
      <x15ac:absPath xmlns:x15ac="http://schemas.microsoft.com/office/spreadsheetml/2010/11/ac" url="C:\Users\mary\Desktop\SIGDesktop\Resource Center\Resources Added\2020\"/>
    </mc:Choice>
  </mc:AlternateContent>
  <xr:revisionPtr revIDLastSave="0" documentId="8_{4D3B8ADB-415C-4702-AD56-6F4944DEBA29}" xr6:coauthVersionLast="44" xr6:coauthVersionMax="44" xr10:uidLastSave="{00000000-0000-0000-0000-000000000000}"/>
  <workbookProtection workbookAlgorithmName="SHA-512" workbookHashValue="aHChvUdHxlOhldCdFSh3LZhzgaG/pS6U2m9IPggy92lsAUpYa1izth/KiTVt5TV0YLV8val9GPciT5LOL5olrg==" workbookSaltValue="nQb6RYDJoEaSt2AT3cz6Vg==" workbookSpinCount="100000" lockStructure="1"/>
  <bookViews>
    <workbookView xWindow="-90" yWindow="-90" windowWidth="19380" windowHeight="10380" tabRatio="770" xr2:uid="{00000000-000D-0000-FFFF-FFFF00000000}"/>
  </bookViews>
  <sheets>
    <sheet name="DISCLAIMER" sheetId="90" r:id="rId1"/>
    <sheet name="Tool Overview" sheetId="113" r:id="rId2"/>
    <sheet name="lists" sheetId="70" state="hidden" r:id="rId3"/>
    <sheet name="Staffing from HRH tool" sheetId="107" state="hidden" r:id="rId4"/>
    <sheet name="Inputs" sheetId="93" r:id="rId5"/>
    <sheet name="User Dashboard" sheetId="48" r:id="rId6"/>
    <sheet name="Equipment List &amp; Usage" sheetId="45" r:id="rId7"/>
    <sheet name="SUMMARY TABS -&gt;" sheetId="30" r:id="rId8"/>
    <sheet name="Diagnostics Module" sheetId="97" state="hidden" r:id="rId9"/>
    <sheet name="HCW &amp; Staff" sheetId="62" r:id="rId10"/>
    <sheet name="Patients" sheetId="47" r:id="rId11"/>
    <sheet name="Patient Calcs -&gt; " sheetId="96" r:id="rId12"/>
    <sheet name="Patient Calcs" sheetId="76" r:id="rId13"/>
    <sheet name="SIR Model Patient Calcs" sheetId="99" r:id="rId14"/>
    <sheet name="REFERENCE DATA -&gt;" sheetId="31" r:id="rId15"/>
    <sheet name="HCW + Staff Summary" sheetId="84" r:id="rId16"/>
    <sheet name="WHO GHO Data" sheetId="104" r:id="rId17"/>
    <sheet name="WB HCW &amp; Beds" sheetId="88" r:id="rId18"/>
    <sheet name="WB Population Data" sheetId="50" r:id="rId19"/>
    <sheet name="Back Calculations" sheetId="63" r:id="rId20"/>
    <sheet name="Daily Contacts by Country" sheetId="103" state="hidden" r:id="rId21"/>
  </sheets>
  <externalReferences>
    <externalReference r:id="rId22"/>
  </externalReferences>
  <definedNames>
    <definedName name="_xlnm._FilterDatabase" localSheetId="8" hidden="1">'Diagnostics Module'!$B$19:$J$239</definedName>
    <definedName name="_xlnm._FilterDatabase" localSheetId="6" hidden="1">'Equipment List &amp; Usage'!$B$14:$G$104</definedName>
    <definedName name="_xlnm._FilterDatabase" localSheetId="15" hidden="1">'HCW + Staff Summary'!$B$6:$S$276</definedName>
    <definedName name="_xlnm._FilterDatabase" localSheetId="5" hidden="1">'User Dashboard'!$B$150:$G$174</definedName>
    <definedName name="_xlnm._FilterDatabase" localSheetId="16" hidden="1">'WHO GHO Data'!$R$7:$T$201</definedName>
    <definedName name="_Key1" localSheetId="4" hidden="1">#REF!</definedName>
    <definedName name="_Key1" localSheetId="1" hidden="1">#REF!</definedName>
    <definedName name="_Key1" hidden="1">#REF!</definedName>
    <definedName name="_Order1" hidden="1">255</definedName>
    <definedName name="_Sort" localSheetId="4" hidden="1">#REF!</definedName>
    <definedName name="_Sort" localSheetId="1" hidden="1">#REF!</definedName>
    <definedName name="_Sort" hidden="1">#REF!</definedName>
    <definedName name="Ambulanciers_per_bed">Inputs!$I$74</definedName>
    <definedName name="Attack_rate_modelled">'User Dashboard'!$C$13</definedName>
    <definedName name="AttackRate">'Back Calculations'!$C$107</definedName>
    <definedName name="BedStay_Critical">Inputs!$I$50</definedName>
    <definedName name="BedStay_Severe">Inputs!$I$49</definedName>
    <definedName name="BiomedEngineers_per_bed">Inputs!$I$75</definedName>
    <definedName name="Caretaker_to_outpatient">Inputs!$I$83</definedName>
    <definedName name="Caretakers_per_bed">Inputs!$I$82</definedName>
    <definedName name="chart_axis">OFFSET('User Dashboard'!$L$84,,,,COUNTA('User Dashboard'!$L$84:$BK$84)-COUNTBLANK('User Dashboard'!$L$84:$BK$84))</definedName>
    <definedName name="chart_CHW">OFFSET('User Dashboard'!$L$86,,,,COUNTA('User Dashboard'!$L$86:$BK$86)-COUNTBLANK('User Dashboard'!$L$86:$BK$86))</definedName>
    <definedName name="Chart_Critical_cap">OFFSET('User Dashboard'!$L$53,,,,COUNTA('User Dashboard'!$L$53:$BK$53)-COUNTBLANK('User Dashboard'!$L$53:$BK$53))</definedName>
    <definedName name="Chart_criticals">OFFSET('User Dashboard'!$L$33,,,,COUNTA('User Dashboard'!$L$33:$BK$33)-COUNTBLANK('User Dashboard'!$L$33:$BK$33))</definedName>
    <definedName name="Chart_ICU_beds">OFFSET('User Dashboard'!$L$50,,,,COUNTA('User Dashboard'!$L$50:$BK$50)-COUNTBLANK('User Dashboard'!$L$50:$BK$50))</definedName>
    <definedName name="chart_inpatient_hcw">OFFSET('User Dashboard'!$L$85,,,,COUNTA('User Dashboard'!$L$85:$BK$85)-COUNTBLANK('User Dashboard'!$L$85:$BK$85))</definedName>
    <definedName name="Chart_milds">OFFSET('User Dashboard'!$L$30,,,,COUNTA('User Dashboard'!$L$30:$BK$30)-COUNTBLANK('User Dashboard'!$L$30:$BK$30))</definedName>
    <definedName name="chart_moderates">OFFSET('User Dashboard'!$L$31,,,,COUNTA('User Dashboard'!$L$31:$BK$31)-COUNTBLANK('User Dashboard'!$L$31:$BK$31))</definedName>
    <definedName name="chart_outpatient_hcw">OFFSET('User Dashboard'!$L$87,,,,COUNTA('User Dashboard'!$L$87:$BK$87)-COUNTBLANK('User Dashboard'!$L$87:$BK$87))</definedName>
    <definedName name="Chart_severe_beds">OFFSET('User Dashboard'!$L$51,,,,COUNTA('User Dashboard'!$L$51:$BK$51)-COUNTBLANK('User Dashboard'!$L$51:$BK$51))</definedName>
    <definedName name="Chart_severe_cap">OFFSET('User Dashboard'!$L$52,,,,COUNTA('User Dashboard'!$L$52:$BK$52)-COUNTBLANK('User Dashboard'!$L$52:$BK$52))</definedName>
    <definedName name="Chart_severes">OFFSET('User Dashboard'!$L$32,,,,COUNTA('User Dashboard'!$L$32:$BK$32)-COUNTBLANK('User Dashboard'!$L$32:$BK$32))</definedName>
    <definedName name="CritcalCasePercentage">Inputs!$I$44</definedName>
    <definedName name="CriticalCasePercentage">Inputs!$I$44</definedName>
    <definedName name="Current_known_cases">Inputs!$C$30</definedName>
    <definedName name="daychart_axis">OFFSET('SIR Model Patient Calcs'!$A$7,,,COUNTA('SIR Model Patient Calcs'!$A$7:$A$372)-COUNTBLANK('SIR Model Patient Calcs'!$A$7:$A$372),)</definedName>
    <definedName name="daychart_cases">OFFSET('SIR Model Patient Calcs'!$L$7,,,COUNTA('SIR Model Patient Calcs'!$A$7:$A$372)-COUNTBLANK('SIR Model Patient Calcs'!$A$7:$A$372),)</definedName>
    <definedName name="Doubling_rate_modelled">'User Dashboard'!$C$14</definedName>
    <definedName name="Fast_doubling_rate">'Back Calculations'!$C$92</definedName>
    <definedName name="HCW_per_lab">Inputs!$I$170</definedName>
    <definedName name="HCWs_per_bed">Inputs!$I$72</definedName>
    <definedName name="Hygienists_per_bed">Inputs!$I$73</definedName>
    <definedName name="Hygienists_per_lab">Inputs!$I$171</definedName>
    <definedName name="IP_HCW" localSheetId="4">OFFSET(User [1]Dashboard!$A$2,0,0,COUNTA(User [1]Dashboard!$A:$A))</definedName>
    <definedName name="LinkToSIR">'Patient Calcs'!$E$129</definedName>
    <definedName name="LU_StaffCategory">'Staffing from HRH tool'!$B$10:$L$35</definedName>
    <definedName name="Max_caretakers_per_week_for_outpatients">'HCW &amp; Staff'!$BH$39</definedName>
    <definedName name="Max_critical_beds_for_period">Patients!$BF$48</definedName>
    <definedName name="Max_critical_capped_beds">'HCW &amp; Staff'!$BH$19</definedName>
    <definedName name="Max_HCW_for_outpatient">'HCW &amp; Staff'!$BH$43</definedName>
    <definedName name="Max_hospitals_operating">Patients!$BH$53</definedName>
    <definedName name="Max_inpatient_ambulancier">'HCW &amp; Staff'!$BH$25</definedName>
    <definedName name="Max_inpatient_caretaker">'HCW &amp; Staff'!$BH$24</definedName>
    <definedName name="Max_inpatient_HCWs">'HCW &amp; Staff'!$BH$22</definedName>
    <definedName name="Max_inpatient_hygienist">'HCW &amp; Staff'!$BH$23</definedName>
    <definedName name="Max_Lab_HCWs">'HCW &amp; Staff'!$BH$48</definedName>
    <definedName name="Max_Lab_hygienists">'HCW &amp; Staff'!$BH$49</definedName>
    <definedName name="Max_outpatients_diagnosed_per_week">'HCW &amp; Staff'!$BH$37</definedName>
    <definedName name="Max_severe_beds_for_period">Patients!$BF$47</definedName>
    <definedName name="Max_severe_capped_beds">'HCW &amp; Staff'!$BH$18</definedName>
    <definedName name="Max_total_capped_beds">'HCW &amp; Staff'!$BH$20</definedName>
    <definedName name="MaxTestsPerDay">Inputs!$I$151</definedName>
    <definedName name="Medium_doubling_rate">'Back Calculations'!$C$91</definedName>
    <definedName name="Mild_testing_percentage">'User Dashboard'!$H$17</definedName>
    <definedName name="Mild_testing_strategy">'User Dashboard'!$H$16</definedName>
    <definedName name="MildCasePercentage">Inputs!$I$41</definedName>
    <definedName name="ModerateCasePercentage">Inputs!$I$42</definedName>
    <definedName name="NumberOfBeds_per_centre">Inputs!$I$105</definedName>
    <definedName name="OLE_LINK1" localSheetId="0">DISCLAIMER!$B$6</definedName>
    <definedName name="Output_beds_in_country">'Back Calculations'!$C$19</definedName>
    <definedName name="SelfQuarantine_Mild">Inputs!$I$47</definedName>
    <definedName name="SelfQuarantine_Moderate">Inputs!$I$48</definedName>
    <definedName name="SevereCasePercentage">Inputs!$I$43</definedName>
    <definedName name="Slow_doubling_rate">'Back Calculations'!$C$90</definedName>
    <definedName name="solver_adj" localSheetId="13" hidden="1">'Patient Calcs'!#REF!,'SIR Model Patient Calcs'!#REF!,'Patient Calcs'!#REF!,'Patient Calcs'!#REF!</definedName>
    <definedName name="solver_cvg" localSheetId="13" hidden="1">0.0001</definedName>
    <definedName name="solver_drv" localSheetId="13" hidden="1">1</definedName>
    <definedName name="solver_eng" localSheetId="13" hidden="1">1</definedName>
    <definedName name="solver_est" localSheetId="13" hidden="1">1</definedName>
    <definedName name="solver_itr" localSheetId="13" hidden="1">2147483647</definedName>
    <definedName name="solver_lhs1" localSheetId="13" hidden="1">'SIR Model Patient Calcs'!#REF!</definedName>
    <definedName name="solver_lhs10" localSheetId="13" hidden="1">'Patient Calcs'!#REF!</definedName>
    <definedName name="solver_lhs11" localSheetId="13" hidden="1">'Patient Calcs'!#REF!</definedName>
    <definedName name="solver_lhs12" localSheetId="13" hidden="1">'Patient Calcs'!#REF!</definedName>
    <definedName name="solver_lhs13" localSheetId="13" hidden="1">'Patient Calcs'!#REF!</definedName>
    <definedName name="solver_lhs14" localSheetId="13" hidden="1">'Patient Calcs'!#REF!</definedName>
    <definedName name="solver_lhs15" localSheetId="13" hidden="1">'Patient Calcs'!#REF!</definedName>
    <definedName name="solver_lhs16" localSheetId="13" hidden="1">'Patient Calcs'!#REF!</definedName>
    <definedName name="solver_lhs17" localSheetId="13" hidden="1">'Patient Calcs'!#REF!</definedName>
    <definedName name="solver_lhs18" localSheetId="13" hidden="1">'Patient Calcs'!#REF!</definedName>
    <definedName name="solver_lhs19" localSheetId="13" hidden="1">'Patient Calcs'!#REF!</definedName>
    <definedName name="solver_lhs2" localSheetId="13" hidden="1">'SIR Model Patient Calcs'!#REF!</definedName>
    <definedName name="solver_lhs20" localSheetId="13" hidden="1">'Patient Calcs'!#REF!</definedName>
    <definedName name="solver_lhs21" localSheetId="13" hidden="1">'Patient Calcs'!#REF!</definedName>
    <definedName name="solver_lhs22" localSheetId="13" hidden="1">'Patient Calcs'!#REF!</definedName>
    <definedName name="solver_lhs23" localSheetId="13" hidden="1">'Patient Calcs'!#REF!</definedName>
    <definedName name="solver_lhs24" localSheetId="13" hidden="1">'Patient Calcs'!#REF!</definedName>
    <definedName name="solver_lhs3" localSheetId="13" hidden="1">'SIR Model Patient Calcs'!#REF!</definedName>
    <definedName name="solver_lhs4" localSheetId="13" hidden="1">'SIR Model Patient Calcs'!#REF!</definedName>
    <definedName name="solver_lhs5" localSheetId="13" hidden="1">'SIR Model Patient Calcs'!#REF!</definedName>
    <definedName name="solver_lhs6" localSheetId="13" hidden="1">'SIR Model Patient Calcs'!#REF!</definedName>
    <definedName name="solver_lhs7" localSheetId="13" hidden="1">'Patient Calcs'!#REF!</definedName>
    <definedName name="solver_nod" localSheetId="13" hidden="1">2147483647</definedName>
    <definedName name="solver_num" localSheetId="13" hidden="1">24</definedName>
    <definedName name="solver_nwt" localSheetId="13" hidden="1">1</definedName>
    <definedName name="solver_opt" localSheetId="13" hidden="1">'SIR Model Patient Calcs'!#REF!</definedName>
    <definedName name="solver_pre" localSheetId="13" hidden="1">0.000001</definedName>
    <definedName name="solver_rbv" localSheetId="13" hidden="1">2</definedName>
    <definedName name="solver_rel1" localSheetId="13" hidden="1">1</definedName>
    <definedName name="solver_rel10" localSheetId="13" hidden="1">1</definedName>
    <definedName name="solver_rel11" localSheetId="13" hidden="1">3</definedName>
    <definedName name="solver_rel12" localSheetId="13" hidden="1">1</definedName>
    <definedName name="solver_rel13" localSheetId="13" hidden="1">1</definedName>
    <definedName name="solver_rel14" localSheetId="13" hidden="1">3</definedName>
    <definedName name="solver_rel15" localSheetId="13" hidden="1">1</definedName>
    <definedName name="solver_rel16" localSheetId="13" hidden="1">4</definedName>
    <definedName name="solver_rel17" localSheetId="13" hidden="1">3</definedName>
    <definedName name="solver_rel18" localSheetId="13" hidden="1">1</definedName>
    <definedName name="solver_rel19" localSheetId="13" hidden="1">4</definedName>
    <definedName name="solver_rel2" localSheetId="13" hidden="1">3</definedName>
    <definedName name="solver_rel20" localSheetId="13" hidden="1">3</definedName>
    <definedName name="solver_rel21" localSheetId="13" hidden="1">1</definedName>
    <definedName name="solver_rel22" localSheetId="13" hidden="1">3</definedName>
    <definedName name="solver_rel23" localSheetId="13" hidden="1">1</definedName>
    <definedName name="solver_rel24" localSheetId="13" hidden="1">1</definedName>
    <definedName name="solver_rel3" localSheetId="13" hidden="1">1</definedName>
    <definedName name="solver_rel4" localSheetId="13" hidden="1">3</definedName>
    <definedName name="solver_rel5" localSheetId="13" hidden="1">3</definedName>
    <definedName name="solver_rel6" localSheetId="13" hidden="1">3</definedName>
    <definedName name="solver_rel7" localSheetId="13" hidden="1">1</definedName>
    <definedName name="solver_rel8" localSheetId="13" hidden="1">3</definedName>
    <definedName name="solver_rel9" localSheetId="13" hidden="1">1</definedName>
    <definedName name="solver_rhs1" localSheetId="13" hidden="1">1</definedName>
    <definedName name="solver_rhs10" localSheetId="13" hidden="1">20</definedName>
    <definedName name="solver_rhs11" localSheetId="13" hidden="1">0.1</definedName>
    <definedName name="solver_rhs12" localSheetId="13" hidden="1">'Patient Calcs'!#REF!</definedName>
    <definedName name="solver_rhs13" localSheetId="13" hidden="1">20</definedName>
    <definedName name="solver_rhs14" localSheetId="13" hidden="1">0.1</definedName>
    <definedName name="solver_rhs15" localSheetId="13" hidden="1">50</definedName>
    <definedName name="solver_rhs16" localSheetId="13" hidden="1">integer</definedName>
    <definedName name="solver_rhs17" localSheetId="13" hidden="1">1</definedName>
    <definedName name="solver_rhs18" localSheetId="13" hidden="1">50</definedName>
    <definedName name="solver_rhs19" localSheetId="13" hidden="1">integer</definedName>
    <definedName name="solver_rhs2" localSheetId="13" hidden="1">0.001</definedName>
    <definedName name="solver_rhs20" localSheetId="13" hidden="1">'Patient Calcs'!#REF!</definedName>
    <definedName name="solver_rhs21" localSheetId="13" hidden="1">0.5</definedName>
    <definedName name="solver_rhs22" localSheetId="13" hidden="1">0.001</definedName>
    <definedName name="solver_rhs23" localSheetId="13" hidden="1">'Patient Calcs'!#REF!</definedName>
    <definedName name="solver_rhs24" localSheetId="13" hidden="1">'Patient Calcs'!#REF!</definedName>
    <definedName name="solver_rhs3" localSheetId="13" hidden="1">1</definedName>
    <definedName name="solver_rhs4" localSheetId="13" hidden="1">0.001</definedName>
    <definedName name="solver_rhs5" localSheetId="13" hidden="1">'SIR Model Patient Calcs'!#REF!</definedName>
    <definedName name="solver_rhs6" localSheetId="13" hidden="1">'SIR Model Patient Calcs'!#REF!</definedName>
    <definedName name="solver_rhs7" localSheetId="13" hidden="1">25</definedName>
    <definedName name="solver_rhs8" localSheetId="13" hidden="1">0.1</definedName>
    <definedName name="solver_rhs9" localSheetId="13" hidden="1">'Patient Calcs'!#REF!</definedName>
    <definedName name="solver_rlx" localSheetId="13" hidden="1">2</definedName>
    <definedName name="solver_rsd" localSheetId="13" hidden="1">0</definedName>
    <definedName name="solver_scl" localSheetId="13" hidden="1">2</definedName>
    <definedName name="solver_sho" localSheetId="13" hidden="1">2</definedName>
    <definedName name="solver_ssz" localSheetId="13" hidden="1">0</definedName>
    <definedName name="solver_tim" localSheetId="13" hidden="1">2147483647</definedName>
    <definedName name="solver_tol" localSheetId="13" hidden="1">0.01</definedName>
    <definedName name="solver_typ" localSheetId="13" hidden="1">2</definedName>
    <definedName name="solver_val" localSheetId="13" hidden="1">0</definedName>
    <definedName name="solver_ver" localSheetId="13" hidden="1">3</definedName>
    <definedName name="Start_week_for_forecasting">'Back Calculations'!$C$123</definedName>
    <definedName name="SuspectedCaseMultiplier">'User Dashboard'!$H$18</definedName>
    <definedName name="Tests_for_diagnosis">'User Dashboard'!$J$17</definedName>
    <definedName name="Tests_for_release">'User Dashboard'!$K$18</definedName>
    <definedName name="Tests_per_HCW">Inputs!$I$78</definedName>
    <definedName name="Tests_SevereOrCritical">'User Dashboard'!$K$18</definedName>
    <definedName name="Toggle_biomedical">'Equipment List &amp; Usage'!$B$51</definedName>
    <definedName name="Toggle_consultation">'Equipment List &amp; Usage'!$AA$13</definedName>
    <definedName name="Toggle_Consumables">'Equipment List &amp; Usage'!$B$209</definedName>
    <definedName name="Toggle_Diagnostics">'Equipment List &amp; Usage'!$B$35</definedName>
    <definedName name="Toggle_Drugs">'Equipment List &amp; Usage'!$B$116</definedName>
    <definedName name="Toggle_Hygiene">'Equipment List &amp; Usage'!$B$15</definedName>
    <definedName name="Toggle_inpatient">'Equipment List &amp; Usage'!$J$13</definedName>
    <definedName name="Toggle_labs">'Equipment List &amp; Usage'!$AE$13</definedName>
    <definedName name="Toggle_outpatient">'Equipment List &amp; Usage'!$W$13</definedName>
    <definedName name="Toggle_PPE">'Equipment List &amp; Usage'!$B$20</definedName>
    <definedName name="Total_admitted_capped_critical_patients">Patients!$BF$42</definedName>
    <definedName name="Total_admitted_capped_moderate_patients">Patients!$BF$40</definedName>
    <definedName name="Total_admitted_capped_severe_patients">Patients!$BF$41</definedName>
    <definedName name="Total_caretaker">'HCW &amp; Staff'!$BF$39</definedName>
    <definedName name="Total_caretaker_for_outpatient">'HCW &amp; Staff'!$BF$39</definedName>
    <definedName name="Total_crit_patients_in_bed_over_forecast">'HCW &amp; Staff'!$BF$19</definedName>
    <definedName name="Total_critical_cases_for_period">Patients!$BF$37</definedName>
    <definedName name="Total_HCW_for_outpatient_over_time">'HCW &amp; Staff'!$BF$43</definedName>
    <definedName name="Total_HCW_labs_over_time">'HCW &amp; Staff'!$BF$48</definedName>
    <definedName name="Total_hospitals_operating_per_week_over_time">Patients!$BF$53</definedName>
    <definedName name="Total_hygienist_labs_over_time">'HCW &amp; Staff'!$BF$49</definedName>
    <definedName name="Total_inpatient_ambulancier_over_time">'HCW &amp; Staff'!$BF$25</definedName>
    <definedName name="Total_Inpatient_caretaker_over_time">'HCW &amp; Staff'!$BF$24</definedName>
    <definedName name="Total_inpatient_HCWs_over_time">'HCW &amp; Staff'!$BF$22</definedName>
    <definedName name="Total_inpatient_Hygienist_over_time">'HCW &amp; Staff'!$BF$23</definedName>
    <definedName name="Total_Inpatients_in_beds_over_time">'HCW &amp; Staff'!$BF$20</definedName>
    <definedName name="Total_labs">Inputs!$I$168</definedName>
    <definedName name="Total_mild_cases_for_period">Patients!$BF$34</definedName>
    <definedName name="Total_Mild_Outpatient">'HCW &amp; Staff'!$BF$37</definedName>
    <definedName name="Total_moderate_outpatient">'HCW &amp; Staff'!$BF$38</definedName>
    <definedName name="Total_new_cases_for_period">Patients!$BF$33</definedName>
    <definedName name="Total_Outpatient">'HCW &amp; Staff'!$BF$37</definedName>
    <definedName name="Total_severe_cases_for_period">Patients!$BF$36</definedName>
    <definedName name="Total_severe_patients_in_bed_over_forecast">'HCW &amp; Staff'!$BF$18</definedName>
    <definedName name="Total_tests_conducted">'HCW &amp; Staff'!$BF$47</definedName>
    <definedName name="WeekSuppliedUntil">'Back Calculations'!$C$124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 i="70" l="1"/>
  <c r="B13" i="70"/>
  <c r="B14" i="70"/>
  <c r="B15" i="70"/>
  <c r="B16" i="70"/>
  <c r="D14" i="48" l="1"/>
  <c r="B188" i="48" l="1"/>
  <c r="B189" i="48"/>
  <c r="B190" i="48"/>
  <c r="B191" i="48"/>
  <c r="B192" i="48"/>
  <c r="B193" i="48"/>
  <c r="B194" i="48"/>
  <c r="B195" i="48"/>
  <c r="B196" i="48"/>
  <c r="B197"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D12" i="48"/>
  <c r="B3" i="113" l="1"/>
  <c r="AI7" i="48" l="1"/>
  <c r="T9" i="48" l="1"/>
  <c r="BE43" i="45" l="1"/>
  <c r="G179" i="48" s="1"/>
  <c r="BE45" i="45"/>
  <c r="BF45" i="45" s="1"/>
  <c r="H181" i="48" s="1"/>
  <c r="BE44" i="45"/>
  <c r="G180" i="48" s="1"/>
  <c r="H15" i="97"/>
  <c r="H16" i="97"/>
  <c r="F181" i="48"/>
  <c r="F180" i="48"/>
  <c r="F179" i="48"/>
  <c r="D181" i="48"/>
  <c r="D180" i="48"/>
  <c r="D179" i="48"/>
  <c r="C181" i="48"/>
  <c r="C180" i="48"/>
  <c r="C179" i="48"/>
  <c r="BF44" i="45" l="1"/>
  <c r="H180" i="48" s="1"/>
  <c r="I180" i="48" s="1"/>
  <c r="BF43" i="45"/>
  <c r="H179" i="48" s="1"/>
  <c r="I179" i="48" s="1"/>
  <c r="G181" i="48"/>
  <c r="I181" i="48" s="1"/>
  <c r="N17" i="45"/>
  <c r="E74" i="93"/>
  <c r="C123" i="63" l="1"/>
  <c r="C189" i="48" l="1"/>
  <c r="D189" i="48"/>
  <c r="F189" i="48"/>
  <c r="C190" i="48"/>
  <c r="D190" i="48"/>
  <c r="F190" i="48"/>
  <c r="C191" i="48"/>
  <c r="D191" i="48"/>
  <c r="F191" i="48"/>
  <c r="C192" i="48"/>
  <c r="D192" i="48"/>
  <c r="F192" i="48"/>
  <c r="C193" i="48"/>
  <c r="D193" i="48"/>
  <c r="F193" i="48"/>
  <c r="C194" i="48"/>
  <c r="D194" i="48"/>
  <c r="F194" i="48"/>
  <c r="C195" i="48"/>
  <c r="D195" i="48"/>
  <c r="F195" i="48"/>
  <c r="C196" i="48"/>
  <c r="D196" i="48"/>
  <c r="F196" i="48"/>
  <c r="C197" i="48"/>
  <c r="D197" i="48"/>
  <c r="F197" i="48"/>
  <c r="C198" i="48"/>
  <c r="D198" i="48"/>
  <c r="F198" i="48"/>
  <c r="C199" i="48"/>
  <c r="D199" i="48"/>
  <c r="F199" i="48"/>
  <c r="C200" i="48"/>
  <c r="D200" i="48"/>
  <c r="F200" i="48"/>
  <c r="C201" i="48"/>
  <c r="D201" i="48"/>
  <c r="F201" i="48"/>
  <c r="C202" i="48"/>
  <c r="D202" i="48"/>
  <c r="F202" i="48"/>
  <c r="C203" i="48"/>
  <c r="D203" i="48"/>
  <c r="F203" i="48"/>
  <c r="C204" i="48"/>
  <c r="D204" i="48"/>
  <c r="F204" i="48"/>
  <c r="C205" i="48"/>
  <c r="D205" i="48"/>
  <c r="F205" i="48"/>
  <c r="C206" i="48"/>
  <c r="D206" i="48"/>
  <c r="F206" i="48"/>
  <c r="C207" i="48"/>
  <c r="D207" i="48"/>
  <c r="F207" i="48"/>
  <c r="C208" i="48"/>
  <c r="D208" i="48"/>
  <c r="F208" i="48"/>
  <c r="C209" i="48"/>
  <c r="D209" i="48"/>
  <c r="F209" i="48"/>
  <c r="C210" i="48"/>
  <c r="D210" i="48"/>
  <c r="F210" i="48"/>
  <c r="C211" i="48"/>
  <c r="D211" i="48"/>
  <c r="F211" i="48"/>
  <c r="C212" i="48"/>
  <c r="D212" i="48"/>
  <c r="F212" i="48"/>
  <c r="C213" i="48"/>
  <c r="D213" i="48"/>
  <c r="F213" i="48"/>
  <c r="C214" i="48"/>
  <c r="D214" i="48"/>
  <c r="F214" i="48"/>
  <c r="C215" i="48"/>
  <c r="D215" i="48"/>
  <c r="F215" i="48"/>
  <c r="C216" i="48"/>
  <c r="D216" i="48"/>
  <c r="F216" i="48"/>
  <c r="C217" i="48"/>
  <c r="D217" i="48"/>
  <c r="F217" i="48"/>
  <c r="C218" i="48"/>
  <c r="D218" i="48"/>
  <c r="F218" i="48"/>
  <c r="C219" i="48"/>
  <c r="D219" i="48"/>
  <c r="F219" i="48"/>
  <c r="C220" i="48"/>
  <c r="D220" i="48"/>
  <c r="F220" i="48"/>
  <c r="C221" i="48"/>
  <c r="D221" i="48"/>
  <c r="F221" i="48"/>
  <c r="C13" i="63"/>
  <c r="L18" i="48" l="1"/>
  <c r="L17" i="48"/>
  <c r="P12" i="84"/>
  <c r="P41" i="84"/>
  <c r="P54" i="84"/>
  <c r="P66" i="84"/>
  <c r="P67" i="84"/>
  <c r="P68" i="84"/>
  <c r="P69" i="84"/>
  <c r="P70" i="84"/>
  <c r="P73" i="84"/>
  <c r="P78" i="84"/>
  <c r="P79" i="84"/>
  <c r="P100" i="84"/>
  <c r="P103" i="84"/>
  <c r="P107" i="84"/>
  <c r="P108" i="84"/>
  <c r="P109" i="84"/>
  <c r="P110" i="84"/>
  <c r="P112" i="84"/>
  <c r="P115" i="84"/>
  <c r="P133" i="84"/>
  <c r="P139" i="84"/>
  <c r="P140" i="84"/>
  <c r="P141" i="84"/>
  <c r="P144" i="84"/>
  <c r="P145" i="84"/>
  <c r="P147" i="84"/>
  <c r="P158" i="84"/>
  <c r="P161" i="84"/>
  <c r="P166" i="84"/>
  <c r="P175" i="84"/>
  <c r="P186" i="84"/>
  <c r="P188" i="84"/>
  <c r="P196" i="84"/>
  <c r="P202" i="84"/>
  <c r="P203" i="84"/>
  <c r="P209" i="84"/>
  <c r="P220" i="84"/>
  <c r="P222" i="84"/>
  <c r="P223" i="84"/>
  <c r="P235" i="84"/>
  <c r="P236" i="84"/>
  <c r="P241" i="84"/>
  <c r="P243" i="84"/>
  <c r="P245" i="84"/>
  <c r="P246" i="84"/>
  <c r="P254" i="84"/>
  <c r="P264" i="84"/>
  <c r="B187" i="48" l="1"/>
  <c r="AQ17" i="45" l="1"/>
  <c r="AJ17" i="45"/>
  <c r="AI17" i="45"/>
  <c r="BF55" i="45"/>
  <c r="H191" i="48" s="1"/>
  <c r="G34" i="93" l="1"/>
  <c r="I49" i="93" s="1"/>
  <c r="E35" i="93"/>
  <c r="X12" i="48"/>
  <c r="D42" i="45"/>
  <c r="D178" i="48" s="1"/>
  <c r="B13" i="97"/>
  <c r="G8" i="97"/>
  <c r="C44" i="93"/>
  <c r="C67" i="93"/>
  <c r="C102" i="93"/>
  <c r="G19" i="48"/>
  <c r="G110" i="63"/>
  <c r="H110" i="63"/>
  <c r="AI15" i="48"/>
  <c r="AI16" i="48" s="1"/>
  <c r="AI17" i="48" s="1"/>
  <c r="AI18" i="48" s="1"/>
  <c r="B9" i="76"/>
  <c r="D188" i="48"/>
  <c r="D187" i="48"/>
  <c r="C188" i="48"/>
  <c r="F188" i="48"/>
  <c r="F187" i="48"/>
  <c r="C187" i="48"/>
  <c r="C178" i="48"/>
  <c r="F178" i="48"/>
  <c r="S110" i="45"/>
  <c r="R54" i="45"/>
  <c r="P111" i="45"/>
  <c r="S81" i="45"/>
  <c r="S77" i="45"/>
  <c r="R66" i="45"/>
  <c r="R110" i="45" s="1"/>
  <c r="S56" i="45"/>
  <c r="O271" i="84"/>
  <c r="M12" i="84"/>
  <c r="M41" i="84"/>
  <c r="M54" i="84"/>
  <c r="M66" i="84"/>
  <c r="M67" i="84"/>
  <c r="M68" i="84"/>
  <c r="M69" i="84"/>
  <c r="M70" i="84"/>
  <c r="M73" i="84"/>
  <c r="M78" i="84"/>
  <c r="M79" i="84"/>
  <c r="M100" i="84"/>
  <c r="M103" i="84"/>
  <c r="M107" i="84"/>
  <c r="M108" i="84"/>
  <c r="M109" i="84"/>
  <c r="M110" i="84"/>
  <c r="M112" i="84"/>
  <c r="M115" i="84"/>
  <c r="M133" i="84"/>
  <c r="M139" i="84"/>
  <c r="M140" i="84"/>
  <c r="M141" i="84"/>
  <c r="M144" i="84"/>
  <c r="M145" i="84"/>
  <c r="M147" i="84"/>
  <c r="M158" i="84"/>
  <c r="M161" i="84"/>
  <c r="M166" i="84"/>
  <c r="M175" i="84"/>
  <c r="M186" i="84"/>
  <c r="M188" i="84"/>
  <c r="M196" i="84"/>
  <c r="M202" i="84"/>
  <c r="M203" i="84"/>
  <c r="M209" i="84"/>
  <c r="M220" i="84"/>
  <c r="M222" i="84"/>
  <c r="M223" i="84"/>
  <c r="M235" i="84"/>
  <c r="M236" i="84"/>
  <c r="M241" i="84"/>
  <c r="M243" i="84"/>
  <c r="M245" i="84"/>
  <c r="M246" i="84"/>
  <c r="M254" i="84"/>
  <c r="M264" i="84"/>
  <c r="M272" i="84"/>
  <c r="M273" i="84"/>
  <c r="M274" i="84"/>
  <c r="M275" i="84"/>
  <c r="F177" i="48"/>
  <c r="D177" i="48"/>
  <c r="C177" i="48"/>
  <c r="F176" i="48"/>
  <c r="C176" i="48"/>
  <c r="D176" i="48"/>
  <c r="BK33" i="48"/>
  <c r="BK32" i="48"/>
  <c r="BK31" i="48"/>
  <c r="BK30" i="48"/>
  <c r="AG26" i="45"/>
  <c r="AG25" i="45"/>
  <c r="AG24" i="45"/>
  <c r="AG22" i="45"/>
  <c r="AG21" i="45"/>
  <c r="P78" i="45"/>
  <c r="P71" i="45"/>
  <c r="S58" i="45"/>
  <c r="S57" i="45"/>
  <c r="P84" i="45"/>
  <c r="P83" i="45"/>
  <c r="P82" i="45"/>
  <c r="P80" i="45"/>
  <c r="S59" i="45"/>
  <c r="P79" i="45"/>
  <c r="O76" i="45"/>
  <c r="O75" i="45"/>
  <c r="O74" i="45"/>
  <c r="F271" i="84"/>
  <c r="B5" i="103"/>
  <c r="B6" i="103"/>
  <c r="B7" i="103"/>
  <c r="B8" i="103"/>
  <c r="B9" i="103"/>
  <c r="B10" i="103"/>
  <c r="B11" i="103"/>
  <c r="B12" i="103"/>
  <c r="B13" i="103"/>
  <c r="B14" i="103"/>
  <c r="B15" i="103"/>
  <c r="B16" i="103"/>
  <c r="B17" i="103"/>
  <c r="B18" i="103"/>
  <c r="B19" i="103"/>
  <c r="B20" i="103"/>
  <c r="B21" i="103"/>
  <c r="B22" i="103"/>
  <c r="B23" i="103"/>
  <c r="B24" i="103"/>
  <c r="B25" i="103"/>
  <c r="B26" i="103"/>
  <c r="B27" i="103"/>
  <c r="B28" i="103"/>
  <c r="B29" i="103"/>
  <c r="B30" i="103"/>
  <c r="B31" i="103"/>
  <c r="B32" i="103"/>
  <c r="B33" i="103"/>
  <c r="B34" i="103"/>
  <c r="B35" i="103"/>
  <c r="B36" i="103"/>
  <c r="B37" i="103"/>
  <c r="B38" i="103"/>
  <c r="B39" i="103"/>
  <c r="B40" i="103"/>
  <c r="B41" i="103"/>
  <c r="B42" i="103"/>
  <c r="B43" i="103"/>
  <c r="B44" i="103"/>
  <c r="B45" i="103"/>
  <c r="B46" i="103"/>
  <c r="B47" i="103"/>
  <c r="B48" i="103"/>
  <c r="B49" i="103"/>
  <c r="B50" i="103"/>
  <c r="B51" i="103"/>
  <c r="B52" i="103"/>
  <c r="B53" i="103"/>
  <c r="B54" i="103"/>
  <c r="B55" i="103"/>
  <c r="B56" i="103"/>
  <c r="B57" i="103"/>
  <c r="B58" i="103"/>
  <c r="B59" i="103"/>
  <c r="B60" i="103"/>
  <c r="B61" i="103"/>
  <c r="B62" i="103"/>
  <c r="B63" i="103"/>
  <c r="B64" i="103"/>
  <c r="B65" i="103"/>
  <c r="B66" i="103"/>
  <c r="B67" i="103"/>
  <c r="B68" i="103"/>
  <c r="B69" i="103"/>
  <c r="B70" i="103"/>
  <c r="B71" i="103"/>
  <c r="B72" i="103"/>
  <c r="B73" i="103"/>
  <c r="B74" i="103"/>
  <c r="B75" i="103"/>
  <c r="B76" i="103"/>
  <c r="B77" i="103"/>
  <c r="B78" i="103"/>
  <c r="B79" i="103"/>
  <c r="B80" i="103"/>
  <c r="B81" i="103"/>
  <c r="B82" i="103"/>
  <c r="B83" i="103"/>
  <c r="B84" i="103"/>
  <c r="B85" i="103"/>
  <c r="B86" i="103"/>
  <c r="B87" i="103"/>
  <c r="B88" i="103"/>
  <c r="B89" i="103"/>
  <c r="B90" i="103"/>
  <c r="B91" i="103"/>
  <c r="B92" i="103"/>
  <c r="B93" i="103"/>
  <c r="B94" i="103"/>
  <c r="B95" i="103"/>
  <c r="B96" i="103"/>
  <c r="B97" i="103"/>
  <c r="B98" i="103"/>
  <c r="B99" i="103"/>
  <c r="B100" i="103"/>
  <c r="B101" i="103"/>
  <c r="B102" i="103"/>
  <c r="B103" i="103"/>
  <c r="B104" i="103"/>
  <c r="B105" i="103"/>
  <c r="B106" i="103"/>
  <c r="B107" i="103"/>
  <c r="B108" i="103"/>
  <c r="B109" i="103"/>
  <c r="B110" i="103"/>
  <c r="B111" i="103"/>
  <c r="B112" i="103"/>
  <c r="B113" i="103"/>
  <c r="B114" i="103"/>
  <c r="B115" i="103"/>
  <c r="B116" i="103"/>
  <c r="B117" i="103"/>
  <c r="B118" i="103"/>
  <c r="B119" i="103"/>
  <c r="B120" i="103"/>
  <c r="B121" i="103"/>
  <c r="B122" i="103"/>
  <c r="B123" i="103"/>
  <c r="B124" i="103"/>
  <c r="B125" i="103"/>
  <c r="B126" i="103"/>
  <c r="B127" i="103"/>
  <c r="B128" i="103"/>
  <c r="B129" i="103"/>
  <c r="B130" i="103"/>
  <c r="B131" i="103"/>
  <c r="B132" i="103"/>
  <c r="B133" i="103"/>
  <c r="B134" i="103"/>
  <c r="B135" i="103"/>
  <c r="B136" i="103"/>
  <c r="B137" i="103"/>
  <c r="B138" i="103"/>
  <c r="B139" i="103"/>
  <c r="B140" i="103"/>
  <c r="B141" i="103"/>
  <c r="B142" i="103"/>
  <c r="B143" i="103"/>
  <c r="B144" i="103"/>
  <c r="B145" i="103"/>
  <c r="B146" i="103"/>
  <c r="B147" i="103"/>
  <c r="B148" i="103"/>
  <c r="B149" i="103"/>
  <c r="B150" i="103"/>
  <c r="B151" i="103"/>
  <c r="B152" i="103"/>
  <c r="B4" i="103"/>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Y128" i="104"/>
  <c r="AA128" i="104"/>
  <c r="Y129" i="104"/>
  <c r="AA129" i="104"/>
  <c r="Y130" i="104"/>
  <c r="AA130" i="104"/>
  <c r="Y131" i="104"/>
  <c r="AA131" i="104"/>
  <c r="Y132" i="104"/>
  <c r="AA132" i="104"/>
  <c r="Y133" i="104"/>
  <c r="AA133" i="104"/>
  <c r="Y134" i="104"/>
  <c r="AA134" i="104"/>
  <c r="Y135" i="104"/>
  <c r="AA135" i="104"/>
  <c r="Y136" i="104"/>
  <c r="AA136" i="104"/>
  <c r="Y137" i="104"/>
  <c r="AA137" i="104"/>
  <c r="Y138" i="104"/>
  <c r="AA138" i="104"/>
  <c r="Y139" i="104"/>
  <c r="AA139" i="104"/>
  <c r="Y140" i="104"/>
  <c r="AA140" i="104"/>
  <c r="Y141" i="104"/>
  <c r="AA141" i="104"/>
  <c r="Y142" i="104"/>
  <c r="AA142" i="104"/>
  <c r="Y143" i="104"/>
  <c r="AA143" i="104"/>
  <c r="Y144" i="104"/>
  <c r="AA144" i="104"/>
  <c r="Y145" i="104"/>
  <c r="AA145" i="104"/>
  <c r="Y146" i="104"/>
  <c r="AA146" i="104"/>
  <c r="Y147" i="104"/>
  <c r="AA147" i="104"/>
  <c r="Y148" i="104"/>
  <c r="AA148" i="104"/>
  <c r="Y149" i="104"/>
  <c r="AA149" i="104"/>
  <c r="Y150" i="104"/>
  <c r="AA150" i="104"/>
  <c r="Y151" i="104"/>
  <c r="AA151" i="104"/>
  <c r="Y152" i="104"/>
  <c r="AA152" i="104"/>
  <c r="Y153" i="104"/>
  <c r="AA153" i="104"/>
  <c r="Y154" i="104"/>
  <c r="AA154" i="104"/>
  <c r="Y155" i="104"/>
  <c r="AA155" i="104"/>
  <c r="Y156" i="104"/>
  <c r="AA156" i="104"/>
  <c r="Y157" i="104"/>
  <c r="AA157" i="104"/>
  <c r="Y158" i="104"/>
  <c r="AA158" i="104"/>
  <c r="Y159" i="104"/>
  <c r="AA159" i="104"/>
  <c r="Y160" i="104"/>
  <c r="AA160" i="104"/>
  <c r="Y161" i="104"/>
  <c r="AA161" i="104"/>
  <c r="Y162" i="104"/>
  <c r="AA162" i="104"/>
  <c r="Y163" i="104"/>
  <c r="AA163" i="104"/>
  <c r="Y164" i="104"/>
  <c r="AA164" i="104"/>
  <c r="Y165" i="104"/>
  <c r="AA165" i="104"/>
  <c r="Y166" i="104"/>
  <c r="AA166" i="104"/>
  <c r="Y167" i="104"/>
  <c r="AA167" i="104"/>
  <c r="Y168" i="104"/>
  <c r="AA168" i="104"/>
  <c r="Y169" i="104"/>
  <c r="AA169" i="104"/>
  <c r="Y170" i="104"/>
  <c r="AA170" i="104"/>
  <c r="Y171" i="104"/>
  <c r="AA171" i="104"/>
  <c r="Y172" i="104"/>
  <c r="AA172" i="104"/>
  <c r="Y173" i="104"/>
  <c r="AA173" i="104"/>
  <c r="Y174" i="104"/>
  <c r="AA174" i="104"/>
  <c r="Y175" i="104"/>
  <c r="AA175" i="104"/>
  <c r="Y176" i="104"/>
  <c r="AA176" i="104"/>
  <c r="Y177" i="104"/>
  <c r="AA177" i="104"/>
  <c r="Y178" i="104"/>
  <c r="AA178" i="104"/>
  <c r="Y179" i="104"/>
  <c r="AA179" i="104"/>
  <c r="Y180" i="104"/>
  <c r="AA180" i="104"/>
  <c r="Y181" i="104"/>
  <c r="AA181" i="104"/>
  <c r="Y182" i="104"/>
  <c r="AA182" i="104"/>
  <c r="Y183" i="104"/>
  <c r="AA183" i="104"/>
  <c r="Y184" i="104"/>
  <c r="AA184" i="104"/>
  <c r="Y185" i="104"/>
  <c r="AA185" i="104"/>
  <c r="Y186" i="104"/>
  <c r="AA186" i="104"/>
  <c r="Y187" i="104"/>
  <c r="AA187" i="104"/>
  <c r="Y188" i="104"/>
  <c r="AA188" i="104"/>
  <c r="Y189" i="104"/>
  <c r="AA189" i="104"/>
  <c r="Y190" i="104"/>
  <c r="AA190" i="104"/>
  <c r="Y191" i="104"/>
  <c r="AA191" i="104"/>
  <c r="Y192" i="104"/>
  <c r="AA192" i="104"/>
  <c r="Y193" i="104"/>
  <c r="AA193" i="104"/>
  <c r="Y194" i="104"/>
  <c r="AA194" i="104"/>
  <c r="Y195" i="104"/>
  <c r="AA195" i="104"/>
  <c r="Y196" i="104"/>
  <c r="AA196" i="104"/>
  <c r="Y197" i="104"/>
  <c r="AA197" i="104"/>
  <c r="Y198" i="104"/>
  <c r="AA198" i="104"/>
  <c r="Y199" i="104"/>
  <c r="AA199" i="104"/>
  <c r="Y200" i="104"/>
  <c r="AA200" i="104"/>
  <c r="Y201" i="104"/>
  <c r="AA201" i="104"/>
  <c r="AA9" i="104"/>
  <c r="AA10" i="104"/>
  <c r="AA11" i="104"/>
  <c r="AA12" i="104"/>
  <c r="AA13" i="104"/>
  <c r="AA14" i="104"/>
  <c r="AA15" i="104"/>
  <c r="AA16" i="104"/>
  <c r="AA17" i="104"/>
  <c r="AA18" i="104"/>
  <c r="AA19" i="104"/>
  <c r="AA20" i="104"/>
  <c r="AA21" i="104"/>
  <c r="AA22" i="104"/>
  <c r="AA23" i="104"/>
  <c r="AA24" i="104"/>
  <c r="AA25" i="104"/>
  <c r="AA26" i="104"/>
  <c r="AA27" i="104"/>
  <c r="AA28" i="104"/>
  <c r="AA29" i="104"/>
  <c r="AA30" i="104"/>
  <c r="AA31" i="104"/>
  <c r="AA32" i="104"/>
  <c r="AA33" i="104"/>
  <c r="AA34" i="104"/>
  <c r="AA35" i="104"/>
  <c r="AA36" i="104"/>
  <c r="AA37" i="104"/>
  <c r="AA38" i="104"/>
  <c r="AA39" i="104"/>
  <c r="AA40" i="104"/>
  <c r="AA41" i="104"/>
  <c r="AA42" i="104"/>
  <c r="AA43" i="104"/>
  <c r="AA44" i="104"/>
  <c r="AA45" i="104"/>
  <c r="AA46" i="104"/>
  <c r="AA47" i="104"/>
  <c r="AA48" i="104"/>
  <c r="AA49" i="104"/>
  <c r="AA50" i="104"/>
  <c r="AA51" i="104"/>
  <c r="AA52" i="104"/>
  <c r="AA53" i="104"/>
  <c r="AA54" i="104"/>
  <c r="AA55" i="104"/>
  <c r="AA56" i="104"/>
  <c r="AA57" i="104"/>
  <c r="AA58" i="104"/>
  <c r="AA59" i="104"/>
  <c r="AA60" i="104"/>
  <c r="AA61" i="104"/>
  <c r="AA62" i="104"/>
  <c r="AA63" i="104"/>
  <c r="AA64" i="104"/>
  <c r="AA65" i="104"/>
  <c r="AA66" i="104"/>
  <c r="AA67" i="104"/>
  <c r="AA68" i="104"/>
  <c r="AA69" i="104"/>
  <c r="AA70" i="104"/>
  <c r="AA71" i="104"/>
  <c r="AA72" i="104"/>
  <c r="AA73" i="104"/>
  <c r="AA74" i="104"/>
  <c r="AA75" i="104"/>
  <c r="AA76" i="104"/>
  <c r="AA77" i="104"/>
  <c r="AA78" i="104"/>
  <c r="AA79" i="104"/>
  <c r="AA80" i="104"/>
  <c r="AA81" i="104"/>
  <c r="AA82" i="104"/>
  <c r="AA83" i="104"/>
  <c r="AA84" i="104"/>
  <c r="AA85" i="104"/>
  <c r="AA86" i="104"/>
  <c r="AA87" i="104"/>
  <c r="AA88" i="104"/>
  <c r="AA89" i="104"/>
  <c r="AA90" i="104"/>
  <c r="AA91" i="104"/>
  <c r="AA92" i="104"/>
  <c r="AA93" i="104"/>
  <c r="AA94" i="104"/>
  <c r="AA95" i="104"/>
  <c r="AA96" i="104"/>
  <c r="AA97" i="104"/>
  <c r="AA98" i="104"/>
  <c r="AA99" i="104"/>
  <c r="AA100" i="104"/>
  <c r="AA101" i="104"/>
  <c r="AA102" i="104"/>
  <c r="AA103" i="104"/>
  <c r="AA104" i="104"/>
  <c r="AA105" i="104"/>
  <c r="AA106" i="104"/>
  <c r="AA107" i="104"/>
  <c r="AA108" i="104"/>
  <c r="AA109" i="104"/>
  <c r="AA110" i="104"/>
  <c r="AA111" i="104"/>
  <c r="AA112" i="104"/>
  <c r="AA113" i="104"/>
  <c r="AA114" i="104"/>
  <c r="AA115" i="104"/>
  <c r="AA116" i="104"/>
  <c r="AA117" i="104"/>
  <c r="AA118" i="104"/>
  <c r="AA119" i="104"/>
  <c r="AA120" i="104"/>
  <c r="AA121" i="104"/>
  <c r="AA122" i="104"/>
  <c r="AA123" i="104"/>
  <c r="AA124" i="104"/>
  <c r="AA125" i="104"/>
  <c r="AA126" i="104"/>
  <c r="AA127" i="104"/>
  <c r="AA8" i="104"/>
  <c r="Y9" i="104"/>
  <c r="Y10" i="104"/>
  <c r="Y11" i="104"/>
  <c r="Y12" i="104"/>
  <c r="Y13" i="104"/>
  <c r="Y14" i="104"/>
  <c r="Y15" i="104"/>
  <c r="Y16" i="104"/>
  <c r="Y17" i="104"/>
  <c r="Y18" i="104"/>
  <c r="Y19" i="104"/>
  <c r="Y20" i="104"/>
  <c r="Y21" i="104"/>
  <c r="Y22" i="104"/>
  <c r="Y23" i="104"/>
  <c r="Y24" i="104"/>
  <c r="Y25" i="104"/>
  <c r="Y26" i="104"/>
  <c r="Y27" i="104"/>
  <c r="Y28" i="104"/>
  <c r="Y29" i="104"/>
  <c r="Y30" i="104"/>
  <c r="Y31" i="104"/>
  <c r="Y32" i="104"/>
  <c r="Y33" i="104"/>
  <c r="Y34" i="104"/>
  <c r="Y35" i="104"/>
  <c r="Y36" i="104"/>
  <c r="Y37" i="104"/>
  <c r="Y38" i="104"/>
  <c r="Y39" i="104"/>
  <c r="Y40" i="104"/>
  <c r="Y41" i="104"/>
  <c r="Y42" i="104"/>
  <c r="Y43" i="104"/>
  <c r="Y44" i="104"/>
  <c r="Y45" i="104"/>
  <c r="Y46" i="104"/>
  <c r="Y47" i="104"/>
  <c r="Y48" i="104"/>
  <c r="Y49" i="104"/>
  <c r="Y50" i="104"/>
  <c r="Y51" i="104"/>
  <c r="Y52" i="104"/>
  <c r="Y53" i="104"/>
  <c r="Y54" i="104"/>
  <c r="Y55" i="104"/>
  <c r="Y56" i="104"/>
  <c r="Y57" i="104"/>
  <c r="Y58" i="104"/>
  <c r="Y59" i="104"/>
  <c r="Y60" i="104"/>
  <c r="Y61" i="104"/>
  <c r="Y62" i="104"/>
  <c r="Y63" i="104"/>
  <c r="Y64" i="104"/>
  <c r="Y65" i="104"/>
  <c r="Y66" i="104"/>
  <c r="Y67" i="104"/>
  <c r="Y68" i="104"/>
  <c r="Y69" i="104"/>
  <c r="Y70" i="104"/>
  <c r="Y71" i="104"/>
  <c r="Y72" i="104"/>
  <c r="Y73" i="104"/>
  <c r="Y74" i="104"/>
  <c r="Y75" i="104"/>
  <c r="Y76" i="104"/>
  <c r="Y77" i="104"/>
  <c r="Y78" i="104"/>
  <c r="Y79" i="104"/>
  <c r="Y80" i="104"/>
  <c r="Y81" i="104"/>
  <c r="Y82" i="104"/>
  <c r="Y83" i="104"/>
  <c r="Y84" i="104"/>
  <c r="Y85" i="104"/>
  <c r="Y86" i="104"/>
  <c r="Y87" i="104"/>
  <c r="Y88" i="104"/>
  <c r="Y89" i="104"/>
  <c r="Y90" i="104"/>
  <c r="Y91" i="104"/>
  <c r="Y92" i="104"/>
  <c r="Y93" i="104"/>
  <c r="Y94" i="104"/>
  <c r="Y95" i="104"/>
  <c r="Y96" i="104"/>
  <c r="Y97" i="104"/>
  <c r="Y98" i="104"/>
  <c r="Y99" i="104"/>
  <c r="Y100" i="104"/>
  <c r="Y101" i="104"/>
  <c r="Y102" i="104"/>
  <c r="Y103" i="104"/>
  <c r="Y104" i="104"/>
  <c r="Y105" i="104"/>
  <c r="Y106" i="104"/>
  <c r="Y107" i="104"/>
  <c r="Y108" i="104"/>
  <c r="Y109" i="104"/>
  <c r="Y110" i="104"/>
  <c r="Y111" i="104"/>
  <c r="Y112" i="104"/>
  <c r="Y113" i="104"/>
  <c r="Y114" i="104"/>
  <c r="Y115" i="104"/>
  <c r="Y116" i="104"/>
  <c r="Y117" i="104"/>
  <c r="Y118" i="104"/>
  <c r="Y119" i="104"/>
  <c r="Y120" i="104"/>
  <c r="Y121" i="104"/>
  <c r="Y122" i="104"/>
  <c r="Y123" i="104"/>
  <c r="Y124" i="104"/>
  <c r="Y125" i="104"/>
  <c r="Y126" i="104"/>
  <c r="Y127" i="104"/>
  <c r="Y8" i="104"/>
  <c r="V199" i="104"/>
  <c r="V195" i="104"/>
  <c r="V197" i="104"/>
  <c r="V196" i="104"/>
  <c r="S192" i="104"/>
  <c r="R256" i="84" s="1"/>
  <c r="V188" i="104"/>
  <c r="V191" i="104"/>
  <c r="V183" i="104"/>
  <c r="V181" i="104"/>
  <c r="V185" i="104"/>
  <c r="V180" i="104"/>
  <c r="V175" i="104"/>
  <c r="S66" i="104"/>
  <c r="R229" i="84" s="1"/>
  <c r="V173" i="104"/>
  <c r="V165" i="104"/>
  <c r="V172" i="104"/>
  <c r="V157" i="104"/>
  <c r="S160" i="104"/>
  <c r="R219" i="84" s="1"/>
  <c r="V167" i="104"/>
  <c r="S62" i="104"/>
  <c r="R216" i="84" s="1"/>
  <c r="V166" i="104"/>
  <c r="V159" i="104"/>
  <c r="T171" i="104"/>
  <c r="U171" i="104" s="1"/>
  <c r="S211" i="84" s="1"/>
  <c r="V149" i="104"/>
  <c r="V198" i="104"/>
  <c r="V141" i="104"/>
  <c r="S144" i="104"/>
  <c r="R195" i="84" s="1"/>
  <c r="V143" i="104"/>
  <c r="S136" i="104"/>
  <c r="R187" i="84" s="1"/>
  <c r="V127" i="104"/>
  <c r="V135" i="104"/>
  <c r="T129" i="104"/>
  <c r="Z129" i="104" s="1"/>
  <c r="V131" i="104"/>
  <c r="V133" i="104"/>
  <c r="V126" i="104"/>
  <c r="V110" i="104"/>
  <c r="V117" i="104"/>
  <c r="V116" i="104"/>
  <c r="V124" i="104"/>
  <c r="T121" i="104"/>
  <c r="U121" i="104" s="1"/>
  <c r="S168" i="84" s="1"/>
  <c r="S115" i="104"/>
  <c r="R160" i="84" s="1"/>
  <c r="S112" i="104"/>
  <c r="R157" i="84" s="1"/>
  <c r="V109" i="104"/>
  <c r="V148" i="104"/>
  <c r="S123" i="104"/>
  <c r="R153" i="84" s="1"/>
  <c r="V108" i="104"/>
  <c r="V107" i="104"/>
  <c r="T153" i="104"/>
  <c r="Z153" i="104" s="1"/>
  <c r="T105" i="104"/>
  <c r="U105" i="104" s="1"/>
  <c r="S136" i="84" s="1"/>
  <c r="S99" i="104"/>
  <c r="R132" i="84" s="1"/>
  <c r="V147" i="104"/>
  <c r="V37" i="104"/>
  <c r="S96" i="104"/>
  <c r="R125" i="84" s="1"/>
  <c r="S94" i="104"/>
  <c r="R124" i="84" s="1"/>
  <c r="V92" i="104"/>
  <c r="V91" i="104"/>
  <c r="V85" i="104"/>
  <c r="T89" i="104"/>
  <c r="U89" i="104" s="1"/>
  <c r="V83" i="104"/>
  <c r="T81" i="104"/>
  <c r="U81" i="104" s="1"/>
  <c r="S99" i="84" s="1"/>
  <c r="V77" i="104"/>
  <c r="S80" i="104"/>
  <c r="R92" i="84" s="1"/>
  <c r="S72" i="104"/>
  <c r="R91" i="84" s="1"/>
  <c r="V75" i="104"/>
  <c r="S190" i="104"/>
  <c r="R86" i="84" s="1"/>
  <c r="V119" i="104"/>
  <c r="V68" i="104"/>
  <c r="V69" i="104"/>
  <c r="T65" i="104"/>
  <c r="T169" i="104"/>
  <c r="V61" i="104"/>
  <c r="T60" i="104"/>
  <c r="U60" i="104" s="1"/>
  <c r="S71" i="84" s="1"/>
  <c r="S59" i="104"/>
  <c r="R64" i="84" s="1"/>
  <c r="V56" i="104"/>
  <c r="T57" i="104"/>
  <c r="U57" i="104" s="1"/>
  <c r="V53" i="104"/>
  <c r="V52" i="104"/>
  <c r="V51" i="104"/>
  <c r="V48" i="104"/>
  <c r="S36" i="104"/>
  <c r="R52" i="84" s="1"/>
  <c r="V45" i="104"/>
  <c r="V43" i="104"/>
  <c r="S42" i="104"/>
  <c r="R44" i="84" s="1"/>
  <c r="V174" i="104"/>
  <c r="S39" i="104"/>
  <c r="R40" i="84" s="1"/>
  <c r="T27" i="104"/>
  <c r="U27" i="104" s="1"/>
  <c r="S37" i="84" s="1"/>
  <c r="V32" i="104"/>
  <c r="V22" i="104"/>
  <c r="S28" i="104"/>
  <c r="R33" i="84" s="1"/>
  <c r="V19" i="104"/>
  <c r="S20" i="104"/>
  <c r="R27" i="84" s="1"/>
  <c r="V33" i="104"/>
  <c r="T21" i="104"/>
  <c r="S34" i="104"/>
  <c r="R24" i="84" s="1"/>
  <c r="V24" i="104"/>
  <c r="T35" i="104"/>
  <c r="S18" i="104"/>
  <c r="R20" i="84" s="1"/>
  <c r="T17" i="104"/>
  <c r="V11" i="104"/>
  <c r="S12" i="104"/>
  <c r="R9" i="84" s="1"/>
  <c r="V8" i="104"/>
  <c r="V201" i="104"/>
  <c r="S200" i="104"/>
  <c r="R269" i="84" s="1"/>
  <c r="S184" i="104"/>
  <c r="R249" i="84" s="1"/>
  <c r="T179" i="104"/>
  <c r="U179" i="104" s="1"/>
  <c r="V177" i="104"/>
  <c r="V164" i="104"/>
  <c r="T163" i="104"/>
  <c r="V158" i="104"/>
  <c r="V156" i="104"/>
  <c r="T155" i="104"/>
  <c r="Z155" i="104" s="1"/>
  <c r="AB155" i="104" s="1"/>
  <c r="M265" i="84" s="1"/>
  <c r="S152" i="104"/>
  <c r="R130" i="84" s="1"/>
  <c r="V151" i="104"/>
  <c r="V140" i="104"/>
  <c r="T139" i="104"/>
  <c r="Z139" i="104" s="1"/>
  <c r="T137" i="104"/>
  <c r="V134" i="104"/>
  <c r="V132" i="104"/>
  <c r="V125" i="104"/>
  <c r="S120" i="104"/>
  <c r="R154" i="84" s="1"/>
  <c r="V111" i="104"/>
  <c r="S104" i="104"/>
  <c r="R146" i="84" s="1"/>
  <c r="S102" i="104"/>
  <c r="R150" i="84" s="1"/>
  <c r="V101" i="104"/>
  <c r="T97" i="104"/>
  <c r="Z97" i="104" s="1"/>
  <c r="AB97" i="104" s="1"/>
  <c r="M126" i="84" s="1"/>
  <c r="V93" i="104"/>
  <c r="S88" i="104"/>
  <c r="R117" i="84" s="1"/>
  <c r="S86" i="104"/>
  <c r="R114" i="84" s="1"/>
  <c r="V84" i="104"/>
  <c r="S82" i="104"/>
  <c r="R105" i="84" s="1"/>
  <c r="S78" i="104"/>
  <c r="R97" i="84" s="1"/>
  <c r="V76" i="104"/>
  <c r="S70" i="104"/>
  <c r="R82" i="84" s="1"/>
  <c r="V67" i="104"/>
  <c r="T64" i="104"/>
  <c r="U64" i="104" s="1"/>
  <c r="S74" i="84" s="1"/>
  <c r="S58" i="104"/>
  <c r="R62" i="84" s="1"/>
  <c r="S54" i="104"/>
  <c r="R198" i="84" s="1"/>
  <c r="T49" i="104"/>
  <c r="Z49" i="104" s="1"/>
  <c r="AB49" i="104" s="1"/>
  <c r="M46" i="84" s="1"/>
  <c r="S46" i="104"/>
  <c r="R49" i="84" s="1"/>
  <c r="V44" i="104"/>
  <c r="S41" i="104"/>
  <c r="R234" i="84" s="1"/>
  <c r="S31" i="104"/>
  <c r="R34" i="84" s="1"/>
  <c r="V30" i="104"/>
  <c r="T29" i="104"/>
  <c r="V23" i="104"/>
  <c r="V16" i="104"/>
  <c r="V14" i="104"/>
  <c r="T13" i="104"/>
  <c r="U13" i="104" s="1"/>
  <c r="S17" i="84" s="1"/>
  <c r="S10" i="104"/>
  <c r="R65" i="84" s="1"/>
  <c r="V9" i="104"/>
  <c r="T113" i="104"/>
  <c r="V113" i="104"/>
  <c r="V137" i="104"/>
  <c r="S49" i="104"/>
  <c r="R46" i="84" s="1"/>
  <c r="V31" i="104"/>
  <c r="V49" i="104"/>
  <c r="V89" i="104"/>
  <c r="S22" i="104"/>
  <c r="R35" i="84" s="1"/>
  <c r="T31" i="104"/>
  <c r="T187" i="104"/>
  <c r="S187" i="104"/>
  <c r="R252" i="84" s="1"/>
  <c r="S168" i="104"/>
  <c r="R268" i="84" s="1"/>
  <c r="V168" i="104"/>
  <c r="V189" i="104"/>
  <c r="T189" i="104"/>
  <c r="T43" i="104"/>
  <c r="U137" i="104"/>
  <c r="S189" i="84" s="1"/>
  <c r="T75" i="104"/>
  <c r="S107" i="104"/>
  <c r="R148" i="84" s="1"/>
  <c r="T109" i="104"/>
  <c r="Z109" i="104" s="1"/>
  <c r="T112" i="104"/>
  <c r="U112" i="104" s="1"/>
  <c r="S117" i="104"/>
  <c r="R172" i="84" s="1"/>
  <c r="T200" i="104"/>
  <c r="U200" i="104" s="1"/>
  <c r="S269" i="84" s="1"/>
  <c r="T9" i="104"/>
  <c r="T12" i="104"/>
  <c r="V41" i="104"/>
  <c r="S83" i="104"/>
  <c r="R102" i="84" s="1"/>
  <c r="T59" i="104"/>
  <c r="T83" i="104"/>
  <c r="V99" i="104"/>
  <c r="T107" i="104"/>
  <c r="V112" i="104"/>
  <c r="V136" i="104"/>
  <c r="S91" i="104"/>
  <c r="R120" i="84" s="1"/>
  <c r="T110" i="104"/>
  <c r="U110" i="104" s="1"/>
  <c r="S173" i="84" s="1"/>
  <c r="T123" i="104"/>
  <c r="U123" i="104" s="1"/>
  <c r="S153" i="84" s="1"/>
  <c r="S196" i="104"/>
  <c r="R259" i="84" s="1"/>
  <c r="V34" i="104"/>
  <c r="T70" i="104"/>
  <c r="T91" i="104"/>
  <c r="Z91" i="104" s="1"/>
  <c r="S147" i="104"/>
  <c r="R131" i="84" s="1"/>
  <c r="T181" i="104"/>
  <c r="U181" i="104" s="1"/>
  <c r="S17" i="104"/>
  <c r="R19" i="84" s="1"/>
  <c r="T23" i="104"/>
  <c r="Z23" i="104" s="1"/>
  <c r="T141" i="104"/>
  <c r="U141" i="104" s="1"/>
  <c r="S200" i="84" s="1"/>
  <c r="S149" i="104"/>
  <c r="R206" i="84" s="1"/>
  <c r="T41" i="104"/>
  <c r="U41" i="104" s="1"/>
  <c r="S234" i="84" s="1"/>
  <c r="T46" i="104"/>
  <c r="U46" i="104" s="1"/>
  <c r="S49" i="84" s="1"/>
  <c r="T68" i="104"/>
  <c r="U68" i="104" s="1"/>
  <c r="S81" i="84" s="1"/>
  <c r="S57" i="104"/>
  <c r="R61" i="84" s="1"/>
  <c r="V62" i="104"/>
  <c r="V72" i="104"/>
  <c r="S14" i="104"/>
  <c r="R14" i="84" s="1"/>
  <c r="T20" i="104"/>
  <c r="V57" i="104"/>
  <c r="S69" i="104"/>
  <c r="R80" i="84" s="1"/>
  <c r="V102" i="104"/>
  <c r="S139" i="104"/>
  <c r="R190" i="84" s="1"/>
  <c r="V144" i="104"/>
  <c r="T149" i="104"/>
  <c r="Z149" i="104" s="1"/>
  <c r="AB149" i="104" s="1"/>
  <c r="M206" i="84" s="1"/>
  <c r="S157" i="104"/>
  <c r="R224" i="84" s="1"/>
  <c r="S165" i="104"/>
  <c r="R227" i="84" s="1"/>
  <c r="T190" i="104"/>
  <c r="Z190" i="104" s="1"/>
  <c r="V139" i="104"/>
  <c r="T165" i="104"/>
  <c r="V190" i="104"/>
  <c r="T69" i="104"/>
  <c r="Z69" i="104" s="1"/>
  <c r="AB69" i="104" s="1"/>
  <c r="M80" i="84" s="1"/>
  <c r="S53" i="104"/>
  <c r="R59" i="84" s="1"/>
  <c r="S75" i="104"/>
  <c r="R88" i="84" s="1"/>
  <c r="S81" i="104"/>
  <c r="R99" i="84" s="1"/>
  <c r="T84" i="104"/>
  <c r="T136" i="104"/>
  <c r="U136" i="104" s="1"/>
  <c r="S187" i="84" s="1"/>
  <c r="V187" i="104"/>
  <c r="V17" i="104"/>
  <c r="V59" i="104"/>
  <c r="V70" i="104"/>
  <c r="T99" i="104"/>
  <c r="V123" i="104"/>
  <c r="T131" i="104"/>
  <c r="Z131" i="104" s="1"/>
  <c r="AB131" i="104" s="1"/>
  <c r="M180" i="84" s="1"/>
  <c r="S141" i="104"/>
  <c r="R200" i="84" s="1"/>
  <c r="T147" i="104"/>
  <c r="U147" i="104" s="1"/>
  <c r="S131" i="84" s="1"/>
  <c r="V160" i="104"/>
  <c r="T184" i="104"/>
  <c r="Z184" i="104" s="1"/>
  <c r="S188" i="104"/>
  <c r="R253" i="84" s="1"/>
  <c r="V200" i="104"/>
  <c r="V184" i="104"/>
  <c r="V13" i="104"/>
  <c r="T10" i="104"/>
  <c r="U10" i="104" s="1"/>
  <c r="S65" i="84" s="1"/>
  <c r="T18" i="104"/>
  <c r="T33" i="104"/>
  <c r="V36" i="104"/>
  <c r="T44" i="104"/>
  <c r="S48" i="104"/>
  <c r="R53" i="84" s="1"/>
  <c r="S51" i="104"/>
  <c r="R55" i="84" s="1"/>
  <c r="V64" i="104"/>
  <c r="T67" i="104"/>
  <c r="V78" i="104"/>
  <c r="T86" i="104"/>
  <c r="U86" i="104" s="1"/>
  <c r="S114" i="84" s="1"/>
  <c r="T93" i="104"/>
  <c r="V96" i="104"/>
  <c r="T104" i="104"/>
  <c r="T115" i="104"/>
  <c r="U115" i="104" s="1"/>
  <c r="T120" i="104"/>
  <c r="V129" i="104"/>
  <c r="S133" i="104"/>
  <c r="R179" i="84" s="1"/>
  <c r="S155" i="104"/>
  <c r="R265" i="84" s="1"/>
  <c r="T158" i="104"/>
  <c r="U158" i="104" s="1"/>
  <c r="S163" i="104"/>
  <c r="R213" i="84" s="1"/>
  <c r="T166" i="104"/>
  <c r="U166" i="104" s="1"/>
  <c r="V169" i="104"/>
  <c r="T173" i="104"/>
  <c r="Z173" i="104" s="1"/>
  <c r="S179" i="104"/>
  <c r="R242" i="84" s="1"/>
  <c r="S197" i="104"/>
  <c r="R262" i="84" s="1"/>
  <c r="V21" i="104"/>
  <c r="S30" i="104"/>
  <c r="R38" i="84" s="1"/>
  <c r="S33" i="104"/>
  <c r="R26" i="84" s="1"/>
  <c r="T36" i="104"/>
  <c r="T96" i="104"/>
  <c r="V86" i="104"/>
  <c r="V179" i="104"/>
  <c r="T197" i="104"/>
  <c r="S67" i="104"/>
  <c r="R77" i="84" s="1"/>
  <c r="S158" i="104"/>
  <c r="R210" i="84" s="1"/>
  <c r="S166" i="104"/>
  <c r="R214" i="84" s="1"/>
  <c r="S173" i="104"/>
  <c r="R228" i="84" s="1"/>
  <c r="V10" i="104"/>
  <c r="T48" i="104"/>
  <c r="U48" i="104" s="1"/>
  <c r="V104" i="104"/>
  <c r="T133" i="104"/>
  <c r="Z133" i="104" s="1"/>
  <c r="AB133" i="104" s="1"/>
  <c r="M179" i="84" s="1"/>
  <c r="V155" i="104"/>
  <c r="T28" i="104"/>
  <c r="T45" i="104"/>
  <c r="U45" i="104" s="1"/>
  <c r="T52" i="104"/>
  <c r="U52" i="104" s="1"/>
  <c r="T94" i="104"/>
  <c r="V97" i="104"/>
  <c r="S101" i="104"/>
  <c r="R134" i="84" s="1"/>
  <c r="T152" i="104"/>
  <c r="Z152" i="104" s="1"/>
  <c r="S171" i="104"/>
  <c r="R211" i="84" s="1"/>
  <c r="S174" i="104"/>
  <c r="R42" i="84" s="1"/>
  <c r="T78" i="104"/>
  <c r="U78" i="104" s="1"/>
  <c r="S97" i="84" s="1"/>
  <c r="S93" i="104"/>
  <c r="R122" i="84" s="1"/>
  <c r="V18" i="104"/>
  <c r="V115" i="104"/>
  <c r="V120" i="104"/>
  <c r="V163" i="104"/>
  <c r="S65" i="104"/>
  <c r="R76" i="84" s="1"/>
  <c r="S125" i="104"/>
  <c r="R165" i="84" s="1"/>
  <c r="T192" i="104"/>
  <c r="S23" i="104"/>
  <c r="R30" i="84" s="1"/>
  <c r="V28" i="104"/>
  <c r="T34" i="104"/>
  <c r="U34" i="104" s="1"/>
  <c r="S24" i="84" s="1"/>
  <c r="V39" i="104"/>
  <c r="S43" i="104"/>
  <c r="R45" i="84" s="1"/>
  <c r="T62" i="104"/>
  <c r="U62" i="104" s="1"/>
  <c r="S216" i="84" s="1"/>
  <c r="V65" i="104"/>
  <c r="V94" i="104"/>
  <c r="T101" i="104"/>
  <c r="U101" i="104" s="1"/>
  <c r="S134" i="84" s="1"/>
  <c r="V105" i="104"/>
  <c r="S109" i="104"/>
  <c r="R156" i="84" s="1"/>
  <c r="V121" i="104"/>
  <c r="T125" i="104"/>
  <c r="S131" i="104"/>
  <c r="R180" i="84" s="1"/>
  <c r="T134" i="104"/>
  <c r="U134" i="104" s="1"/>
  <c r="V152" i="104"/>
  <c r="V171" i="104"/>
  <c r="T174" i="104"/>
  <c r="Z174" i="104" s="1"/>
  <c r="S180" i="104"/>
  <c r="R237" i="84" s="1"/>
  <c r="S189" i="104"/>
  <c r="R13" i="84" s="1"/>
  <c r="V192" i="104"/>
  <c r="T198" i="104"/>
  <c r="Z198" i="104" s="1"/>
  <c r="S9" i="104"/>
  <c r="R10" i="84" s="1"/>
  <c r="V12" i="104"/>
  <c r="V20" i="104"/>
  <c r="V29" i="104"/>
  <c r="V46" i="104"/>
  <c r="T72" i="104"/>
  <c r="T76" i="104"/>
  <c r="U76" i="104" s="1"/>
  <c r="V81" i="104"/>
  <c r="S89" i="104"/>
  <c r="R118" i="84" s="1"/>
  <c r="T92" i="104"/>
  <c r="T102" i="104"/>
  <c r="T117" i="104"/>
  <c r="U117" i="104" s="1"/>
  <c r="S172" i="84" s="1"/>
  <c r="T126" i="104"/>
  <c r="T144" i="104"/>
  <c r="Z144" i="104" s="1"/>
  <c r="V153" i="104"/>
  <c r="T157" i="104"/>
  <c r="Z157" i="104" s="1"/>
  <c r="AB157" i="104" s="1"/>
  <c r="M224" i="84" s="1"/>
  <c r="T160" i="104"/>
  <c r="U160" i="104" s="1"/>
  <c r="S219" i="84" s="1"/>
  <c r="T168" i="104"/>
  <c r="U168" i="104" s="1"/>
  <c r="S172" i="104"/>
  <c r="R225" i="84" s="1"/>
  <c r="S181" i="104"/>
  <c r="R244" i="84" s="1"/>
  <c r="S25" i="104"/>
  <c r="R31" i="84" s="1"/>
  <c r="V25" i="104"/>
  <c r="T25" i="104"/>
  <c r="Z25" i="104" s="1"/>
  <c r="T40" i="104"/>
  <c r="U40" i="104" s="1"/>
  <c r="S39" i="84" s="1"/>
  <c r="V40" i="104"/>
  <c r="S40" i="104"/>
  <c r="R39" i="84" s="1"/>
  <c r="V103" i="104"/>
  <c r="T103" i="104"/>
  <c r="U103" i="104" s="1"/>
  <c r="S135" i="84" s="1"/>
  <c r="S103" i="104"/>
  <c r="R135" i="84" s="1"/>
  <c r="V170" i="104"/>
  <c r="T170" i="104"/>
  <c r="U170" i="104" s="1"/>
  <c r="S143" i="84" s="1"/>
  <c r="S170" i="104"/>
  <c r="R143" i="84" s="1"/>
  <c r="V162" i="104"/>
  <c r="T162" i="104"/>
  <c r="U162" i="104" s="1"/>
  <c r="S162" i="104"/>
  <c r="R215" i="84" s="1"/>
  <c r="V26" i="104"/>
  <c r="T26" i="104"/>
  <c r="S26" i="104"/>
  <c r="R23" i="84" s="1"/>
  <c r="V87" i="104"/>
  <c r="T87" i="104"/>
  <c r="U87" i="104" s="1"/>
  <c r="S111" i="84" s="1"/>
  <c r="S87" i="104"/>
  <c r="R111" i="84" s="1"/>
  <c r="V122" i="104"/>
  <c r="T122" i="104"/>
  <c r="S122" i="104"/>
  <c r="R167" i="84" s="1"/>
  <c r="V15" i="104"/>
  <c r="T15" i="104"/>
  <c r="S15" i="104"/>
  <c r="R15" i="84" s="1"/>
  <c r="S38" i="104"/>
  <c r="R47" i="84" s="1"/>
  <c r="T38" i="104"/>
  <c r="V38" i="104"/>
  <c r="V74" i="104"/>
  <c r="T74" i="104"/>
  <c r="Z74" i="104" s="1"/>
  <c r="S128" i="104"/>
  <c r="R183" i="84" s="1"/>
  <c r="V128" i="104"/>
  <c r="V145" i="104"/>
  <c r="T145" i="104"/>
  <c r="S145" i="104"/>
  <c r="R199" i="84" s="1"/>
  <c r="V193" i="104"/>
  <c r="T193" i="104"/>
  <c r="S193" i="104"/>
  <c r="R255" i="84" s="1"/>
  <c r="S19" i="104"/>
  <c r="R28" i="84" s="1"/>
  <c r="T22" i="104"/>
  <c r="T30" i="104"/>
  <c r="U30" i="104" s="1"/>
  <c r="S38" i="84" s="1"/>
  <c r="S35" i="104"/>
  <c r="R21" i="84" s="1"/>
  <c r="T51" i="104"/>
  <c r="U51" i="104" s="1"/>
  <c r="S56" i="104"/>
  <c r="R63" i="84" s="1"/>
  <c r="V106" i="104"/>
  <c r="T106" i="104"/>
  <c r="T47" i="104"/>
  <c r="U47" i="104" s="1"/>
  <c r="S47" i="104"/>
  <c r="T56" i="104"/>
  <c r="V66" i="104"/>
  <c r="T66" i="104"/>
  <c r="S77" i="104"/>
  <c r="R95" i="84" s="1"/>
  <c r="T80" i="104"/>
  <c r="U80" i="104" s="1"/>
  <c r="T85" i="104"/>
  <c r="Z85" i="104" s="1"/>
  <c r="AB85" i="104" s="1"/>
  <c r="M119" i="84" s="1"/>
  <c r="V88" i="104"/>
  <c r="S106" i="104"/>
  <c r="R137" i="84" s="1"/>
  <c r="T128" i="104"/>
  <c r="U128" i="104" s="1"/>
  <c r="V79" i="104"/>
  <c r="T79" i="104"/>
  <c r="U79" i="104" s="1"/>
  <c r="S90" i="84" s="1"/>
  <c r="S79" i="104"/>
  <c r="R90" i="84" s="1"/>
  <c r="T73" i="104"/>
  <c r="S73" i="104"/>
  <c r="R87" i="84" s="1"/>
  <c r="V100" i="104"/>
  <c r="T100" i="104"/>
  <c r="S100" i="104"/>
  <c r="R127" i="84" s="1"/>
  <c r="V150" i="104"/>
  <c r="T150" i="104"/>
  <c r="S150" i="104"/>
  <c r="R207" i="84" s="1"/>
  <c r="V182" i="104"/>
  <c r="T182" i="104"/>
  <c r="S182" i="104"/>
  <c r="R247" i="84" s="1"/>
  <c r="S11" i="104"/>
  <c r="R11" i="84" s="1"/>
  <c r="T14" i="104"/>
  <c r="U14" i="104" s="1"/>
  <c r="S27" i="104"/>
  <c r="R37" i="84" s="1"/>
  <c r="T53" i="104"/>
  <c r="Z53" i="104" s="1"/>
  <c r="V194" i="104"/>
  <c r="T194" i="104"/>
  <c r="Z194" i="104" s="1"/>
  <c r="S194" i="104"/>
  <c r="R257" i="84" s="1"/>
  <c r="S8" i="104"/>
  <c r="R8" i="84" s="1"/>
  <c r="T11" i="104"/>
  <c r="S16" i="104"/>
  <c r="R18" i="84" s="1"/>
  <c r="T19" i="104"/>
  <c r="T8" i="104"/>
  <c r="S13" i="104"/>
  <c r="R17" i="84" s="1"/>
  <c r="S21" i="104"/>
  <c r="R25" i="84" s="1"/>
  <c r="T24" i="104"/>
  <c r="V27" i="104"/>
  <c r="S29" i="104"/>
  <c r="R29" i="84" s="1"/>
  <c r="T32" i="104"/>
  <c r="V35" i="104"/>
  <c r="S37" i="104"/>
  <c r="R128" i="84" s="1"/>
  <c r="V47" i="104"/>
  <c r="T54" i="104"/>
  <c r="S61" i="104"/>
  <c r="R72" i="84" s="1"/>
  <c r="S64" i="104"/>
  <c r="R74" i="84" s="1"/>
  <c r="V71" i="104"/>
  <c r="T71" i="104"/>
  <c r="U71" i="104" s="1"/>
  <c r="S85" i="84" s="1"/>
  <c r="S71" i="104"/>
  <c r="R85" i="84" s="1"/>
  <c r="T77" i="104"/>
  <c r="U77" i="104" s="1"/>
  <c r="S95" i="84" s="1"/>
  <c r="V80" i="104"/>
  <c r="V186" i="104"/>
  <c r="T186" i="104"/>
  <c r="S186" i="104"/>
  <c r="R250" i="84" s="1"/>
  <c r="V142" i="104"/>
  <c r="T142" i="104"/>
  <c r="Z142" i="104" s="1"/>
  <c r="AB142" i="104" s="1"/>
  <c r="M191" i="84" s="1"/>
  <c r="S142" i="104"/>
  <c r="R191" i="84" s="1"/>
  <c r="T195" i="104"/>
  <c r="U195" i="104" s="1"/>
  <c r="S263" i="84" s="1"/>
  <c r="S195" i="104"/>
  <c r="R263" i="84" s="1"/>
  <c r="V63" i="104"/>
  <c r="T63" i="104"/>
  <c r="U63" i="104" s="1"/>
  <c r="S93" i="84" s="1"/>
  <c r="S63" i="104"/>
  <c r="R93" i="84" s="1"/>
  <c r="S74" i="104"/>
  <c r="R60" i="84" s="1"/>
  <c r="S85" i="104"/>
  <c r="R119" i="84" s="1"/>
  <c r="T88" i="104"/>
  <c r="U88" i="104" s="1"/>
  <c r="V178" i="104"/>
  <c r="T178" i="104"/>
  <c r="Z178" i="104" s="1"/>
  <c r="S178" i="104"/>
  <c r="R162" i="84" s="1"/>
  <c r="S24" i="104"/>
  <c r="R22" i="84" s="1"/>
  <c r="S32" i="104"/>
  <c r="R36" i="84" s="1"/>
  <c r="T16" i="104"/>
  <c r="T37" i="104"/>
  <c r="T39" i="104"/>
  <c r="S45" i="104"/>
  <c r="R51" i="84" s="1"/>
  <c r="V54" i="104"/>
  <c r="T61" i="104"/>
  <c r="V60" i="104"/>
  <c r="S60" i="104"/>
  <c r="R71" i="84" s="1"/>
  <c r="V118" i="104"/>
  <c r="T118" i="104"/>
  <c r="U118" i="104" s="1"/>
  <c r="S159" i="84" s="1"/>
  <c r="S118" i="104"/>
  <c r="R159" i="84" s="1"/>
  <c r="V161" i="104"/>
  <c r="T161" i="104"/>
  <c r="S161" i="104"/>
  <c r="R231" i="84" s="1"/>
  <c r="V50" i="104"/>
  <c r="T50" i="104"/>
  <c r="V98" i="104"/>
  <c r="T98" i="104"/>
  <c r="V114" i="104"/>
  <c r="T114" i="104"/>
  <c r="Z114" i="104" s="1"/>
  <c r="S114" i="104"/>
  <c r="R164" i="84" s="1"/>
  <c r="V130" i="104"/>
  <c r="T130" i="104"/>
  <c r="U130" i="104" s="1"/>
  <c r="S185" i="84" s="1"/>
  <c r="S130" i="104"/>
  <c r="R185" i="84" s="1"/>
  <c r="V146" i="104"/>
  <c r="T146" i="104"/>
  <c r="U146" i="104" s="1"/>
  <c r="S146" i="104"/>
  <c r="R205" i="84" s="1"/>
  <c r="V154" i="104"/>
  <c r="T154" i="104"/>
  <c r="S154" i="104"/>
  <c r="R258" i="84" s="1"/>
  <c r="V58" i="104"/>
  <c r="T58" i="104"/>
  <c r="Z58" i="104" s="1"/>
  <c r="S176" i="104"/>
  <c r="R239" i="84" s="1"/>
  <c r="V176" i="104"/>
  <c r="S50" i="104"/>
  <c r="R104" i="84" s="1"/>
  <c r="T55" i="104"/>
  <c r="U55" i="104" s="1"/>
  <c r="S55" i="104"/>
  <c r="V90" i="104"/>
  <c r="T90" i="104"/>
  <c r="S98" i="104"/>
  <c r="R129" i="84" s="1"/>
  <c r="V42" i="104"/>
  <c r="T42" i="104"/>
  <c r="U42" i="104" s="1"/>
  <c r="S44" i="84" s="1"/>
  <c r="V55" i="104"/>
  <c r="V73" i="104"/>
  <c r="V82" i="104"/>
  <c r="T82" i="104"/>
  <c r="U82" i="104" s="1"/>
  <c r="S105" i="84" s="1"/>
  <c r="S90" i="104"/>
  <c r="R116" i="84" s="1"/>
  <c r="V95" i="104"/>
  <c r="T95" i="104"/>
  <c r="Z95" i="104" s="1"/>
  <c r="AB95" i="104" s="1"/>
  <c r="M123" i="84" s="1"/>
  <c r="S95" i="104"/>
  <c r="R123" i="84" s="1"/>
  <c r="V138" i="104"/>
  <c r="T138" i="104"/>
  <c r="S138" i="104"/>
  <c r="R193" i="84" s="1"/>
  <c r="T176" i="104"/>
  <c r="Z176" i="104" s="1"/>
  <c r="S111" i="104"/>
  <c r="R174" i="84" s="1"/>
  <c r="S119" i="104"/>
  <c r="R84" i="84" s="1"/>
  <c r="S127" i="104"/>
  <c r="R184" i="84" s="1"/>
  <c r="S135" i="104"/>
  <c r="R182" i="84" s="1"/>
  <c r="S143" i="104"/>
  <c r="R192" i="84" s="1"/>
  <c r="S151" i="104"/>
  <c r="R208" i="84" s="1"/>
  <c r="S159" i="104"/>
  <c r="R212" i="84" s="1"/>
  <c r="S167" i="104"/>
  <c r="R218" i="84" s="1"/>
  <c r="S175" i="104"/>
  <c r="R232" i="84" s="1"/>
  <c r="S183" i="104"/>
  <c r="R248" i="84" s="1"/>
  <c r="S191" i="104"/>
  <c r="R251" i="84" s="1"/>
  <c r="S199" i="104"/>
  <c r="R267" i="84" s="1"/>
  <c r="S44" i="104"/>
  <c r="R50" i="84" s="1"/>
  <c r="S52" i="104"/>
  <c r="R58" i="84" s="1"/>
  <c r="S68" i="104"/>
  <c r="R81" i="84" s="1"/>
  <c r="S76" i="104"/>
  <c r="R94" i="84" s="1"/>
  <c r="S84" i="104"/>
  <c r="R106" i="84" s="1"/>
  <c r="S92" i="104"/>
  <c r="R121" i="84" s="1"/>
  <c r="S108" i="104"/>
  <c r="R149" i="84" s="1"/>
  <c r="T111" i="104"/>
  <c r="U111" i="104" s="1"/>
  <c r="S116" i="104"/>
  <c r="R171" i="84" s="1"/>
  <c r="T119" i="104"/>
  <c r="U119" i="104" s="1"/>
  <c r="S124" i="104"/>
  <c r="R170" i="84" s="1"/>
  <c r="T127" i="104"/>
  <c r="U127" i="104" s="1"/>
  <c r="S132" i="104"/>
  <c r="R178" i="84" s="1"/>
  <c r="T135" i="104"/>
  <c r="Z135" i="104" s="1"/>
  <c r="S140" i="104"/>
  <c r="R194" i="84" s="1"/>
  <c r="T143" i="104"/>
  <c r="S148" i="104"/>
  <c r="R155" i="84" s="1"/>
  <c r="T151" i="104"/>
  <c r="S156" i="104"/>
  <c r="R217" i="84" s="1"/>
  <c r="T159" i="104"/>
  <c r="Z159" i="104" s="1"/>
  <c r="AB159" i="104" s="1"/>
  <c r="M212" i="84" s="1"/>
  <c r="S164" i="104"/>
  <c r="R226" i="84" s="1"/>
  <c r="T167" i="104"/>
  <c r="U167" i="104" s="1"/>
  <c r="S218" i="84" s="1"/>
  <c r="T175" i="104"/>
  <c r="T183" i="104"/>
  <c r="U183" i="104" s="1"/>
  <c r="S248" i="84" s="1"/>
  <c r="T191" i="104"/>
  <c r="U191" i="104" s="1"/>
  <c r="S251" i="84" s="1"/>
  <c r="T199" i="104"/>
  <c r="U199" i="104" s="1"/>
  <c r="S267" i="84" s="1"/>
  <c r="S97" i="104"/>
  <c r="R126" i="84" s="1"/>
  <c r="S105" i="104"/>
  <c r="R136" i="84" s="1"/>
  <c r="T108" i="104"/>
  <c r="S113" i="104"/>
  <c r="R163" i="84" s="1"/>
  <c r="T116" i="104"/>
  <c r="U116" i="104" s="1"/>
  <c r="S171" i="84" s="1"/>
  <c r="S121" i="104"/>
  <c r="R168" i="84" s="1"/>
  <c r="T124" i="104"/>
  <c r="U124" i="104" s="1"/>
  <c r="S129" i="104"/>
  <c r="R181" i="84" s="1"/>
  <c r="T132" i="104"/>
  <c r="U132" i="104" s="1"/>
  <c r="S178" i="84" s="1"/>
  <c r="S137" i="104"/>
  <c r="R189" i="84" s="1"/>
  <c r="T140" i="104"/>
  <c r="T148" i="104"/>
  <c r="U148" i="104" s="1"/>
  <c r="S155" i="84" s="1"/>
  <c r="S153" i="104"/>
  <c r="R138" i="84" s="1"/>
  <c r="T156" i="104"/>
  <c r="Z156" i="104" s="1"/>
  <c r="T164" i="104"/>
  <c r="S169" i="104"/>
  <c r="R75" i="84" s="1"/>
  <c r="T172" i="104"/>
  <c r="Z172" i="104" s="1"/>
  <c r="S177" i="104"/>
  <c r="R238" i="84" s="1"/>
  <c r="T180" i="104"/>
  <c r="U180" i="104" s="1"/>
  <c r="S237" i="84" s="1"/>
  <c r="S185" i="104"/>
  <c r="R240" i="84" s="1"/>
  <c r="T188" i="104"/>
  <c r="Z188" i="104" s="1"/>
  <c r="T196" i="104"/>
  <c r="S201" i="104"/>
  <c r="R270" i="84" s="1"/>
  <c r="S110" i="104"/>
  <c r="R173" i="84" s="1"/>
  <c r="S126" i="104"/>
  <c r="R176" i="84" s="1"/>
  <c r="S134" i="104"/>
  <c r="T177" i="104"/>
  <c r="U177" i="104" s="1"/>
  <c r="S238" i="84" s="1"/>
  <c r="T185" i="104"/>
  <c r="S198" i="104"/>
  <c r="R201" i="84" s="1"/>
  <c r="T201" i="104"/>
  <c r="U149" i="104"/>
  <c r="Z186" i="104"/>
  <c r="Z195" i="104"/>
  <c r="AB195" i="104" s="1"/>
  <c r="M263" i="84" s="1"/>
  <c r="Z75" i="104"/>
  <c r="AB75" i="104" s="1"/>
  <c r="M88" i="84" s="1"/>
  <c r="U75" i="104"/>
  <c r="S88" i="84" s="1"/>
  <c r="Z10" i="104"/>
  <c r="AB10" i="104" s="1"/>
  <c r="M65" i="84" s="1"/>
  <c r="Z180" i="104"/>
  <c r="AB180" i="104" s="1"/>
  <c r="M237" i="84" s="1"/>
  <c r="Z197" i="104"/>
  <c r="Z9" i="104"/>
  <c r="Z150" i="104"/>
  <c r="Z158" i="104"/>
  <c r="AB158" i="104" s="1"/>
  <c r="M210" i="84" s="1"/>
  <c r="U133" i="104"/>
  <c r="Z165" i="104"/>
  <c r="Z166" i="104"/>
  <c r="AB166" i="104" s="1"/>
  <c r="M214" i="84" s="1"/>
  <c r="Z193" i="104"/>
  <c r="AB193" i="104" s="1"/>
  <c r="M255" i="84" s="1"/>
  <c r="Z115" i="104"/>
  <c r="AB115" i="104" s="1"/>
  <c r="M160" i="84" s="1"/>
  <c r="Z71" i="104"/>
  <c r="AB71" i="104" s="1"/>
  <c r="M85" i="84" s="1"/>
  <c r="Z51" i="104"/>
  <c r="AB51" i="104" s="1"/>
  <c r="M55" i="84" s="1"/>
  <c r="Z110" i="104"/>
  <c r="AB110" i="104" s="1"/>
  <c r="M173" i="84" s="1"/>
  <c r="Z77" i="104"/>
  <c r="AB77" i="104" s="1"/>
  <c r="M95" i="84" s="1"/>
  <c r="Z123" i="104"/>
  <c r="AB123" i="104" s="1"/>
  <c r="M153" i="84" s="1"/>
  <c r="Z61" i="104"/>
  <c r="AB61" i="104" s="1"/>
  <c r="M72" i="84" s="1"/>
  <c r="Z41" i="104"/>
  <c r="AB41" i="104" s="1"/>
  <c r="M234" i="84" s="1"/>
  <c r="Z15" i="104"/>
  <c r="Z125" i="104"/>
  <c r="AB125" i="104" s="1"/>
  <c r="M165" i="84" s="1"/>
  <c r="Z90" i="104"/>
  <c r="Z50" i="104"/>
  <c r="Z73" i="104"/>
  <c r="Z106" i="104"/>
  <c r="Z102" i="104"/>
  <c r="Z34" i="104"/>
  <c r="AB34" i="104" s="1"/>
  <c r="M24" i="84" s="1"/>
  <c r="Z39" i="104"/>
  <c r="Z30" i="104"/>
  <c r="AB30" i="104" s="1"/>
  <c r="M38" i="84" s="1"/>
  <c r="C175" i="48"/>
  <c r="C107" i="63"/>
  <c r="D13" i="48" s="1"/>
  <c r="F270" i="84"/>
  <c r="F269" i="84"/>
  <c r="F268" i="84"/>
  <c r="F267" i="84"/>
  <c r="F266" i="84"/>
  <c r="F265" i="84"/>
  <c r="F264" i="84"/>
  <c r="F263" i="84"/>
  <c r="F262" i="84"/>
  <c r="F261" i="84"/>
  <c r="F260" i="84"/>
  <c r="F259" i="84"/>
  <c r="F258" i="84"/>
  <c r="F257" i="84"/>
  <c r="F256" i="84"/>
  <c r="F255" i="84"/>
  <c r="F254" i="84"/>
  <c r="F253" i="84"/>
  <c r="F252" i="84"/>
  <c r="F251" i="84"/>
  <c r="F250" i="84"/>
  <c r="F249" i="84"/>
  <c r="F248" i="84"/>
  <c r="F247" i="84"/>
  <c r="F246" i="84"/>
  <c r="F245" i="84"/>
  <c r="F244" i="84"/>
  <c r="F243" i="84"/>
  <c r="F242" i="84"/>
  <c r="F241" i="84"/>
  <c r="F240" i="84"/>
  <c r="F239" i="84"/>
  <c r="F238" i="84"/>
  <c r="F237" i="84"/>
  <c r="F236" i="84"/>
  <c r="F235" i="84"/>
  <c r="F234" i="84"/>
  <c r="F233" i="84"/>
  <c r="F232" i="84"/>
  <c r="F231" i="84"/>
  <c r="F230" i="84"/>
  <c r="F229" i="84"/>
  <c r="F228" i="84"/>
  <c r="F227" i="84"/>
  <c r="F226" i="84"/>
  <c r="F225" i="84"/>
  <c r="F224" i="84"/>
  <c r="F223" i="84"/>
  <c r="F222" i="84"/>
  <c r="F221" i="84"/>
  <c r="F220" i="84"/>
  <c r="F219" i="84"/>
  <c r="F218" i="84"/>
  <c r="F217" i="84"/>
  <c r="F216" i="84"/>
  <c r="F215" i="84"/>
  <c r="F214" i="84"/>
  <c r="F213" i="84"/>
  <c r="F212" i="84"/>
  <c r="F211" i="84"/>
  <c r="F210" i="84"/>
  <c r="F209" i="84"/>
  <c r="F208" i="84"/>
  <c r="F207" i="84"/>
  <c r="F206" i="84"/>
  <c r="F205" i="84"/>
  <c r="F204" i="84"/>
  <c r="F203" i="84"/>
  <c r="F202" i="84"/>
  <c r="F201" i="84"/>
  <c r="F200" i="84"/>
  <c r="F199" i="84"/>
  <c r="F198" i="84"/>
  <c r="F197" i="84"/>
  <c r="F196" i="84"/>
  <c r="F195" i="84"/>
  <c r="F194" i="84"/>
  <c r="F193" i="84"/>
  <c r="F192" i="84"/>
  <c r="F191" i="84"/>
  <c r="F190" i="84"/>
  <c r="F189" i="84"/>
  <c r="F188" i="84"/>
  <c r="F187" i="84"/>
  <c r="F186" i="84"/>
  <c r="F185" i="84"/>
  <c r="F184" i="84"/>
  <c r="F183" i="84"/>
  <c r="F182" i="84"/>
  <c r="F181" i="84"/>
  <c r="F180" i="84"/>
  <c r="F179" i="84"/>
  <c r="F178" i="84"/>
  <c r="F177" i="84"/>
  <c r="F176" i="84"/>
  <c r="F175" i="84"/>
  <c r="F174" i="84"/>
  <c r="F173" i="84"/>
  <c r="F172" i="84"/>
  <c r="F171" i="84"/>
  <c r="F170" i="84"/>
  <c r="F169" i="84"/>
  <c r="F168" i="84"/>
  <c r="F167" i="84"/>
  <c r="F166" i="84"/>
  <c r="F165" i="84"/>
  <c r="F164" i="84"/>
  <c r="F163" i="84"/>
  <c r="F162" i="84"/>
  <c r="F161" i="84"/>
  <c r="F160" i="84"/>
  <c r="F159" i="84"/>
  <c r="F158" i="84"/>
  <c r="F157" i="84"/>
  <c r="F156" i="84"/>
  <c r="F155" i="84"/>
  <c r="F154" i="84"/>
  <c r="F153" i="84"/>
  <c r="F152" i="84"/>
  <c r="F151" i="84"/>
  <c r="F150" i="84"/>
  <c r="F149" i="84"/>
  <c r="F148" i="84"/>
  <c r="F147" i="84"/>
  <c r="F146" i="84"/>
  <c r="F145" i="84"/>
  <c r="F144" i="84"/>
  <c r="F143" i="84"/>
  <c r="F142" i="84"/>
  <c r="F141" i="84"/>
  <c r="F140" i="84"/>
  <c r="F139" i="84"/>
  <c r="F138" i="84"/>
  <c r="F137" i="84"/>
  <c r="F136" i="84"/>
  <c r="F135" i="84"/>
  <c r="F134" i="84"/>
  <c r="F133" i="84"/>
  <c r="F132" i="84"/>
  <c r="F131" i="84"/>
  <c r="F130" i="84"/>
  <c r="F129" i="84"/>
  <c r="F128" i="84"/>
  <c r="F127" i="84"/>
  <c r="F126" i="84"/>
  <c r="F125" i="84"/>
  <c r="F124" i="84"/>
  <c r="F123" i="84"/>
  <c r="F122" i="84"/>
  <c r="F121" i="84"/>
  <c r="F120"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4" i="84"/>
  <c r="F93" i="84"/>
  <c r="F92" i="84"/>
  <c r="F91" i="84"/>
  <c r="F90" i="84"/>
  <c r="F89" i="84"/>
  <c r="F88" i="84"/>
  <c r="F87" i="84"/>
  <c r="F86" i="84"/>
  <c r="F85" i="84"/>
  <c r="F84" i="84"/>
  <c r="F83" i="84"/>
  <c r="F82" i="84"/>
  <c r="F81" i="84"/>
  <c r="F80" i="84"/>
  <c r="F79" i="84"/>
  <c r="F78" i="84"/>
  <c r="F77" i="84"/>
  <c r="F76" i="84"/>
  <c r="F75" i="84"/>
  <c r="F74" i="84"/>
  <c r="F73" i="84"/>
  <c r="F72" i="84"/>
  <c r="F71" i="84"/>
  <c r="F70" i="84"/>
  <c r="F69" i="84"/>
  <c r="F68" i="84"/>
  <c r="F67" i="84"/>
  <c r="F66" i="84"/>
  <c r="F65" i="84"/>
  <c r="F64" i="84"/>
  <c r="F63" i="84"/>
  <c r="F62" i="84"/>
  <c r="F61" i="84"/>
  <c r="F60" i="84"/>
  <c r="F59" i="84"/>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8" i="84"/>
  <c r="F7" i="84"/>
  <c r="I48" i="93"/>
  <c r="E61" i="47"/>
  <c r="I10" i="90"/>
  <c r="B110" i="48"/>
  <c r="B46" i="62"/>
  <c r="C183" i="48"/>
  <c r="D183" i="48"/>
  <c r="F183" i="48"/>
  <c r="C184" i="48"/>
  <c r="D184" i="48"/>
  <c r="F184" i="48"/>
  <c r="T69" i="45"/>
  <c r="T68" i="45"/>
  <c r="T109" i="45"/>
  <c r="A7" i="99"/>
  <c r="C174" i="48"/>
  <c r="F174" i="48"/>
  <c r="F175" i="48"/>
  <c r="C160" i="48"/>
  <c r="D160" i="48"/>
  <c r="F160" i="48"/>
  <c r="C161" i="48"/>
  <c r="D161" i="48"/>
  <c r="F161" i="48"/>
  <c r="C162" i="48"/>
  <c r="D162" i="48"/>
  <c r="F162" i="48"/>
  <c r="C163" i="48"/>
  <c r="D163" i="48"/>
  <c r="F163" i="48"/>
  <c r="C164" i="48"/>
  <c r="D164" i="48"/>
  <c r="F164" i="48"/>
  <c r="C165" i="48"/>
  <c r="D165" i="48"/>
  <c r="F165" i="48"/>
  <c r="C166" i="48"/>
  <c r="D166" i="48"/>
  <c r="F166" i="48"/>
  <c r="C167" i="48"/>
  <c r="D167" i="48"/>
  <c r="F167" i="48"/>
  <c r="C168" i="48"/>
  <c r="D168" i="48"/>
  <c r="F168" i="48"/>
  <c r="C169" i="48"/>
  <c r="D169" i="48"/>
  <c r="F169" i="48"/>
  <c r="C171" i="48"/>
  <c r="F171" i="48"/>
  <c r="C172" i="48"/>
  <c r="F172" i="48"/>
  <c r="C173" i="48"/>
  <c r="F173" i="48"/>
  <c r="C156" i="48"/>
  <c r="D156" i="48"/>
  <c r="F156" i="48"/>
  <c r="C157" i="48"/>
  <c r="D157" i="48"/>
  <c r="F157" i="48"/>
  <c r="C158" i="48"/>
  <c r="D158" i="48"/>
  <c r="F158" i="48"/>
  <c r="C159" i="48"/>
  <c r="D159" i="48"/>
  <c r="F159" i="48"/>
  <c r="C152" i="48"/>
  <c r="D152" i="48"/>
  <c r="F152" i="48"/>
  <c r="C153" i="48"/>
  <c r="D153" i="48"/>
  <c r="F153" i="48"/>
  <c r="C154" i="48"/>
  <c r="D154" i="48"/>
  <c r="F154" i="48"/>
  <c r="D172" i="48"/>
  <c r="D173" i="48"/>
  <c r="D174" i="48"/>
  <c r="D175" i="48"/>
  <c r="D171" i="48"/>
  <c r="C151" i="48"/>
  <c r="F151" i="48"/>
  <c r="D151" i="48"/>
  <c r="D150" i="48"/>
  <c r="K17" i="45"/>
  <c r="M17" i="45"/>
  <c r="J17" i="45"/>
  <c r="AE29" i="45"/>
  <c r="B15" i="48"/>
  <c r="BU842" i="88"/>
  <c r="C213" i="45"/>
  <c r="C214" i="45" s="1"/>
  <c r="C215" i="45" s="1"/>
  <c r="C216" i="45" s="1"/>
  <c r="C217" i="45" s="1"/>
  <c r="C218" i="45" s="1"/>
  <c r="C219" i="45" s="1"/>
  <c r="C220" i="45" s="1"/>
  <c r="C221" i="45" s="1"/>
  <c r="C222" i="45" s="1"/>
  <c r="C223" i="45" s="1"/>
  <c r="C224" i="45" s="1"/>
  <c r="C225" i="45" s="1"/>
  <c r="C226" i="45" s="1"/>
  <c r="C227" i="45" s="1"/>
  <c r="C228" i="45" s="1"/>
  <c r="C229" i="45" s="1"/>
  <c r="C230" i="45" s="1"/>
  <c r="C231" i="45" s="1"/>
  <c r="C232" i="45" s="1"/>
  <c r="C233" i="45" s="1"/>
  <c r="C234" i="45" s="1"/>
  <c r="C235" i="45" s="1"/>
  <c r="C236" i="45" s="1"/>
  <c r="C237" i="45" s="1"/>
  <c r="C238" i="45" s="1"/>
  <c r="C239" i="45" s="1"/>
  <c r="C240" i="45" s="1"/>
  <c r="C241" i="45" s="1"/>
  <c r="BN829" i="88"/>
  <c r="BP829" i="88"/>
  <c r="BN830" i="88"/>
  <c r="BO830" i="88" s="1"/>
  <c r="BP830" i="88"/>
  <c r="BQ830" i="88" s="1"/>
  <c r="BN831" i="88"/>
  <c r="BO831" i="88" s="1"/>
  <c r="BP831" i="88"/>
  <c r="BQ831" i="88" s="1"/>
  <c r="BN832" i="88"/>
  <c r="BO832" i="88" s="1"/>
  <c r="BP832" i="88"/>
  <c r="BQ832" i="88" s="1"/>
  <c r="BN833" i="88"/>
  <c r="BO833" i="88" s="1"/>
  <c r="BP833" i="88"/>
  <c r="BQ833" i="88" s="1"/>
  <c r="BN834" i="88"/>
  <c r="BO834" i="88" s="1"/>
  <c r="BP834" i="88"/>
  <c r="BN835" i="88"/>
  <c r="BO835" i="88" s="1"/>
  <c r="BP835" i="88"/>
  <c r="BQ835" i="88" s="1"/>
  <c r="BN836" i="88"/>
  <c r="BO836" i="88" s="1"/>
  <c r="BP836" i="88"/>
  <c r="BQ836" i="88" s="1"/>
  <c r="BN837" i="88"/>
  <c r="BO837" i="88" s="1"/>
  <c r="BP837" i="88"/>
  <c r="BQ837" i="88" s="1"/>
  <c r="BN838" i="88"/>
  <c r="BP838" i="88"/>
  <c r="BQ838" i="88" s="1"/>
  <c r="BN839" i="88"/>
  <c r="BO839" i="88" s="1"/>
  <c r="BP839" i="88"/>
  <c r="BQ839" i="88" s="1"/>
  <c r="BN840" i="88"/>
  <c r="BO840" i="88" s="1"/>
  <c r="BP840" i="88"/>
  <c r="BQ840" i="88" s="1"/>
  <c r="BN841" i="88"/>
  <c r="BO841" i="88" s="1"/>
  <c r="BP841" i="88"/>
  <c r="BQ841" i="88" s="1"/>
  <c r="BN842" i="88"/>
  <c r="BO842" i="88" s="1"/>
  <c r="BP842" i="88"/>
  <c r="BQ842" i="88" s="1"/>
  <c r="BN843" i="88"/>
  <c r="BO843" i="88" s="1"/>
  <c r="BP843" i="88"/>
  <c r="BQ843" i="88" s="1"/>
  <c r="BN844" i="88"/>
  <c r="BO844" i="88" s="1"/>
  <c r="BP844" i="88"/>
  <c r="BQ844" i="88" s="1"/>
  <c r="BN845" i="88"/>
  <c r="BO845" i="88" s="1"/>
  <c r="BP845" i="88"/>
  <c r="BQ845" i="88" s="1"/>
  <c r="BN846" i="88"/>
  <c r="BO846" i="88" s="1"/>
  <c r="BP846" i="88"/>
  <c r="BQ846" i="88" s="1"/>
  <c r="BN847" i="88"/>
  <c r="BO847" i="88" s="1"/>
  <c r="BP847" i="88"/>
  <c r="BQ847" i="88" s="1"/>
  <c r="BN848" i="88"/>
  <c r="BO848" i="88" s="1"/>
  <c r="BP848" i="88"/>
  <c r="BQ848" i="88" s="1"/>
  <c r="BN849" i="88"/>
  <c r="BO849" i="88" s="1"/>
  <c r="BP849" i="88"/>
  <c r="BQ849" i="88" s="1"/>
  <c r="BN850" i="88"/>
  <c r="BO850" i="88" s="1"/>
  <c r="BP850" i="88"/>
  <c r="BQ850" i="88" s="1"/>
  <c r="BN851" i="88"/>
  <c r="BO851" i="88" s="1"/>
  <c r="BP851" i="88"/>
  <c r="BQ851" i="88" s="1"/>
  <c r="BN852" i="88"/>
  <c r="BO852" i="88" s="1"/>
  <c r="BP852" i="88"/>
  <c r="BQ852" i="88" s="1"/>
  <c r="BN853" i="88"/>
  <c r="BO853" i="88" s="1"/>
  <c r="BP853" i="88"/>
  <c r="BQ853" i="88" s="1"/>
  <c r="BN854" i="88"/>
  <c r="BO854" i="88" s="1"/>
  <c r="BP854" i="88"/>
  <c r="BQ854" i="88" s="1"/>
  <c r="BN855" i="88"/>
  <c r="BO855" i="88" s="1"/>
  <c r="BP855" i="88"/>
  <c r="BQ855" i="88" s="1"/>
  <c r="BN856" i="88"/>
  <c r="BO856" i="88" s="1"/>
  <c r="BP856" i="88"/>
  <c r="BQ856" i="88" s="1"/>
  <c r="BN857" i="88"/>
  <c r="BO857" i="88" s="1"/>
  <c r="BP857" i="88"/>
  <c r="BQ857" i="88" s="1"/>
  <c r="BN858" i="88"/>
  <c r="BO858" i="88" s="1"/>
  <c r="BP858" i="88"/>
  <c r="BQ858" i="88" s="1"/>
  <c r="BN859" i="88"/>
  <c r="BO859" i="88" s="1"/>
  <c r="BP859" i="88"/>
  <c r="BQ859" i="88" s="1"/>
  <c r="BN860" i="88"/>
  <c r="BO860" i="88" s="1"/>
  <c r="BP860" i="88"/>
  <c r="BQ860" i="88" s="1"/>
  <c r="BN861" i="88"/>
  <c r="BO861" i="88" s="1"/>
  <c r="BP861" i="88"/>
  <c r="BQ861" i="88" s="1"/>
  <c r="BN862" i="88"/>
  <c r="BO862" i="88" s="1"/>
  <c r="BP862" i="88"/>
  <c r="BQ862" i="88" s="1"/>
  <c r="BN863" i="88"/>
  <c r="BO863" i="88" s="1"/>
  <c r="BP863" i="88"/>
  <c r="BQ863" i="88" s="1"/>
  <c r="BN864" i="88"/>
  <c r="BO864" i="88" s="1"/>
  <c r="BP864" i="88"/>
  <c r="BQ864" i="88" s="1"/>
  <c r="BN865" i="88"/>
  <c r="BO865" i="88" s="1"/>
  <c r="BP865" i="88"/>
  <c r="BQ865" i="88" s="1"/>
  <c r="BN866" i="88"/>
  <c r="BO866" i="88" s="1"/>
  <c r="BP866" i="88"/>
  <c r="BQ866" i="88" s="1"/>
  <c r="BN867" i="88"/>
  <c r="BO867" i="88" s="1"/>
  <c r="BP867" i="88"/>
  <c r="BQ867" i="88" s="1"/>
  <c r="BN868" i="88"/>
  <c r="BO868" i="88" s="1"/>
  <c r="BP868" i="88"/>
  <c r="BQ868" i="88" s="1"/>
  <c r="BN869" i="88"/>
  <c r="BO869" i="88" s="1"/>
  <c r="BP869" i="88"/>
  <c r="BQ869" i="88" s="1"/>
  <c r="BN870" i="88"/>
  <c r="BO870" i="88" s="1"/>
  <c r="BP870" i="88"/>
  <c r="BQ870" i="88" s="1"/>
  <c r="BN871" i="88"/>
  <c r="BO871" i="88" s="1"/>
  <c r="BP871" i="88"/>
  <c r="BQ871" i="88" s="1"/>
  <c r="BN872" i="88"/>
  <c r="BO872" i="88" s="1"/>
  <c r="BP872" i="88"/>
  <c r="BQ872" i="88" s="1"/>
  <c r="BN873" i="88"/>
  <c r="BO873" i="88" s="1"/>
  <c r="BP873" i="88"/>
  <c r="BQ873" i="88" s="1"/>
  <c r="BN874" i="88"/>
  <c r="BO874" i="88" s="1"/>
  <c r="BP874" i="88"/>
  <c r="BQ874" i="88" s="1"/>
  <c r="BN875" i="88"/>
  <c r="BO875" i="88"/>
  <c r="BP875" i="88"/>
  <c r="BQ875" i="88" s="1"/>
  <c r="BN876" i="88"/>
  <c r="BO876" i="88" s="1"/>
  <c r="BP876" i="88"/>
  <c r="BQ876" i="88" s="1"/>
  <c r="BN877" i="88"/>
  <c r="BO877" i="88" s="1"/>
  <c r="BP877" i="88"/>
  <c r="BQ877" i="88" s="1"/>
  <c r="BN878" i="88"/>
  <c r="BP878" i="88"/>
  <c r="BQ878" i="88" s="1"/>
  <c r="BN879" i="88"/>
  <c r="BO879" i="88" s="1"/>
  <c r="BP879" i="88"/>
  <c r="BQ879" i="88" s="1"/>
  <c r="BN880" i="88"/>
  <c r="BO880" i="88" s="1"/>
  <c r="BP880" i="88"/>
  <c r="BQ880" i="88" s="1"/>
  <c r="BN881" i="88"/>
  <c r="BO881" i="88" s="1"/>
  <c r="BP881" i="88"/>
  <c r="BQ881" i="88" s="1"/>
  <c r="BN882" i="88"/>
  <c r="BO882" i="88" s="1"/>
  <c r="BP882" i="88"/>
  <c r="BQ882" i="88" s="1"/>
  <c r="BN883" i="88"/>
  <c r="BO883" i="88" s="1"/>
  <c r="BP883" i="88"/>
  <c r="BQ883" i="88" s="1"/>
  <c r="BN884" i="88"/>
  <c r="BO884" i="88" s="1"/>
  <c r="BP884" i="88"/>
  <c r="BQ884" i="88" s="1"/>
  <c r="BN885" i="88"/>
  <c r="BO885" i="88" s="1"/>
  <c r="BP885" i="88"/>
  <c r="BQ885" i="88" s="1"/>
  <c r="BN886" i="88"/>
  <c r="BO886" i="88" s="1"/>
  <c r="BP886" i="88"/>
  <c r="BQ886" i="88" s="1"/>
  <c r="BN887" i="88"/>
  <c r="BO887" i="88" s="1"/>
  <c r="BP887" i="88"/>
  <c r="BQ887" i="88" s="1"/>
  <c r="BN888" i="88"/>
  <c r="BO888" i="88" s="1"/>
  <c r="BP888" i="88"/>
  <c r="BQ888" i="88" s="1"/>
  <c r="BN889" i="88"/>
  <c r="BO889" i="88" s="1"/>
  <c r="BP889" i="88"/>
  <c r="BN890" i="88"/>
  <c r="BO890" i="88" s="1"/>
  <c r="BP890" i="88"/>
  <c r="BQ890" i="88" s="1"/>
  <c r="BN891" i="88"/>
  <c r="BO891" i="88" s="1"/>
  <c r="BP891" i="88"/>
  <c r="BQ891" i="88" s="1"/>
  <c r="BN892" i="88"/>
  <c r="BO892" i="88" s="1"/>
  <c r="BP892" i="88"/>
  <c r="BN893" i="88"/>
  <c r="BO893" i="88" s="1"/>
  <c r="BP893" i="88"/>
  <c r="BQ893" i="88" s="1"/>
  <c r="BN894" i="88"/>
  <c r="BO894" i="88" s="1"/>
  <c r="BP894" i="88"/>
  <c r="BQ894" i="88" s="1"/>
  <c r="BN895" i="88"/>
  <c r="BO895" i="88" s="1"/>
  <c r="BP895" i="88"/>
  <c r="BQ895" i="88" s="1"/>
  <c r="BN896" i="88"/>
  <c r="BO896" i="88" s="1"/>
  <c r="BP896" i="88"/>
  <c r="BQ896" i="88" s="1"/>
  <c r="BN897" i="88"/>
  <c r="BO897" i="88" s="1"/>
  <c r="BP897" i="88"/>
  <c r="BQ897" i="88" s="1"/>
  <c r="BN898" i="88"/>
  <c r="BO898" i="88" s="1"/>
  <c r="BP898" i="88"/>
  <c r="BQ898" i="88" s="1"/>
  <c r="BN899" i="88"/>
  <c r="BO899" i="88" s="1"/>
  <c r="BP899" i="88"/>
  <c r="BQ899" i="88" s="1"/>
  <c r="BN900" i="88"/>
  <c r="BO900" i="88" s="1"/>
  <c r="BP900" i="88"/>
  <c r="BQ900" i="88" s="1"/>
  <c r="BN901" i="88"/>
  <c r="BO901" i="88" s="1"/>
  <c r="BP901" i="88"/>
  <c r="BN902" i="88"/>
  <c r="BO902" i="88" s="1"/>
  <c r="BP902" i="88"/>
  <c r="BQ902" i="88" s="1"/>
  <c r="BN903" i="88"/>
  <c r="BO903" i="88" s="1"/>
  <c r="BP903" i="88"/>
  <c r="BQ903" i="88" s="1"/>
  <c r="BN904" i="88"/>
  <c r="BO904" i="88" s="1"/>
  <c r="BP904" i="88"/>
  <c r="BQ904" i="88" s="1"/>
  <c r="BN905" i="88"/>
  <c r="BP905" i="88"/>
  <c r="BN906" i="88"/>
  <c r="BO906" i="88" s="1"/>
  <c r="BP906" i="88"/>
  <c r="BQ906" i="88" s="1"/>
  <c r="BN907" i="88"/>
  <c r="BO907" i="88" s="1"/>
  <c r="BP907" i="88"/>
  <c r="BQ907" i="88" s="1"/>
  <c r="BN908" i="88"/>
  <c r="BO908" i="88" s="1"/>
  <c r="BP908" i="88"/>
  <c r="BQ908" i="88" s="1"/>
  <c r="BN909" i="88"/>
  <c r="BO909" i="88" s="1"/>
  <c r="BP909" i="88"/>
  <c r="BQ909" i="88" s="1"/>
  <c r="BN910" i="88"/>
  <c r="BO910" i="88" s="1"/>
  <c r="BP910" i="88"/>
  <c r="BQ910" i="88" s="1"/>
  <c r="BN911" i="88"/>
  <c r="BP911" i="88"/>
  <c r="BQ911" i="88" s="1"/>
  <c r="BN912" i="88"/>
  <c r="BO912" i="88" s="1"/>
  <c r="BP912" i="88"/>
  <c r="BQ912" i="88" s="1"/>
  <c r="BN913" i="88"/>
  <c r="BO913" i="88" s="1"/>
  <c r="BP913" i="88"/>
  <c r="BQ913" i="88" s="1"/>
  <c r="BN914" i="88"/>
  <c r="BO914" i="88" s="1"/>
  <c r="BP914" i="88"/>
  <c r="BQ914" i="88" s="1"/>
  <c r="BN915" i="88"/>
  <c r="BO915" i="88" s="1"/>
  <c r="BP915" i="88"/>
  <c r="BQ915" i="88" s="1"/>
  <c r="BN916" i="88"/>
  <c r="BO916" i="88" s="1"/>
  <c r="BP916" i="88"/>
  <c r="BQ916" i="88" s="1"/>
  <c r="BN917" i="88"/>
  <c r="BO917" i="88" s="1"/>
  <c r="BP917" i="88"/>
  <c r="BQ917" i="88" s="1"/>
  <c r="BN918" i="88"/>
  <c r="BO918" i="88" s="1"/>
  <c r="BP918" i="88"/>
  <c r="BQ918" i="88" s="1"/>
  <c r="BN919" i="88"/>
  <c r="BO919" i="88" s="1"/>
  <c r="BP919" i="88"/>
  <c r="BQ919" i="88" s="1"/>
  <c r="BN920" i="88"/>
  <c r="BP920" i="88"/>
  <c r="BN921" i="88"/>
  <c r="BO921" i="88" s="1"/>
  <c r="BP921" i="88"/>
  <c r="BQ921" i="88" s="1"/>
  <c r="BN922" i="88"/>
  <c r="BO922" i="88" s="1"/>
  <c r="BP922" i="88"/>
  <c r="BQ922" i="88" s="1"/>
  <c r="BN923" i="88"/>
  <c r="BO923" i="88" s="1"/>
  <c r="BP923" i="88"/>
  <c r="BQ923" i="88" s="1"/>
  <c r="BN924" i="88"/>
  <c r="BO924" i="88" s="1"/>
  <c r="BP924" i="88"/>
  <c r="BQ924" i="88" s="1"/>
  <c r="BN925" i="88"/>
  <c r="BO925" i="88" s="1"/>
  <c r="BP925" i="88"/>
  <c r="BQ925" i="88" s="1"/>
  <c r="BN926" i="88"/>
  <c r="BO926" i="88" s="1"/>
  <c r="BP926" i="88"/>
  <c r="BQ926" i="88" s="1"/>
  <c r="BN927" i="88"/>
  <c r="BO927" i="88" s="1"/>
  <c r="BP927" i="88"/>
  <c r="BQ927" i="88" s="1"/>
  <c r="BN928" i="88"/>
  <c r="BO928" i="88" s="1"/>
  <c r="BP928" i="88"/>
  <c r="BQ928" i="88" s="1"/>
  <c r="BN929" i="88"/>
  <c r="BO929" i="88" s="1"/>
  <c r="BP929" i="88"/>
  <c r="BQ929" i="88" s="1"/>
  <c r="BN930" i="88"/>
  <c r="BO930" i="88" s="1"/>
  <c r="BP930" i="88"/>
  <c r="BQ930" i="88" s="1"/>
  <c r="BN931" i="88"/>
  <c r="BO931" i="88" s="1"/>
  <c r="BP931" i="88"/>
  <c r="BQ931" i="88" s="1"/>
  <c r="BN932" i="88"/>
  <c r="BO932" i="88" s="1"/>
  <c r="BP932" i="88"/>
  <c r="BN933" i="88"/>
  <c r="BO933" i="88" s="1"/>
  <c r="BP933" i="88"/>
  <c r="BQ933" i="88" s="1"/>
  <c r="BN934" i="88"/>
  <c r="BO934" i="88" s="1"/>
  <c r="BP934" i="88"/>
  <c r="BQ934" i="88" s="1"/>
  <c r="BN935" i="88"/>
  <c r="BO935" i="88" s="1"/>
  <c r="BP935" i="88"/>
  <c r="BQ935" i="88" s="1"/>
  <c r="BN936" i="88"/>
  <c r="BO936" i="88" s="1"/>
  <c r="BP936" i="88"/>
  <c r="BQ936" i="88" s="1"/>
  <c r="BN937" i="88"/>
  <c r="BP937" i="88"/>
  <c r="BN938" i="88"/>
  <c r="BO938" i="88" s="1"/>
  <c r="BP938" i="88"/>
  <c r="BQ938" i="88" s="1"/>
  <c r="BN939" i="88"/>
  <c r="BO939" i="88" s="1"/>
  <c r="BP939" i="88"/>
  <c r="BQ939" i="88" s="1"/>
  <c r="BN940" i="88"/>
  <c r="BO940" i="88" s="1"/>
  <c r="BP940" i="88"/>
  <c r="BQ940" i="88" s="1"/>
  <c r="BN941" i="88"/>
  <c r="BO941" i="88" s="1"/>
  <c r="BP941" i="88"/>
  <c r="BQ941" i="88" s="1"/>
  <c r="BN942" i="88"/>
  <c r="BO942" i="88" s="1"/>
  <c r="BP942" i="88"/>
  <c r="BQ942" i="88" s="1"/>
  <c r="BN943" i="88"/>
  <c r="BO943" i="88" s="1"/>
  <c r="BP943" i="88"/>
  <c r="BQ943" i="88" s="1"/>
  <c r="BN944" i="88"/>
  <c r="BO944" i="88" s="1"/>
  <c r="BP944" i="88"/>
  <c r="BQ944" i="88" s="1"/>
  <c r="BN945" i="88"/>
  <c r="BO945" i="88" s="1"/>
  <c r="BP945" i="88"/>
  <c r="BQ945" i="88" s="1"/>
  <c r="BN946" i="88"/>
  <c r="BO946" i="88" s="1"/>
  <c r="BP946" i="88"/>
  <c r="BQ946" i="88" s="1"/>
  <c r="BN947" i="88"/>
  <c r="BO947" i="88" s="1"/>
  <c r="BP947" i="88"/>
  <c r="BQ947" i="88" s="1"/>
  <c r="BN948" i="88"/>
  <c r="BO948" i="88" s="1"/>
  <c r="BP948" i="88"/>
  <c r="BQ948" i="88" s="1"/>
  <c r="BN949" i="88"/>
  <c r="BO949" i="88" s="1"/>
  <c r="BP949" i="88"/>
  <c r="BQ949" i="88" s="1"/>
  <c r="BN950" i="88"/>
  <c r="BO950" i="88" s="1"/>
  <c r="BP950" i="88"/>
  <c r="BQ950" i="88" s="1"/>
  <c r="BN951" i="88"/>
  <c r="BO951" i="88" s="1"/>
  <c r="BP951" i="88"/>
  <c r="BQ951" i="88" s="1"/>
  <c r="BN952" i="88"/>
  <c r="BO952" i="88" s="1"/>
  <c r="BP952" i="88"/>
  <c r="BQ952" i="88" s="1"/>
  <c r="BN953" i="88"/>
  <c r="BO953" i="88" s="1"/>
  <c r="BP953" i="88"/>
  <c r="BQ953" i="88" s="1"/>
  <c r="BN954" i="88"/>
  <c r="BO954" i="88" s="1"/>
  <c r="BP954" i="88"/>
  <c r="BQ954" i="88" s="1"/>
  <c r="BN955" i="88"/>
  <c r="BO955" i="88" s="1"/>
  <c r="BP955" i="88"/>
  <c r="BN956" i="88"/>
  <c r="BO956" i="88" s="1"/>
  <c r="BP956" i="88"/>
  <c r="BQ956" i="88" s="1"/>
  <c r="BN957" i="88"/>
  <c r="BO957" i="88" s="1"/>
  <c r="BP957" i="88"/>
  <c r="BQ957" i="88" s="1"/>
  <c r="BN958" i="88"/>
  <c r="BO958" i="88" s="1"/>
  <c r="BP958" i="88"/>
  <c r="BQ958" i="88" s="1"/>
  <c r="BN959" i="88"/>
  <c r="BO959" i="88" s="1"/>
  <c r="BP959" i="88"/>
  <c r="BQ959" i="88" s="1"/>
  <c r="BN960" i="88"/>
  <c r="BO960" i="88" s="1"/>
  <c r="BP960" i="88"/>
  <c r="BQ960" i="88" s="1"/>
  <c r="BN961" i="88"/>
  <c r="BO961" i="88" s="1"/>
  <c r="BP961" i="88"/>
  <c r="BQ961" i="88" s="1"/>
  <c r="BN962" i="88"/>
  <c r="BO962" i="88" s="1"/>
  <c r="BP962" i="88"/>
  <c r="BQ962" i="88" s="1"/>
  <c r="BN963" i="88"/>
  <c r="BO963" i="88" s="1"/>
  <c r="BP963" i="88"/>
  <c r="BQ963" i="88" s="1"/>
  <c r="BN964" i="88"/>
  <c r="BP964" i="88"/>
  <c r="BQ964" i="88" s="1"/>
  <c r="BN965" i="88"/>
  <c r="BO965" i="88" s="1"/>
  <c r="BP965" i="88"/>
  <c r="BQ965" i="88" s="1"/>
  <c r="BN966" i="88"/>
  <c r="BO966" i="88" s="1"/>
  <c r="BP966" i="88"/>
  <c r="BQ966" i="88" s="1"/>
  <c r="BN967" i="88"/>
  <c r="BO967" i="88" s="1"/>
  <c r="BP967" i="88"/>
  <c r="BQ967" i="88" s="1"/>
  <c r="BN968" i="88"/>
  <c r="BO968" i="88" s="1"/>
  <c r="BP968" i="88"/>
  <c r="BQ968" i="88" s="1"/>
  <c r="BN969" i="88"/>
  <c r="BO969" i="88" s="1"/>
  <c r="BP969" i="88"/>
  <c r="BQ969" i="88" s="1"/>
  <c r="BN970" i="88"/>
  <c r="BO970" i="88" s="1"/>
  <c r="BP970" i="88"/>
  <c r="BQ970" i="88" s="1"/>
  <c r="BN971" i="88"/>
  <c r="BO971" i="88" s="1"/>
  <c r="BP971" i="88"/>
  <c r="BQ971" i="88" s="1"/>
  <c r="BN972" i="88"/>
  <c r="BO972" i="88" s="1"/>
  <c r="BP972" i="88"/>
  <c r="BQ972" i="88" s="1"/>
  <c r="BN973" i="88"/>
  <c r="BO973" i="88" s="1"/>
  <c r="BP973" i="88"/>
  <c r="BQ973" i="88" s="1"/>
  <c r="BN974" i="88"/>
  <c r="BP974" i="88"/>
  <c r="BQ974" i="88" s="1"/>
  <c r="BN975" i="88"/>
  <c r="BO975" i="88" s="1"/>
  <c r="BP975" i="88"/>
  <c r="BQ975" i="88" s="1"/>
  <c r="BN976" i="88"/>
  <c r="BO976" i="88" s="1"/>
  <c r="BP976" i="88"/>
  <c r="BQ976" i="88" s="1"/>
  <c r="BN977" i="88"/>
  <c r="BO977" i="88" s="1"/>
  <c r="BP977" i="88"/>
  <c r="BQ977" i="88" s="1"/>
  <c r="BN978" i="88"/>
  <c r="BO978" i="88" s="1"/>
  <c r="BP978" i="88"/>
  <c r="BQ978" i="88" s="1"/>
  <c r="BN979" i="88"/>
  <c r="BO979" i="88" s="1"/>
  <c r="BP979" i="88"/>
  <c r="BQ979" i="88" s="1"/>
  <c r="BN980" i="88"/>
  <c r="BO980" i="88" s="1"/>
  <c r="BP980" i="88"/>
  <c r="BQ980" i="88" s="1"/>
  <c r="BN981" i="88"/>
  <c r="BO981" i="88" s="1"/>
  <c r="BP981" i="88"/>
  <c r="BQ981" i="88" s="1"/>
  <c r="BN982" i="88"/>
  <c r="BO982" i="88" s="1"/>
  <c r="BP982" i="88"/>
  <c r="BQ982" i="88" s="1"/>
  <c r="BN983" i="88"/>
  <c r="BO983" i="88" s="1"/>
  <c r="BP983" i="88"/>
  <c r="BQ983" i="88" s="1"/>
  <c r="BN984" i="88"/>
  <c r="BO984" i="88" s="1"/>
  <c r="BP984" i="88"/>
  <c r="BQ984" i="88" s="1"/>
  <c r="BN985" i="88"/>
  <c r="BO985" i="88" s="1"/>
  <c r="BP985" i="88"/>
  <c r="BQ985" i="88" s="1"/>
  <c r="BN986" i="88"/>
  <c r="BO986" i="88" s="1"/>
  <c r="BP986" i="88"/>
  <c r="BQ986" i="88" s="1"/>
  <c r="BN987" i="88"/>
  <c r="BO987" i="88" s="1"/>
  <c r="BP987" i="88"/>
  <c r="BQ987" i="88" s="1"/>
  <c r="BN988" i="88"/>
  <c r="BO988" i="88" s="1"/>
  <c r="BP988" i="88"/>
  <c r="BQ988" i="88" s="1"/>
  <c r="BN989" i="88"/>
  <c r="BO989" i="88" s="1"/>
  <c r="BP989" i="88"/>
  <c r="BQ989" i="88" s="1"/>
  <c r="BN990" i="88"/>
  <c r="BO990" i="88" s="1"/>
  <c r="BP990" i="88"/>
  <c r="BQ990" i="88" s="1"/>
  <c r="BN991" i="88"/>
  <c r="BP991" i="88"/>
  <c r="BQ991" i="88" s="1"/>
  <c r="BN992" i="88"/>
  <c r="BO992" i="88" s="1"/>
  <c r="BP992" i="88"/>
  <c r="BQ992" i="88" s="1"/>
  <c r="BN993" i="88"/>
  <c r="BO993" i="88" s="1"/>
  <c r="BP993" i="88"/>
  <c r="BQ993" i="88" s="1"/>
  <c r="BN994" i="88"/>
  <c r="BO994" i="88" s="1"/>
  <c r="BP994" i="88"/>
  <c r="BQ994" i="88" s="1"/>
  <c r="BN995" i="88"/>
  <c r="BO995" i="88" s="1"/>
  <c r="BP995" i="88"/>
  <c r="BQ995" i="88" s="1"/>
  <c r="BN996" i="88"/>
  <c r="BO996" i="88" s="1"/>
  <c r="BP996" i="88"/>
  <c r="BQ996" i="88" s="1"/>
  <c r="BN997" i="88"/>
  <c r="BO997" i="88" s="1"/>
  <c r="BP997" i="88"/>
  <c r="BQ997" i="88" s="1"/>
  <c r="BN998" i="88"/>
  <c r="BO998" i="88" s="1"/>
  <c r="BP998" i="88"/>
  <c r="BQ998" i="88" s="1"/>
  <c r="BN999" i="88"/>
  <c r="BP999" i="88"/>
  <c r="BN1000" i="88"/>
  <c r="BO1000" i="88" s="1"/>
  <c r="BP1000" i="88"/>
  <c r="BQ1000" i="88" s="1"/>
  <c r="BN1001" i="88"/>
  <c r="BO1001" i="88" s="1"/>
  <c r="BP1001" i="88"/>
  <c r="BQ1001" i="88" s="1"/>
  <c r="BN1002" i="88"/>
  <c r="BO1002" i="88" s="1"/>
  <c r="BP1002" i="88"/>
  <c r="BQ1002" i="88" s="1"/>
  <c r="BN1003" i="88"/>
  <c r="BO1003" i="88" s="1"/>
  <c r="BP1003" i="88"/>
  <c r="BQ1003" i="88" s="1"/>
  <c r="BN1004" i="88"/>
  <c r="BO1004" i="88" s="1"/>
  <c r="BP1004" i="88"/>
  <c r="BQ1004" i="88" s="1"/>
  <c r="BN1005" i="88"/>
  <c r="BO1005" i="88" s="1"/>
  <c r="BP1005" i="88"/>
  <c r="BQ1005" i="88" s="1"/>
  <c r="BN1006" i="88"/>
  <c r="BO1006" i="88" s="1"/>
  <c r="BP1006" i="88"/>
  <c r="BQ1006" i="88" s="1"/>
  <c r="BN1007" i="88"/>
  <c r="BO1007" i="88" s="1"/>
  <c r="BP1007" i="88"/>
  <c r="BQ1007" i="88" s="1"/>
  <c r="BN1008" i="88"/>
  <c r="BO1008" i="88" s="1"/>
  <c r="BP1008" i="88"/>
  <c r="BQ1008" i="88" s="1"/>
  <c r="BN1009" i="88"/>
  <c r="BO1009" i="88" s="1"/>
  <c r="BP1009" i="88"/>
  <c r="BQ1009" i="88" s="1"/>
  <c r="BN1010" i="88"/>
  <c r="BP1010" i="88"/>
  <c r="BQ1010" i="88" s="1"/>
  <c r="BN1011" i="88"/>
  <c r="BO1011" i="88" s="1"/>
  <c r="BP1011" i="88"/>
  <c r="BQ1011" i="88" s="1"/>
  <c r="BN1012" i="88"/>
  <c r="BO1012" i="88" s="1"/>
  <c r="BP1012" i="88"/>
  <c r="BQ1012" i="88" s="1"/>
  <c r="BN1013" i="88"/>
  <c r="BO1013" i="88" s="1"/>
  <c r="BP1013" i="88"/>
  <c r="BQ1013" i="88" s="1"/>
  <c r="BN1014" i="88"/>
  <c r="BO1014" i="88" s="1"/>
  <c r="BP1014" i="88"/>
  <c r="BQ1014" i="88" s="1"/>
  <c r="BN1015" i="88"/>
  <c r="BO1015" i="88" s="1"/>
  <c r="BP1015" i="88"/>
  <c r="BQ1015" i="88" s="1"/>
  <c r="BN1016" i="88"/>
  <c r="BO1016" i="88" s="1"/>
  <c r="BP1016" i="88"/>
  <c r="BQ1016" i="88" s="1"/>
  <c r="BN1017" i="88"/>
  <c r="BO1017" i="88" s="1"/>
  <c r="BP1017" i="88"/>
  <c r="BQ1017" i="88" s="1"/>
  <c r="BN1018" i="88"/>
  <c r="BO1018" i="88" s="1"/>
  <c r="BP1018" i="88"/>
  <c r="BQ1018" i="88" s="1"/>
  <c r="BN1019" i="88"/>
  <c r="BO1019" i="88" s="1"/>
  <c r="BP1019" i="88"/>
  <c r="BQ1019" i="88" s="1"/>
  <c r="BN1020" i="88"/>
  <c r="BO1020" i="88" s="1"/>
  <c r="BP1020" i="88"/>
  <c r="BQ1020" i="88" s="1"/>
  <c r="BN1021" i="88"/>
  <c r="BO1021" i="88" s="1"/>
  <c r="BP1021" i="88"/>
  <c r="BQ1021" i="88" s="1"/>
  <c r="BN1022" i="88"/>
  <c r="BO1022" i="88" s="1"/>
  <c r="BP1022" i="88"/>
  <c r="BQ1022" i="88" s="1"/>
  <c r="BN1023" i="88"/>
  <c r="BO1023" i="88" s="1"/>
  <c r="BP1023" i="88"/>
  <c r="BQ1023" i="88" s="1"/>
  <c r="BN1024" i="88"/>
  <c r="BO1024" i="88" s="1"/>
  <c r="BP1024" i="88"/>
  <c r="BQ1024" i="88" s="1"/>
  <c r="BN1025" i="88"/>
  <c r="BO1025" i="88" s="1"/>
  <c r="BP1025" i="88"/>
  <c r="BQ1025" i="88" s="1"/>
  <c r="BN1026" i="88"/>
  <c r="BP1026" i="88"/>
  <c r="BQ1026" i="88" s="1"/>
  <c r="BN1027" i="88"/>
  <c r="BO1027" i="88" s="1"/>
  <c r="BP1027" i="88"/>
  <c r="BQ1027" i="88" s="1"/>
  <c r="BN1028" i="88"/>
  <c r="BO1028" i="88" s="1"/>
  <c r="BP1028" i="88"/>
  <c r="BQ1028" i="88" s="1"/>
  <c r="BN1029" i="88"/>
  <c r="BO1029" i="88" s="1"/>
  <c r="BP1029" i="88"/>
  <c r="BQ1029" i="88" s="1"/>
  <c r="BN1030" i="88"/>
  <c r="BO1030" i="88" s="1"/>
  <c r="BP1030" i="88"/>
  <c r="BQ1030" i="88" s="1"/>
  <c r="BN1031" i="88"/>
  <c r="BO1031" i="88" s="1"/>
  <c r="BP1031" i="88"/>
  <c r="BQ1031" i="88" s="1"/>
  <c r="BN1032" i="88"/>
  <c r="BO1032" i="88" s="1"/>
  <c r="BP1032" i="88"/>
  <c r="BQ1032" i="88" s="1"/>
  <c r="BN1033" i="88"/>
  <c r="BO1033" i="88" s="1"/>
  <c r="BP1033" i="88"/>
  <c r="BQ1033" i="88" s="1"/>
  <c r="BN1034" i="88"/>
  <c r="BO1034" i="88" s="1"/>
  <c r="BP1034" i="88"/>
  <c r="BQ1034" i="88" s="1"/>
  <c r="BN1035" i="88"/>
  <c r="BO1035" i="88" s="1"/>
  <c r="BP1035" i="88"/>
  <c r="BQ1035" i="88" s="1"/>
  <c r="BN1036" i="88"/>
  <c r="BO1036" i="88" s="1"/>
  <c r="BP1036" i="88"/>
  <c r="BQ1036" i="88" s="1"/>
  <c r="BN1037" i="88"/>
  <c r="BO1037" i="88" s="1"/>
  <c r="BP1037" i="88"/>
  <c r="BQ1037" i="88" s="1"/>
  <c r="BN1038" i="88"/>
  <c r="BO1038" i="88" s="1"/>
  <c r="BP1038" i="88"/>
  <c r="BQ1038" i="88" s="1"/>
  <c r="BN1039" i="88"/>
  <c r="BO1039" i="88" s="1"/>
  <c r="BP1039" i="88"/>
  <c r="BQ1039" i="88" s="1"/>
  <c r="BN1040" i="88"/>
  <c r="BO1040" i="88" s="1"/>
  <c r="BP1040" i="88"/>
  <c r="BQ1040" i="88" s="1"/>
  <c r="BN1041" i="88"/>
  <c r="BO1041" i="88" s="1"/>
  <c r="BP1041" i="88"/>
  <c r="BQ1041" i="88" s="1"/>
  <c r="BN1042" i="88"/>
  <c r="BO1042" i="88" s="1"/>
  <c r="BP1042" i="88"/>
  <c r="BQ1042" i="88" s="1"/>
  <c r="BN1043" i="88"/>
  <c r="BP1043" i="88"/>
  <c r="BQ1043" i="88" s="1"/>
  <c r="BN1044" i="88"/>
  <c r="BO1044" i="88" s="1"/>
  <c r="BP1044" i="88"/>
  <c r="BQ1044" i="88" s="1"/>
  <c r="BN1045" i="88"/>
  <c r="BO1045" i="88" s="1"/>
  <c r="BP1045" i="88"/>
  <c r="BQ1045" i="88" s="1"/>
  <c r="BN1046" i="88"/>
  <c r="BO1046" i="88" s="1"/>
  <c r="BP1046" i="88"/>
  <c r="BQ1046" i="88" s="1"/>
  <c r="BN1047" i="88"/>
  <c r="BO1047" i="88" s="1"/>
  <c r="BP1047" i="88"/>
  <c r="BQ1047" i="88" s="1"/>
  <c r="BN1048" i="88"/>
  <c r="BO1048" i="88" s="1"/>
  <c r="BP1048" i="88"/>
  <c r="BQ1048" i="88" s="1"/>
  <c r="BN1049" i="88"/>
  <c r="BO1049" i="88" s="1"/>
  <c r="BP1049" i="88"/>
  <c r="BQ1049" i="88" s="1"/>
  <c r="BN1050" i="88"/>
  <c r="BO1050" i="88" s="1"/>
  <c r="BP1050" i="88"/>
  <c r="BQ1050" i="88" s="1"/>
  <c r="BN1051" i="88"/>
  <c r="BO1051" i="88" s="1"/>
  <c r="BP1051" i="88"/>
  <c r="BQ1051" i="88" s="1"/>
  <c r="BN1052" i="88"/>
  <c r="BP1052" i="88"/>
  <c r="BN1053" i="88"/>
  <c r="BO1053" i="88" s="1"/>
  <c r="BP1053" i="88"/>
  <c r="BQ1053" i="88" s="1"/>
  <c r="BN1054" i="88"/>
  <c r="BO1054" i="88" s="1"/>
  <c r="BP1054" i="88"/>
  <c r="BQ1054" i="88" s="1"/>
  <c r="BN1055" i="88"/>
  <c r="BP1055" i="88"/>
  <c r="BN1056" i="88"/>
  <c r="BO1056" i="88" s="1"/>
  <c r="BP1056" i="88"/>
  <c r="BQ1056" i="88" s="1"/>
  <c r="BN1057" i="88"/>
  <c r="BO1057" i="88" s="1"/>
  <c r="BP1057" i="88"/>
  <c r="BQ1057" i="88" s="1"/>
  <c r="BN1058" i="88"/>
  <c r="BO1058" i="88" s="1"/>
  <c r="BP1058" i="88"/>
  <c r="BQ1058" i="88" s="1"/>
  <c r="BN1059" i="88"/>
  <c r="BO1059" i="88" s="1"/>
  <c r="BP1059" i="88"/>
  <c r="BQ1059" i="88" s="1"/>
  <c r="BN1060" i="88"/>
  <c r="BO1060" i="88" s="1"/>
  <c r="BP1060" i="88"/>
  <c r="BQ1060" i="88" s="1"/>
  <c r="BN1061" i="88"/>
  <c r="BO1061" i="88" s="1"/>
  <c r="BP1061" i="88"/>
  <c r="BQ1061" i="88" s="1"/>
  <c r="BN1062" i="88"/>
  <c r="BO1062" i="88" s="1"/>
  <c r="BP1062" i="88"/>
  <c r="BQ1062" i="88" s="1"/>
  <c r="BN1063" i="88"/>
  <c r="BO1063" i="88" s="1"/>
  <c r="BP1063" i="88"/>
  <c r="BQ1063" i="88" s="1"/>
  <c r="BN1064" i="88"/>
  <c r="BO1064" i="88" s="1"/>
  <c r="BP1064" i="88"/>
  <c r="BQ1064" i="88" s="1"/>
  <c r="BN1065" i="88"/>
  <c r="BO1065" i="88" s="1"/>
  <c r="BP1065" i="88"/>
  <c r="BQ1065" i="88" s="1"/>
  <c r="BN1066" i="88"/>
  <c r="BO1066" i="88" s="1"/>
  <c r="BP1066" i="88"/>
  <c r="BQ1066" i="88" s="1"/>
  <c r="BN1067" i="88"/>
  <c r="BO1067" i="88" s="1"/>
  <c r="BP1067" i="88"/>
  <c r="BQ1067" i="88" s="1"/>
  <c r="BN1068" i="88"/>
  <c r="BO1068" i="88" s="1"/>
  <c r="BP1068" i="88"/>
  <c r="BQ1068" i="88" s="1"/>
  <c r="BN1069" i="88"/>
  <c r="BO1069" i="88" s="1"/>
  <c r="BP1069" i="88"/>
  <c r="BQ1069" i="88" s="1"/>
  <c r="BN1070" i="88"/>
  <c r="BO1070" i="88" s="1"/>
  <c r="BP1070" i="88"/>
  <c r="BQ1070" i="88" s="1"/>
  <c r="BN1071" i="88"/>
  <c r="BO1071" i="88" s="1"/>
  <c r="BP1071" i="88"/>
  <c r="BQ1071" i="88" s="1"/>
  <c r="BN1072" i="88"/>
  <c r="BO1072" i="88" s="1"/>
  <c r="BP1072" i="88"/>
  <c r="BQ1072" i="88" s="1"/>
  <c r="BN1073" i="88"/>
  <c r="BO1073" i="88" s="1"/>
  <c r="BP1073" i="88"/>
  <c r="BQ1073" i="88" s="1"/>
  <c r="BN1074" i="88"/>
  <c r="BO1074" i="88" s="1"/>
  <c r="BP1074" i="88"/>
  <c r="BQ1074" i="88" s="1"/>
  <c r="BN1075" i="88"/>
  <c r="BO1075" i="88" s="1"/>
  <c r="BP1075" i="88"/>
  <c r="BQ1075" i="88" s="1"/>
  <c r="BN1076" i="88"/>
  <c r="BO1076" i="88" s="1"/>
  <c r="BP1076" i="88"/>
  <c r="BQ1076" i="88" s="1"/>
  <c r="BN1077" i="88"/>
  <c r="BO1077" i="88" s="1"/>
  <c r="BP1077" i="88"/>
  <c r="BQ1077" i="88" s="1"/>
  <c r="BN1078" i="88"/>
  <c r="BO1078" i="88" s="1"/>
  <c r="BP1078" i="88"/>
  <c r="BQ1078" i="88" s="1"/>
  <c r="BN1079" i="88"/>
  <c r="BO1079" i="88" s="1"/>
  <c r="BP1079" i="88"/>
  <c r="BQ1079" i="88" s="1"/>
  <c r="BN1080" i="88"/>
  <c r="BO1080" i="88" s="1"/>
  <c r="BP1080" i="88"/>
  <c r="BQ1080" i="88" s="1"/>
  <c r="BN1081" i="88"/>
  <c r="BO1081" i="88" s="1"/>
  <c r="BP1081" i="88"/>
  <c r="BQ1081" i="88" s="1"/>
  <c r="BN1082" i="88"/>
  <c r="BP1082" i="88"/>
  <c r="BQ1082" i="88" s="1"/>
  <c r="BN1083" i="88"/>
  <c r="BO1083" i="88" s="1"/>
  <c r="BP1083" i="88"/>
  <c r="BQ1083" i="88" s="1"/>
  <c r="BN1084" i="88"/>
  <c r="BO1084" i="88" s="1"/>
  <c r="BP1084" i="88"/>
  <c r="BQ1084" i="88" s="1"/>
  <c r="BN1085" i="88"/>
  <c r="BO1085" i="88" s="1"/>
  <c r="BP1085" i="88"/>
  <c r="BQ1085" i="88" s="1"/>
  <c r="BN1086" i="88"/>
  <c r="BO1086" i="88" s="1"/>
  <c r="BP1086" i="88"/>
  <c r="BQ1086" i="88" s="1"/>
  <c r="BN1087" i="88"/>
  <c r="BO1087" i="88"/>
  <c r="BP1087" i="88"/>
  <c r="BQ1087" i="88" s="1"/>
  <c r="BN1088" i="88"/>
  <c r="BP1088" i="88"/>
  <c r="BN1089" i="88"/>
  <c r="BO1089" i="88" s="1"/>
  <c r="BP1089" i="88"/>
  <c r="BQ1089" i="88" s="1"/>
  <c r="BN1090" i="88"/>
  <c r="BO1090" i="88" s="1"/>
  <c r="BP1090" i="88"/>
  <c r="BQ1090" i="88" s="1"/>
  <c r="BN1091" i="88"/>
  <c r="BP1091" i="88"/>
  <c r="BQ1091" i="88" s="1"/>
  <c r="BN1092" i="88"/>
  <c r="BO1092" i="88" s="1"/>
  <c r="BP1092" i="88"/>
  <c r="BQ1092" i="88" s="1"/>
  <c r="I272" i="84"/>
  <c r="I273" i="84"/>
  <c r="I274" i="84"/>
  <c r="I275" i="84"/>
  <c r="BO1091" i="88"/>
  <c r="BN558" i="88"/>
  <c r="BO558" i="88" s="1"/>
  <c r="BN559" i="88"/>
  <c r="BO559" i="88" s="1"/>
  <c r="H8" i="84" s="1"/>
  <c r="BN560" i="88"/>
  <c r="BO560" i="88" s="1"/>
  <c r="BN561" i="88"/>
  <c r="BN562" i="88"/>
  <c r="BN563" i="88"/>
  <c r="BO563" i="88" s="1"/>
  <c r="BN564" i="88"/>
  <c r="BO564" i="88" s="1"/>
  <c r="BN565" i="88"/>
  <c r="BN566" i="88"/>
  <c r="BN567" i="88"/>
  <c r="BO567" i="88" s="1"/>
  <c r="BN568" i="88"/>
  <c r="BO568" i="88" s="1"/>
  <c r="BN569" i="88"/>
  <c r="BO569" i="88" s="1"/>
  <c r="H18" i="84" s="1"/>
  <c r="BN570" i="88"/>
  <c r="BN571" i="88"/>
  <c r="BO571" i="88" s="1"/>
  <c r="BN572" i="88"/>
  <c r="BO572" i="88" s="1"/>
  <c r="H21" i="84" s="1"/>
  <c r="BN573" i="88"/>
  <c r="BO573" i="88" s="1"/>
  <c r="H22" i="84" s="1"/>
  <c r="BN574" i="88"/>
  <c r="BO574" i="88" s="1"/>
  <c r="BN575" i="88"/>
  <c r="BO575" i="88" s="1"/>
  <c r="BN576" i="88"/>
  <c r="BO576" i="88" s="1"/>
  <c r="BN577" i="88"/>
  <c r="BO577" i="88" s="1"/>
  <c r="H26" i="84" s="1"/>
  <c r="BN578" i="88"/>
  <c r="BN579" i="88"/>
  <c r="BO579" i="88" s="1"/>
  <c r="BN580" i="88"/>
  <c r="BO580" i="88" s="1"/>
  <c r="BN581" i="88"/>
  <c r="BO581" i="88" s="1"/>
  <c r="H30" i="84" s="1"/>
  <c r="BN582" i="88"/>
  <c r="BO582" i="88" s="1"/>
  <c r="H31" i="84" s="1"/>
  <c r="BN583" i="88"/>
  <c r="BO583" i="88" s="1"/>
  <c r="BN584" i="88"/>
  <c r="BO584" i="88" s="1"/>
  <c r="H33" i="84" s="1"/>
  <c r="BN585" i="88"/>
  <c r="BN586" i="88"/>
  <c r="BO586" i="88" s="1"/>
  <c r="H35" i="84" s="1"/>
  <c r="BN587" i="88"/>
  <c r="BO587" i="88" s="1"/>
  <c r="BN588" i="88"/>
  <c r="BO588" i="88" s="1"/>
  <c r="BN589" i="88"/>
  <c r="BN590" i="88"/>
  <c r="BO590" i="88" s="1"/>
  <c r="H39" i="84" s="1"/>
  <c r="BN591" i="88"/>
  <c r="BO591" i="88" s="1"/>
  <c r="H40" i="84" s="1"/>
  <c r="BN592" i="88"/>
  <c r="BO592" i="88" s="1"/>
  <c r="BN593" i="88"/>
  <c r="BN594" i="88"/>
  <c r="BO594" i="88" s="1"/>
  <c r="H43" i="84" s="1"/>
  <c r="BN595" i="88"/>
  <c r="BO595" i="88" s="1"/>
  <c r="BN596" i="88"/>
  <c r="BO596" i="88" s="1"/>
  <c r="BN597" i="88"/>
  <c r="BN598" i="88"/>
  <c r="BO598" i="88" s="1"/>
  <c r="BN599" i="88"/>
  <c r="BO599" i="88" s="1"/>
  <c r="BN600" i="88"/>
  <c r="BO600" i="88" s="1"/>
  <c r="H49" i="84" s="1"/>
  <c r="BN601" i="88"/>
  <c r="BO601" i="88" s="1"/>
  <c r="H50" i="84" s="1"/>
  <c r="BN602" i="88"/>
  <c r="BN603" i="88"/>
  <c r="BO603" i="88" s="1"/>
  <c r="H52" i="84" s="1"/>
  <c r="BN604" i="88"/>
  <c r="BO604" i="88" s="1"/>
  <c r="H53" i="84" s="1"/>
  <c r="BN605" i="88"/>
  <c r="BO605" i="88" s="1"/>
  <c r="H54" i="84" s="1"/>
  <c r="BN606" i="88"/>
  <c r="BN607" i="88"/>
  <c r="BO607" i="88" s="1"/>
  <c r="BN608" i="88"/>
  <c r="BO608" i="88" s="1"/>
  <c r="H57" i="84" s="1"/>
  <c r="BN609" i="88"/>
  <c r="BN610" i="88"/>
  <c r="BO610" i="88" s="1"/>
  <c r="H59" i="84" s="1"/>
  <c r="BN611" i="88"/>
  <c r="BO611" i="88" s="1"/>
  <c r="BN612" i="88"/>
  <c r="BO612" i="88" s="1"/>
  <c r="BN613" i="88"/>
  <c r="BO613" i="88" s="1"/>
  <c r="H62" i="84" s="1"/>
  <c r="BN614" i="88"/>
  <c r="BN615" i="88"/>
  <c r="BO615" i="88" s="1"/>
  <c r="H64" i="84" s="1"/>
  <c r="BN616" i="88"/>
  <c r="BO616" i="88" s="1"/>
  <c r="H65" i="84" s="1"/>
  <c r="BN617" i="88"/>
  <c r="BO617" i="88" s="1"/>
  <c r="BN618" i="88"/>
  <c r="BO618" i="88" s="1"/>
  <c r="BN619" i="88"/>
  <c r="BO619" i="88" s="1"/>
  <c r="H68" i="84" s="1"/>
  <c r="BN620" i="88"/>
  <c r="BO620" i="88" s="1"/>
  <c r="BN621" i="88"/>
  <c r="BO621" i="88" s="1"/>
  <c r="H70" i="84" s="1"/>
  <c r="BN622" i="88"/>
  <c r="BN623" i="88"/>
  <c r="BO623" i="88" s="1"/>
  <c r="H72" i="84" s="1"/>
  <c r="BN624" i="88"/>
  <c r="BO624" i="88" s="1"/>
  <c r="H73" i="84" s="1"/>
  <c r="BN625" i="88"/>
  <c r="BO625" i="88" s="1"/>
  <c r="BN626" i="88"/>
  <c r="BO626" i="88" s="1"/>
  <c r="BN627" i="88"/>
  <c r="BO627" i="88" s="1"/>
  <c r="H76" i="84" s="1"/>
  <c r="BN628" i="88"/>
  <c r="BO628" i="88" s="1"/>
  <c r="H77" i="84" s="1"/>
  <c r="BN629" i="88"/>
  <c r="BO629" i="88" s="1"/>
  <c r="BN630" i="88"/>
  <c r="BO630" i="88" s="1"/>
  <c r="BN631" i="88"/>
  <c r="BO631" i="88" s="1"/>
  <c r="H80" i="84" s="1"/>
  <c r="BN632" i="88"/>
  <c r="BO632" i="88" s="1"/>
  <c r="BN633" i="88"/>
  <c r="BO633" i="88" s="1"/>
  <c r="H82" i="84" s="1"/>
  <c r="BN634" i="88"/>
  <c r="BO634" i="88" s="1"/>
  <c r="H83" i="84" s="1"/>
  <c r="BN635" i="88"/>
  <c r="BO635" i="88" s="1"/>
  <c r="BN636" i="88"/>
  <c r="BO636" i="88" s="1"/>
  <c r="BN637" i="88"/>
  <c r="BO637" i="88" s="1"/>
  <c r="H86" i="84" s="1"/>
  <c r="BN638" i="88"/>
  <c r="BN639" i="88"/>
  <c r="BO639" i="88" s="1"/>
  <c r="H88" i="84" s="1"/>
  <c r="BN640" i="88"/>
  <c r="BO640" i="88" s="1"/>
  <c r="BN641" i="88"/>
  <c r="BN642" i="88"/>
  <c r="BO642" i="88" s="1"/>
  <c r="H91" i="84" s="1"/>
  <c r="BN643" i="88"/>
  <c r="BO643" i="88" s="1"/>
  <c r="BN644" i="88"/>
  <c r="BO644" i="88" s="1"/>
  <c r="BN645" i="88"/>
  <c r="BO645" i="88" s="1"/>
  <c r="BN646" i="88"/>
  <c r="BO646" i="88" s="1"/>
  <c r="H95" i="84" s="1"/>
  <c r="BN647" i="88"/>
  <c r="BO647" i="88" s="1"/>
  <c r="BN648" i="88"/>
  <c r="BO648" i="88" s="1"/>
  <c r="BN649" i="88"/>
  <c r="BN650" i="88"/>
  <c r="BO650" i="88" s="1"/>
  <c r="H99" i="84" s="1"/>
  <c r="BN651" i="88"/>
  <c r="BO651" i="88" s="1"/>
  <c r="H100" i="84" s="1"/>
  <c r="BN652" i="88"/>
  <c r="BO652" i="88" s="1"/>
  <c r="BN653" i="88"/>
  <c r="BN654" i="88"/>
  <c r="BN655" i="88"/>
  <c r="BO655" i="88" s="1"/>
  <c r="BN656" i="88"/>
  <c r="BO656" i="88" s="1"/>
  <c r="BN657" i="88"/>
  <c r="BO657" i="88" s="1"/>
  <c r="BN658" i="88"/>
  <c r="BN659" i="88"/>
  <c r="BO659" i="88" s="1"/>
  <c r="H108" i="84" s="1"/>
  <c r="BN660" i="88"/>
  <c r="BO660" i="88" s="1"/>
  <c r="BN661" i="88"/>
  <c r="BO661" i="88" s="1"/>
  <c r="BN662" i="88"/>
  <c r="BN663" i="88"/>
  <c r="BO663" i="88" s="1"/>
  <c r="BN664" i="88"/>
  <c r="BO664" i="88" s="1"/>
  <c r="BN665" i="88"/>
  <c r="BO665" i="88" s="1"/>
  <c r="BN666" i="88"/>
  <c r="BO666" i="88" s="1"/>
  <c r="H115" i="84" s="1"/>
  <c r="BN667" i="88"/>
  <c r="BO667" i="88" s="1"/>
  <c r="BN668" i="88"/>
  <c r="BO668" i="88" s="1"/>
  <c r="BN669" i="88"/>
  <c r="BO669" i="88" s="1"/>
  <c r="H118" i="84" s="1"/>
  <c r="BN670" i="88"/>
  <c r="BO670" i="88" s="1"/>
  <c r="H119" i="84" s="1"/>
  <c r="BN671" i="88"/>
  <c r="BO671" i="88" s="1"/>
  <c r="BN672" i="88"/>
  <c r="BO672" i="88" s="1"/>
  <c r="H121" i="84" s="1"/>
  <c r="BN673" i="88"/>
  <c r="BN674" i="88"/>
  <c r="BO674" i="88" s="1"/>
  <c r="H123" i="84" s="1"/>
  <c r="BN675" i="88"/>
  <c r="BO675" i="88" s="1"/>
  <c r="H124" i="84" s="1"/>
  <c r="BN676" i="88"/>
  <c r="BO676" i="88" s="1"/>
  <c r="BN677" i="88"/>
  <c r="BO677" i="88" s="1"/>
  <c r="H126" i="84" s="1"/>
  <c r="BN678" i="88"/>
  <c r="BO678" i="88" s="1"/>
  <c r="H127" i="84" s="1"/>
  <c r="BN679" i="88"/>
  <c r="BO679" i="88" s="1"/>
  <c r="H128" i="84" s="1"/>
  <c r="BN680" i="88"/>
  <c r="BO680" i="88" s="1"/>
  <c r="BN681" i="88"/>
  <c r="BO681" i="88" s="1"/>
  <c r="H130" i="84" s="1"/>
  <c r="BN682" i="88"/>
  <c r="BO682" i="88" s="1"/>
  <c r="H131" i="84" s="1"/>
  <c r="BN683" i="88"/>
  <c r="BO683" i="88" s="1"/>
  <c r="BN684" i="88"/>
  <c r="BO684" i="88" s="1"/>
  <c r="BN685" i="88"/>
  <c r="BO685" i="88" s="1"/>
  <c r="BN686" i="88"/>
  <c r="BO686" i="88" s="1"/>
  <c r="H135" i="84" s="1"/>
  <c r="BN687" i="88"/>
  <c r="BO687" i="88" s="1"/>
  <c r="BN688" i="88"/>
  <c r="BO688" i="88" s="1"/>
  <c r="BN689" i="88"/>
  <c r="BN690" i="88"/>
  <c r="BN691" i="88"/>
  <c r="BO691" i="88" s="1"/>
  <c r="H140" i="84" s="1"/>
  <c r="BN692" i="88"/>
  <c r="BO692" i="88" s="1"/>
  <c r="BN693" i="88"/>
  <c r="BO693" i="88" s="1"/>
  <c r="H142" i="84" s="1"/>
  <c r="BN694" i="88"/>
  <c r="BN695" i="88"/>
  <c r="BO695" i="88" s="1"/>
  <c r="BN696" i="88"/>
  <c r="BO696" i="88" s="1"/>
  <c r="BN697" i="88"/>
  <c r="BN698" i="88"/>
  <c r="BO698" i="88" s="1"/>
  <c r="H147" i="84" s="1"/>
  <c r="BN699" i="88"/>
  <c r="BO699" i="88" s="1"/>
  <c r="H148" i="84" s="1"/>
  <c r="BN700" i="88"/>
  <c r="BO700" i="88" s="1"/>
  <c r="BN701" i="88"/>
  <c r="BN702" i="88"/>
  <c r="BO702" i="88" s="1"/>
  <c r="H151" i="84" s="1"/>
  <c r="BN703" i="88"/>
  <c r="BO703" i="88" s="1"/>
  <c r="BN704" i="88"/>
  <c r="BO704" i="88" s="1"/>
  <c r="BN705" i="88"/>
  <c r="BO705" i="88" s="1"/>
  <c r="H154" i="84" s="1"/>
  <c r="BN706" i="88"/>
  <c r="BN707" i="88"/>
  <c r="BO707" i="88" s="1"/>
  <c r="BN708" i="88"/>
  <c r="BO708" i="88" s="1"/>
  <c r="H157" i="84" s="1"/>
  <c r="BN709" i="88"/>
  <c r="BN710" i="88"/>
  <c r="BN711" i="88"/>
  <c r="BO711" i="88" s="1"/>
  <c r="BN712" i="88"/>
  <c r="BO712" i="88" s="1"/>
  <c r="BN713" i="88"/>
  <c r="BN714" i="88"/>
  <c r="BN715" i="88"/>
  <c r="BO715" i="88" s="1"/>
  <c r="BN716" i="88"/>
  <c r="BO716" i="88" s="1"/>
  <c r="BN717" i="88"/>
  <c r="BO717" i="88" s="1"/>
  <c r="BN718" i="88"/>
  <c r="BN719" i="88"/>
  <c r="BO719" i="88" s="1"/>
  <c r="BN720" i="88"/>
  <c r="BO720" i="88" s="1"/>
  <c r="BN721" i="88"/>
  <c r="BN722" i="88"/>
  <c r="BN723" i="88"/>
  <c r="BO723" i="88" s="1"/>
  <c r="BN724" i="88"/>
  <c r="BO724" i="88" s="1"/>
  <c r="H173" i="84" s="1"/>
  <c r="BN725" i="88"/>
  <c r="BO725" i="88" s="1"/>
  <c r="H174" i="84" s="1"/>
  <c r="BN726" i="88"/>
  <c r="BO726" i="88" s="1"/>
  <c r="H175" i="84" s="1"/>
  <c r="BN727" i="88"/>
  <c r="BO727" i="88" s="1"/>
  <c r="BN728" i="88"/>
  <c r="BO728" i="88" s="1"/>
  <c r="H177" i="84" s="1"/>
  <c r="BN729" i="88"/>
  <c r="BN730" i="88"/>
  <c r="BN731" i="88"/>
  <c r="BO731" i="88" s="1"/>
  <c r="H180" i="84" s="1"/>
  <c r="BN732" i="88"/>
  <c r="BO732" i="88" s="1"/>
  <c r="BN733" i="88"/>
  <c r="BN734" i="88"/>
  <c r="BO734" i="88" s="1"/>
  <c r="H183" i="84" s="1"/>
  <c r="BN735" i="88"/>
  <c r="BO735" i="88" s="1"/>
  <c r="BN736" i="88"/>
  <c r="BO736" i="88" s="1"/>
  <c r="BN737" i="88"/>
  <c r="BN738" i="88"/>
  <c r="BN739" i="88"/>
  <c r="BO739" i="88" s="1"/>
  <c r="H188" i="84" s="1"/>
  <c r="BN740" i="88"/>
  <c r="BO740" i="88" s="1"/>
  <c r="BN741" i="88"/>
  <c r="BO741" i="88" s="1"/>
  <c r="H190" i="84" s="1"/>
  <c r="BN742" i="88"/>
  <c r="BN743" i="88"/>
  <c r="BO743" i="88" s="1"/>
  <c r="H192" i="84" s="1"/>
  <c r="BN744" i="88"/>
  <c r="BO744" i="88" s="1"/>
  <c r="BN745" i="88"/>
  <c r="BO745" i="88" s="1"/>
  <c r="BN746" i="88"/>
  <c r="BN747" i="88"/>
  <c r="BO747" i="88" s="1"/>
  <c r="H196" i="84" s="1"/>
  <c r="BN748" i="88"/>
  <c r="BO748" i="88" s="1"/>
  <c r="BN749" i="88"/>
  <c r="BN750" i="88"/>
  <c r="BN751" i="88"/>
  <c r="BO751" i="88" s="1"/>
  <c r="BN752" i="88"/>
  <c r="BO752" i="88" s="1"/>
  <c r="H201" i="84" s="1"/>
  <c r="BN753" i="88"/>
  <c r="BN754" i="88"/>
  <c r="BN755" i="88"/>
  <c r="BO755" i="88" s="1"/>
  <c r="BN756" i="88"/>
  <c r="BO756" i="88" s="1"/>
  <c r="BN757" i="88"/>
  <c r="BO757" i="88" s="1"/>
  <c r="H206" i="84" s="1"/>
  <c r="BN758" i="88"/>
  <c r="BN759" i="88"/>
  <c r="BO759" i="88" s="1"/>
  <c r="BN760" i="88"/>
  <c r="BO760" i="88" s="1"/>
  <c r="BN761" i="88"/>
  <c r="BN762" i="88"/>
  <c r="BN763" i="88"/>
  <c r="BO763" i="88" s="1"/>
  <c r="BN764" i="88"/>
  <c r="BO764" i="88" s="1"/>
  <c r="BN765" i="88"/>
  <c r="BN766" i="88"/>
  <c r="BN767" i="88"/>
  <c r="BO767" i="88" s="1"/>
  <c r="BN768" i="88"/>
  <c r="BO768" i="88" s="1"/>
  <c r="BN769" i="88"/>
  <c r="BN770" i="88"/>
  <c r="BO770" i="88" s="1"/>
  <c r="H219" i="84" s="1"/>
  <c r="BN771" i="88"/>
  <c r="BO771" i="88" s="1"/>
  <c r="BN772" i="88"/>
  <c r="BO772" i="88" s="1"/>
  <c r="BN773" i="88"/>
  <c r="BO773" i="88" s="1"/>
  <c r="BN774" i="88"/>
  <c r="BN775" i="88"/>
  <c r="BO775" i="88" s="1"/>
  <c r="H224" i="84" s="1"/>
  <c r="BN776" i="88"/>
  <c r="BO776" i="88" s="1"/>
  <c r="BN777" i="88"/>
  <c r="BN778" i="88"/>
  <c r="BN779" i="88"/>
  <c r="BO779" i="88" s="1"/>
  <c r="BN780" i="88"/>
  <c r="BO780" i="88" s="1"/>
  <c r="BN781" i="88"/>
  <c r="BN782" i="88"/>
  <c r="BN783" i="88"/>
  <c r="BO783" i="88" s="1"/>
  <c r="BN784" i="88"/>
  <c r="BO784" i="88" s="1"/>
  <c r="BN785" i="88"/>
  <c r="BO785" i="88" s="1"/>
  <c r="H234" i="84" s="1"/>
  <c r="BN786" i="88"/>
  <c r="BN787" i="88"/>
  <c r="BO787" i="88" s="1"/>
  <c r="BN788" i="88"/>
  <c r="BO788" i="88" s="1"/>
  <c r="BN789" i="88"/>
  <c r="BN790" i="88"/>
  <c r="BO790" i="88" s="1"/>
  <c r="H239" i="84" s="1"/>
  <c r="BN791" i="88"/>
  <c r="BO791" i="88" s="1"/>
  <c r="H240" i="84" s="1"/>
  <c r="BN792" i="88"/>
  <c r="BO792" i="88" s="1"/>
  <c r="BN793" i="88"/>
  <c r="BO793" i="88" s="1"/>
  <c r="H242" i="84" s="1"/>
  <c r="BN794" i="88"/>
  <c r="BO794" i="88" s="1"/>
  <c r="H243" i="84" s="1"/>
  <c r="BN795" i="88"/>
  <c r="BO795" i="88" s="1"/>
  <c r="BN796" i="88"/>
  <c r="BO796" i="88" s="1"/>
  <c r="BN797" i="88"/>
  <c r="BN798" i="88"/>
  <c r="BN799" i="88"/>
  <c r="BO799" i="88" s="1"/>
  <c r="H248" i="84" s="1"/>
  <c r="BN800" i="88"/>
  <c r="BO800" i="88" s="1"/>
  <c r="BN801" i="88"/>
  <c r="BN802" i="88"/>
  <c r="BN803" i="88"/>
  <c r="BO803" i="88" s="1"/>
  <c r="BN804" i="88"/>
  <c r="BO804" i="88" s="1"/>
  <c r="BN805" i="88"/>
  <c r="BO805" i="88" s="1"/>
  <c r="H254" i="84" s="1"/>
  <c r="BN806" i="88"/>
  <c r="BO806" i="88" s="1"/>
  <c r="H255" i="84" s="1"/>
  <c r="BN807" i="88"/>
  <c r="BO807" i="88" s="1"/>
  <c r="H256" i="84" s="1"/>
  <c r="BN808" i="88"/>
  <c r="BO808" i="88" s="1"/>
  <c r="BN809" i="88"/>
  <c r="BN810" i="88"/>
  <c r="BN811" i="88"/>
  <c r="BO811" i="88" s="1"/>
  <c r="BN812" i="88"/>
  <c r="BO812" i="88" s="1"/>
  <c r="H261" i="84" s="1"/>
  <c r="BN813" i="88"/>
  <c r="BO813" i="88" s="1"/>
  <c r="H262" i="84" s="1"/>
  <c r="BN814" i="88"/>
  <c r="BN815" i="88"/>
  <c r="BO815" i="88" s="1"/>
  <c r="BN816" i="88"/>
  <c r="BO816" i="88" s="1"/>
  <c r="BN817" i="88"/>
  <c r="BN818" i="88"/>
  <c r="BO818" i="88" s="1"/>
  <c r="H267" i="84" s="1"/>
  <c r="BN819" i="88"/>
  <c r="BO819" i="88" s="1"/>
  <c r="BN820" i="88"/>
  <c r="BO820" i="88" s="1"/>
  <c r="H269" i="84" s="1"/>
  <c r="BN821" i="88"/>
  <c r="BO821" i="88" s="1"/>
  <c r="BN287" i="88"/>
  <c r="BN288" i="88"/>
  <c r="BO288" i="88" s="1"/>
  <c r="BN289" i="88"/>
  <c r="BO289" i="88" s="1"/>
  <c r="BN290" i="88"/>
  <c r="BN291" i="88"/>
  <c r="BO291" i="88" s="1"/>
  <c r="J11" i="84" s="1"/>
  <c r="BN292" i="88"/>
  <c r="BO292" i="88" s="1"/>
  <c r="BN293" i="88"/>
  <c r="BP293" i="88" s="1"/>
  <c r="I13" i="84" s="1"/>
  <c r="BN294" i="88"/>
  <c r="BO294" i="88" s="1"/>
  <c r="J14" i="84" s="1"/>
  <c r="BN295" i="88"/>
  <c r="BO295" i="88" s="1"/>
  <c r="J15" i="84" s="1"/>
  <c r="BN296" i="88"/>
  <c r="BO296" i="88" s="1"/>
  <c r="J16" i="84" s="1"/>
  <c r="BN297" i="88"/>
  <c r="BN298" i="88"/>
  <c r="BO298" i="88" s="1"/>
  <c r="J18" i="84" s="1"/>
  <c r="BN299" i="88"/>
  <c r="BO299" i="88" s="1"/>
  <c r="J19" i="84" s="1"/>
  <c r="BN300" i="88"/>
  <c r="BN301" i="88"/>
  <c r="BO301" i="88" s="1"/>
  <c r="J21" i="84" s="1"/>
  <c r="BN302" i="88"/>
  <c r="BN303" i="88"/>
  <c r="BO303" i="88" s="1"/>
  <c r="BN304" i="88"/>
  <c r="BO304" i="88" s="1"/>
  <c r="BN305" i="88"/>
  <c r="BO305" i="88" s="1"/>
  <c r="J25" i="84" s="1"/>
  <c r="BN306" i="88"/>
  <c r="BO306" i="88" s="1"/>
  <c r="BN307" i="88"/>
  <c r="BO307" i="88" s="1"/>
  <c r="BN308" i="88"/>
  <c r="BO308" i="88" s="1"/>
  <c r="J28" i="84" s="1"/>
  <c r="BN309" i="88"/>
  <c r="BP309" i="88" s="1"/>
  <c r="I29" i="84" s="1"/>
  <c r="BN310" i="88"/>
  <c r="BN311" i="88"/>
  <c r="BO311" i="88" s="1"/>
  <c r="BN312" i="88"/>
  <c r="BO312" i="88" s="1"/>
  <c r="BN313" i="88"/>
  <c r="BP313" i="88" s="1"/>
  <c r="I33" i="84" s="1"/>
  <c r="BN314" i="88"/>
  <c r="BN315" i="88"/>
  <c r="BO315" i="88" s="1"/>
  <c r="BN316" i="88"/>
  <c r="BO316" i="88" s="1"/>
  <c r="BN317" i="88"/>
  <c r="BO317" i="88" s="1"/>
  <c r="J37" i="84" s="1"/>
  <c r="BN318" i="88"/>
  <c r="BN319" i="88"/>
  <c r="BO319" i="88" s="1"/>
  <c r="BN320" i="88"/>
  <c r="BO320" i="88" s="1"/>
  <c r="BN321" i="88"/>
  <c r="BO321" i="88" s="1"/>
  <c r="BN322" i="88"/>
  <c r="BP322" i="88" s="1"/>
  <c r="I42" i="84" s="1"/>
  <c r="BN323" i="88"/>
  <c r="BO323" i="88" s="1"/>
  <c r="BN324" i="88"/>
  <c r="BO324" i="88" s="1"/>
  <c r="J44" i="84" s="1"/>
  <c r="BN325" i="88"/>
  <c r="BP325" i="88" s="1"/>
  <c r="I45" i="84" s="1"/>
  <c r="BN326" i="88"/>
  <c r="BN327" i="88"/>
  <c r="BO327" i="88" s="1"/>
  <c r="BN328" i="88"/>
  <c r="BO328" i="88" s="1"/>
  <c r="J48" i="84" s="1"/>
  <c r="BN329" i="88"/>
  <c r="BN330" i="88"/>
  <c r="BO330" i="88" s="1"/>
  <c r="BN331" i="88"/>
  <c r="BO331" i="88" s="1"/>
  <c r="BN332" i="88"/>
  <c r="BO332" i="88" s="1"/>
  <c r="J52" i="84" s="1"/>
  <c r="BN333" i="88"/>
  <c r="BN334" i="88"/>
  <c r="BO334" i="88" s="1"/>
  <c r="J54" i="84" s="1"/>
  <c r="BN335" i="88"/>
  <c r="BN336" i="88"/>
  <c r="BO336" i="88" s="1"/>
  <c r="BN337" i="88"/>
  <c r="BO337" i="88" s="1"/>
  <c r="BN338" i="88"/>
  <c r="BN339" i="88"/>
  <c r="BO339" i="88" s="1"/>
  <c r="BN340" i="88"/>
  <c r="BO340" i="88" s="1"/>
  <c r="J60" i="84" s="1"/>
  <c r="BN341" i="88"/>
  <c r="BO341" i="88" s="1"/>
  <c r="BN342" i="88"/>
  <c r="BP342" i="88" s="1"/>
  <c r="I62" i="84" s="1"/>
  <c r="BN343" i="88"/>
  <c r="BP343" i="88" s="1"/>
  <c r="I63" i="84" s="1"/>
  <c r="BN344" i="88"/>
  <c r="BO344" i="88" s="1"/>
  <c r="BN345" i="88"/>
  <c r="BN346" i="88"/>
  <c r="BO346" i="88" s="1"/>
  <c r="J66" i="84" s="1"/>
  <c r="BN347" i="88"/>
  <c r="BN348" i="88"/>
  <c r="BO348" i="88" s="1"/>
  <c r="J68" i="84" s="1"/>
  <c r="BN349" i="88"/>
  <c r="BP349" i="88" s="1"/>
  <c r="I69" i="84" s="1"/>
  <c r="BN350" i="88"/>
  <c r="BN351" i="88"/>
  <c r="BP351" i="88" s="1"/>
  <c r="I71" i="84" s="1"/>
  <c r="BN352" i="88"/>
  <c r="BO352" i="88" s="1"/>
  <c r="J72" i="84" s="1"/>
  <c r="BN353" i="88"/>
  <c r="BN354" i="88"/>
  <c r="BO354" i="88" s="1"/>
  <c r="J74" i="84" s="1"/>
  <c r="BN355" i="88"/>
  <c r="BO355" i="88" s="1"/>
  <c r="J75" i="84" s="1"/>
  <c r="BN356" i="88"/>
  <c r="BO356" i="88" s="1"/>
  <c r="J76" i="84" s="1"/>
  <c r="BN357" i="88"/>
  <c r="BO357" i="88" s="1"/>
  <c r="J77" i="84" s="1"/>
  <c r="BN358" i="88"/>
  <c r="BO358" i="88" s="1"/>
  <c r="J78" i="84" s="1"/>
  <c r="BN359" i="88"/>
  <c r="BN360" i="88"/>
  <c r="BN361" i="88"/>
  <c r="BP361" i="88" s="1"/>
  <c r="I81" i="84" s="1"/>
  <c r="BN362" i="88"/>
  <c r="BN363" i="88"/>
  <c r="BO363" i="88" s="1"/>
  <c r="BN364" i="88"/>
  <c r="BO364" i="88" s="1"/>
  <c r="J84" i="84" s="1"/>
  <c r="BN365" i="88"/>
  <c r="BP365" i="88" s="1"/>
  <c r="I85" i="84" s="1"/>
  <c r="BN366" i="88"/>
  <c r="BO366" i="88" s="1"/>
  <c r="J86" i="84" s="1"/>
  <c r="BN367" i="88"/>
  <c r="BP367" i="88" s="1"/>
  <c r="I87" i="84" s="1"/>
  <c r="BN368" i="88"/>
  <c r="BO368" i="88" s="1"/>
  <c r="BN369" i="88"/>
  <c r="BN370" i="88"/>
  <c r="BO370" i="88" s="1"/>
  <c r="J90" i="84" s="1"/>
  <c r="BN371" i="88"/>
  <c r="BO371" i="88" s="1"/>
  <c r="J91" i="84" s="1"/>
  <c r="BN372" i="88"/>
  <c r="BO372" i="88" s="1"/>
  <c r="BN373" i="88"/>
  <c r="BN374" i="88"/>
  <c r="BP374" i="88" s="1"/>
  <c r="I94" i="84" s="1"/>
  <c r="BN375" i="88"/>
  <c r="BP375" i="88" s="1"/>
  <c r="I95" i="84" s="1"/>
  <c r="BN376" i="88"/>
  <c r="BO376" i="88" s="1"/>
  <c r="BN377" i="88"/>
  <c r="BP377" i="88" s="1"/>
  <c r="I97" i="84" s="1"/>
  <c r="BN378" i="88"/>
  <c r="BN379" i="88"/>
  <c r="BO379" i="88" s="1"/>
  <c r="J99" i="84" s="1"/>
  <c r="BN380" i="88"/>
  <c r="BN381" i="88"/>
  <c r="BP381" i="88" s="1"/>
  <c r="I101" i="84" s="1"/>
  <c r="BN382" i="88"/>
  <c r="BN383" i="88"/>
  <c r="BP383" i="88" s="1"/>
  <c r="I103" i="84" s="1"/>
  <c r="BN384" i="88"/>
  <c r="BN385" i="88"/>
  <c r="BN386" i="88"/>
  <c r="BO386" i="88" s="1"/>
  <c r="J106" i="84" s="1"/>
  <c r="BN387" i="88"/>
  <c r="BN388" i="88"/>
  <c r="BO388" i="88" s="1"/>
  <c r="BN389" i="88"/>
  <c r="BN390" i="88"/>
  <c r="BN391" i="88"/>
  <c r="BP391" i="88" s="1"/>
  <c r="I111" i="84" s="1"/>
  <c r="BN392" i="88"/>
  <c r="BN393" i="88"/>
  <c r="BN394" i="88"/>
  <c r="BO394" i="88" s="1"/>
  <c r="J114" i="84" s="1"/>
  <c r="BN395" i="88"/>
  <c r="BO395" i="88" s="1"/>
  <c r="J115" i="84" s="1"/>
  <c r="BN396" i="88"/>
  <c r="BN397" i="88"/>
  <c r="BN398" i="88"/>
  <c r="BO398" i="88" s="1"/>
  <c r="J118" i="84" s="1"/>
  <c r="BN399" i="88"/>
  <c r="BN400" i="88"/>
  <c r="BN401" i="88"/>
  <c r="BO401" i="88" s="1"/>
  <c r="BN402" i="88"/>
  <c r="BO402" i="88" s="1"/>
  <c r="J122" i="84" s="1"/>
  <c r="BN403" i="88"/>
  <c r="BO403" i="88" s="1"/>
  <c r="J123" i="84" s="1"/>
  <c r="BN404" i="88"/>
  <c r="BO404" i="88" s="1"/>
  <c r="J124" i="84" s="1"/>
  <c r="BN405" i="88"/>
  <c r="BN406" i="88"/>
  <c r="BP406" i="88" s="1"/>
  <c r="I126" i="84" s="1"/>
  <c r="BN407" i="88"/>
  <c r="BP407" i="88" s="1"/>
  <c r="I127" i="84" s="1"/>
  <c r="BN408" i="88"/>
  <c r="BO408" i="88" s="1"/>
  <c r="BN409" i="88"/>
  <c r="BO409" i="88" s="1"/>
  <c r="J129" i="84" s="1"/>
  <c r="BN410" i="88"/>
  <c r="BO410" i="88" s="1"/>
  <c r="J130" i="84" s="1"/>
  <c r="BN411" i="88"/>
  <c r="BO411" i="88" s="1"/>
  <c r="BN412" i="88"/>
  <c r="BN413" i="88"/>
  <c r="BP413" i="88" s="1"/>
  <c r="I133" i="84" s="1"/>
  <c r="BN414" i="88"/>
  <c r="BO414" i="88" s="1"/>
  <c r="J134" i="84" s="1"/>
  <c r="BN415" i="88"/>
  <c r="BN416" i="88"/>
  <c r="BO416" i="88" s="1"/>
  <c r="J136" i="84" s="1"/>
  <c r="BN417" i="88"/>
  <c r="BO417" i="88" s="1"/>
  <c r="J137" i="84" s="1"/>
  <c r="BN418" i="88"/>
  <c r="BN419" i="88"/>
  <c r="BN420" i="88"/>
  <c r="BO420" i="88" s="1"/>
  <c r="BN421" i="88"/>
  <c r="BO421" i="88" s="1"/>
  <c r="BN422" i="88"/>
  <c r="BN423" i="88"/>
  <c r="BP423" i="88" s="1"/>
  <c r="I143" i="84" s="1"/>
  <c r="BN424" i="88"/>
  <c r="BN425" i="88"/>
  <c r="BO425" i="88" s="1"/>
  <c r="BN426" i="88"/>
  <c r="BO426" i="88" s="1"/>
  <c r="J146" i="84" s="1"/>
  <c r="BN427" i="88"/>
  <c r="BO427" i="88" s="1"/>
  <c r="J147" i="84" s="1"/>
  <c r="BN428" i="88"/>
  <c r="BO428" i="88" s="1"/>
  <c r="J148" i="84" s="1"/>
  <c r="BN429" i="88"/>
  <c r="BO429" i="88" s="1"/>
  <c r="BN430" i="88"/>
  <c r="BN431" i="88"/>
  <c r="BO431" i="88" s="1"/>
  <c r="BN432" i="88"/>
  <c r="BN433" i="88"/>
  <c r="BN434" i="88"/>
  <c r="BO434" i="88" s="1"/>
  <c r="BN435" i="88"/>
  <c r="BN436" i="88"/>
  <c r="BO436" i="88" s="1"/>
  <c r="BN437" i="88"/>
  <c r="BN438" i="88"/>
  <c r="BN439" i="88"/>
  <c r="BP439" i="88" s="1"/>
  <c r="I159" i="84" s="1"/>
  <c r="BN440" i="88"/>
  <c r="BN441" i="88"/>
  <c r="BO441" i="88" s="1"/>
  <c r="BN442" i="88"/>
  <c r="BN443" i="88"/>
  <c r="BO443" i="88" s="1"/>
  <c r="BN444" i="88"/>
  <c r="BN445" i="88"/>
  <c r="BO445" i="88" s="1"/>
  <c r="J165" i="84" s="1"/>
  <c r="BN446" i="88"/>
  <c r="BN447" i="88"/>
  <c r="BP447" i="88" s="1"/>
  <c r="I167" i="84" s="1"/>
  <c r="BN448" i="88"/>
  <c r="BO448" i="88" s="1"/>
  <c r="BN449" i="88"/>
  <c r="BN450" i="88"/>
  <c r="BO450" i="88" s="1"/>
  <c r="BN451" i="88"/>
  <c r="BO451" i="88" s="1"/>
  <c r="J171" i="84" s="1"/>
  <c r="BN452" i="88"/>
  <c r="BO452" i="88" s="1"/>
  <c r="J172" i="84" s="1"/>
  <c r="BN453" i="88"/>
  <c r="BP453" i="88" s="1"/>
  <c r="I173" i="84" s="1"/>
  <c r="BN454" i="88"/>
  <c r="BN455" i="88"/>
  <c r="BP455" i="88" s="1"/>
  <c r="I175" i="84" s="1"/>
  <c r="BN456" i="88"/>
  <c r="BO456" i="88" s="1"/>
  <c r="J176" i="84" s="1"/>
  <c r="BN457" i="88"/>
  <c r="BN458" i="88"/>
  <c r="BO458" i="88" s="1"/>
  <c r="J178" i="84" s="1"/>
  <c r="BN459" i="88"/>
  <c r="BP459" i="88" s="1"/>
  <c r="I179" i="84" s="1"/>
  <c r="BN460" i="88"/>
  <c r="BN461" i="88"/>
  <c r="BO461" i="88" s="1"/>
  <c r="J181" i="84" s="1"/>
  <c r="BN462" i="88"/>
  <c r="BP462" i="88" s="1"/>
  <c r="I182" i="84" s="1"/>
  <c r="BN463" i="88"/>
  <c r="BP463" i="88" s="1"/>
  <c r="I183" i="84" s="1"/>
  <c r="BN464" i="88"/>
  <c r="BN465" i="88"/>
  <c r="BP465" i="88" s="1"/>
  <c r="I185" i="84" s="1"/>
  <c r="BN466" i="88"/>
  <c r="BO466" i="88" s="1"/>
  <c r="BN467" i="88"/>
  <c r="BN468" i="88"/>
  <c r="BO468" i="88" s="1"/>
  <c r="BN469" i="88"/>
  <c r="BP469" i="88" s="1"/>
  <c r="I189" i="84" s="1"/>
  <c r="BN470" i="88"/>
  <c r="BO470" i="88" s="1"/>
  <c r="BN471" i="88"/>
  <c r="BN472" i="88"/>
  <c r="BN473" i="88"/>
  <c r="BP473" i="88" s="1"/>
  <c r="I193" i="84" s="1"/>
  <c r="BN474" i="88"/>
  <c r="BO474" i="88" s="1"/>
  <c r="J194" i="84" s="1"/>
  <c r="BN475" i="88"/>
  <c r="BP475" i="88" s="1"/>
  <c r="I195" i="84" s="1"/>
  <c r="BO475" i="88"/>
  <c r="J195" i="84" s="1"/>
  <c r="BN476" i="88"/>
  <c r="BO476" i="88" s="1"/>
  <c r="J196" i="84" s="1"/>
  <c r="BN477" i="88"/>
  <c r="BO477" i="88" s="1"/>
  <c r="J197" i="84" s="1"/>
  <c r="BN478" i="88"/>
  <c r="BO478" i="88" s="1"/>
  <c r="BN479" i="88"/>
  <c r="BN480" i="88"/>
  <c r="BN481" i="88"/>
  <c r="BP481" i="88" s="1"/>
  <c r="I201" i="84" s="1"/>
  <c r="BN482" i="88"/>
  <c r="BN483" i="88"/>
  <c r="BO483" i="88" s="1"/>
  <c r="J203" i="84" s="1"/>
  <c r="BN484" i="88"/>
  <c r="BO484" i="88" s="1"/>
  <c r="BN485" i="88"/>
  <c r="BP485" i="88" s="1"/>
  <c r="I205" i="84" s="1"/>
  <c r="BN486" i="88"/>
  <c r="BO486" i="88" s="1"/>
  <c r="J206" i="84" s="1"/>
  <c r="BN487" i="88"/>
  <c r="BP487" i="88" s="1"/>
  <c r="I207" i="84" s="1"/>
  <c r="BN488" i="88"/>
  <c r="BO488" i="88" s="1"/>
  <c r="BN489" i="88"/>
  <c r="BN490" i="88"/>
  <c r="BN491" i="88"/>
  <c r="BO491" i="88" s="1"/>
  <c r="J211" i="84" s="1"/>
  <c r="BN492" i="88"/>
  <c r="BO492" i="88" s="1"/>
  <c r="BN493" i="88"/>
  <c r="BN494" i="88"/>
  <c r="BN495" i="88"/>
  <c r="BP495" i="88" s="1"/>
  <c r="I215" i="84" s="1"/>
  <c r="BN496" i="88"/>
  <c r="BO496" i="88" s="1"/>
  <c r="BN497" i="88"/>
  <c r="BN498" i="88"/>
  <c r="BO498" i="88" s="1"/>
  <c r="J218" i="84" s="1"/>
  <c r="BN499" i="88"/>
  <c r="BO499" i="88" s="1"/>
  <c r="J219" i="84" s="1"/>
  <c r="BN500" i="88"/>
  <c r="BO500" i="88" s="1"/>
  <c r="BN501" i="88"/>
  <c r="BO501" i="88" s="1"/>
  <c r="BN502" i="88"/>
  <c r="BN503" i="88"/>
  <c r="BP503" i="88" s="1"/>
  <c r="I223" i="84" s="1"/>
  <c r="BN504" i="88"/>
  <c r="BN505" i="88"/>
  <c r="BN506" i="88"/>
  <c r="BO506" i="88" s="1"/>
  <c r="J226" i="84" s="1"/>
  <c r="BN507" i="88"/>
  <c r="BN508" i="88"/>
  <c r="BO508" i="88" s="1"/>
  <c r="J228" i="84" s="1"/>
  <c r="BN509" i="88"/>
  <c r="BN510" i="88"/>
  <c r="BO510" i="88" s="1"/>
  <c r="J230" i="84" s="1"/>
  <c r="BN511" i="88"/>
  <c r="BN512" i="88"/>
  <c r="BO512" i="88" s="1"/>
  <c r="J232" i="84" s="1"/>
  <c r="BN513" i="88"/>
  <c r="BP513" i="88" s="1"/>
  <c r="I233" i="84" s="1"/>
  <c r="BN514" i="88"/>
  <c r="BN515" i="88"/>
  <c r="BO515" i="88" s="1"/>
  <c r="J235" i="84" s="1"/>
  <c r="BN516" i="88"/>
  <c r="BO516" i="88" s="1"/>
  <c r="BN517" i="88"/>
  <c r="BP517" i="88" s="1"/>
  <c r="I237" i="84" s="1"/>
  <c r="BN518" i="88"/>
  <c r="BN519" i="88"/>
  <c r="BO519" i="88" s="1"/>
  <c r="J239" i="84" s="1"/>
  <c r="BN520" i="88"/>
  <c r="BN521" i="88"/>
  <c r="BN522" i="88"/>
  <c r="BP522" i="88" s="1"/>
  <c r="I242" i="84" s="1"/>
  <c r="BN523" i="88"/>
  <c r="BN524" i="88"/>
  <c r="BP524" i="88" s="1"/>
  <c r="I244" i="84" s="1"/>
  <c r="BN525" i="88"/>
  <c r="BO525" i="88" s="1"/>
  <c r="BN526" i="88"/>
  <c r="BN527" i="88"/>
  <c r="BP527" i="88" s="1"/>
  <c r="I247" i="84" s="1"/>
  <c r="BN528" i="88"/>
  <c r="BP528" i="88" s="1"/>
  <c r="I248" i="84" s="1"/>
  <c r="BN529" i="88"/>
  <c r="BP529" i="88" s="1"/>
  <c r="I249" i="84" s="1"/>
  <c r="BN530" i="88"/>
  <c r="BO530" i="88" s="1"/>
  <c r="J250" i="84" s="1"/>
  <c r="BN531" i="88"/>
  <c r="BN532" i="88"/>
  <c r="BN533" i="88"/>
  <c r="BN534" i="88"/>
  <c r="BP534" i="88" s="1"/>
  <c r="I254" i="84" s="1"/>
  <c r="BN535" i="88"/>
  <c r="BN536" i="88"/>
  <c r="BN537" i="88"/>
  <c r="BP537" i="88" s="1"/>
  <c r="I257" i="84" s="1"/>
  <c r="BN538" i="88"/>
  <c r="BO538" i="88" s="1"/>
  <c r="BN539" i="88"/>
  <c r="BO539" i="88" s="1"/>
  <c r="J259" i="84" s="1"/>
  <c r="BN540" i="88"/>
  <c r="BO540" i="88" s="1"/>
  <c r="BN541" i="88"/>
  <c r="BO541" i="88" s="1"/>
  <c r="J261" i="84" s="1"/>
  <c r="BN542" i="88"/>
  <c r="BP542" i="88" s="1"/>
  <c r="I262" i="84" s="1"/>
  <c r="BN543" i="88"/>
  <c r="BP543" i="88" s="1"/>
  <c r="I263" i="84" s="1"/>
  <c r="BN544" i="88"/>
  <c r="BN545" i="88"/>
  <c r="BN546" i="88"/>
  <c r="BN547" i="88"/>
  <c r="BO547" i="88" s="1"/>
  <c r="J267" i="84" s="1"/>
  <c r="BN548" i="88"/>
  <c r="BN549" i="88"/>
  <c r="BP549" i="88" s="1"/>
  <c r="I269" i="84" s="1"/>
  <c r="BN550" i="88"/>
  <c r="BO439" i="88"/>
  <c r="J159" i="84" s="1"/>
  <c r="BO465" i="88"/>
  <c r="J185" i="84" s="1"/>
  <c r="BO351" i="88"/>
  <c r="BP289" i="88"/>
  <c r="I9" i="84" s="1"/>
  <c r="BO487" i="88"/>
  <c r="J207" i="84" s="1"/>
  <c r="BP429" i="88"/>
  <c r="I149" i="84" s="1"/>
  <c r="BO367" i="88"/>
  <c r="J87" i="84" s="1"/>
  <c r="BP359" i="88"/>
  <c r="I79" i="84" s="1"/>
  <c r="BO359" i="88"/>
  <c r="J79" i="84" s="1"/>
  <c r="BO343" i="88"/>
  <c r="J63" i="84" s="1"/>
  <c r="BP357" i="88"/>
  <c r="I77" i="84" s="1"/>
  <c r="BP451" i="88"/>
  <c r="I171" i="84" s="1"/>
  <c r="BP315" i="88"/>
  <c r="I35" i="84" s="1"/>
  <c r="BP307" i="88"/>
  <c r="I27" i="84" s="1"/>
  <c r="BP299" i="88"/>
  <c r="I19" i="84" s="1"/>
  <c r="BP512" i="88"/>
  <c r="I232" i="84" s="1"/>
  <c r="BP408" i="88"/>
  <c r="I128" i="84" s="1"/>
  <c r="BP376" i="88"/>
  <c r="I96" i="84" s="1"/>
  <c r="BP352" i="88"/>
  <c r="I72" i="84" s="1"/>
  <c r="BP328" i="88"/>
  <c r="I48" i="84" s="1"/>
  <c r="BP320" i="88"/>
  <c r="I40" i="84" s="1"/>
  <c r="BP312" i="88"/>
  <c r="I32" i="84" s="1"/>
  <c r="BP304" i="88"/>
  <c r="I24" i="84" s="1"/>
  <c r="BP296" i="88"/>
  <c r="I16" i="84" s="1"/>
  <c r="BP288" i="88"/>
  <c r="I8" i="84" s="1"/>
  <c r="BP466" i="88"/>
  <c r="I186" i="84" s="1"/>
  <c r="BP346" i="88"/>
  <c r="I66" i="84" s="1"/>
  <c r="BP327" i="88"/>
  <c r="I47" i="84" s="1"/>
  <c r="BP319" i="88"/>
  <c r="I39" i="84" s="1"/>
  <c r="BP311" i="88"/>
  <c r="I31" i="84" s="1"/>
  <c r="BP303" i="88"/>
  <c r="I23" i="84" s="1"/>
  <c r="BP476" i="88"/>
  <c r="I196" i="84" s="1"/>
  <c r="BP404" i="88"/>
  <c r="I124" i="84" s="1"/>
  <c r="BP308" i="88"/>
  <c r="I28" i="84" s="1"/>
  <c r="BP292" i="88"/>
  <c r="I12" i="84" s="1"/>
  <c r="BP500" i="88"/>
  <c r="I220" i="84" s="1"/>
  <c r="BP388" i="88"/>
  <c r="I108" i="84" s="1"/>
  <c r="C94" i="63"/>
  <c r="F94" i="63"/>
  <c r="H94" i="63"/>
  <c r="J94" i="63"/>
  <c r="C95" i="63"/>
  <c r="C96" i="63"/>
  <c r="C97" i="63"/>
  <c r="C98" i="63"/>
  <c r="C99" i="63"/>
  <c r="F119" i="48"/>
  <c r="F134" i="48" s="1"/>
  <c r="F144" i="48" s="1"/>
  <c r="H119" i="48"/>
  <c r="H134" i="48" s="1"/>
  <c r="H144" i="48" s="1"/>
  <c r="I119" i="48"/>
  <c r="I134" i="48" s="1"/>
  <c r="I144" i="48" s="1"/>
  <c r="J119" i="48"/>
  <c r="J134" i="48" s="1"/>
  <c r="J144" i="48" s="1"/>
  <c r="K119" i="48"/>
  <c r="K134" i="48" s="1"/>
  <c r="K144" i="48" s="1"/>
  <c r="L119" i="48"/>
  <c r="L134" i="48" s="1"/>
  <c r="L144" i="48" s="1"/>
  <c r="M119" i="48"/>
  <c r="M134" i="48" s="1"/>
  <c r="M144" i="48" s="1"/>
  <c r="N119" i="48"/>
  <c r="N134" i="48" s="1"/>
  <c r="N144" i="48" s="1"/>
  <c r="O119" i="48"/>
  <c r="O134" i="48" s="1"/>
  <c r="O144" i="48" s="1"/>
  <c r="P119" i="48"/>
  <c r="P134" i="48" s="1"/>
  <c r="P144" i="48" s="1"/>
  <c r="Q119" i="48"/>
  <c r="Q134" i="48" s="1"/>
  <c r="Q144" i="48" s="1"/>
  <c r="R119" i="48"/>
  <c r="R134" i="48" s="1"/>
  <c r="R144" i="48" s="1"/>
  <c r="S119" i="48"/>
  <c r="S134" i="48" s="1"/>
  <c r="S144" i="48" s="1"/>
  <c r="T119" i="48"/>
  <c r="T134" i="48" s="1"/>
  <c r="T144" i="48" s="1"/>
  <c r="U119" i="48"/>
  <c r="U134" i="48" s="1"/>
  <c r="U144" i="48" s="1"/>
  <c r="V119" i="48"/>
  <c r="V134" i="48" s="1"/>
  <c r="V144" i="48" s="1"/>
  <c r="W119" i="48"/>
  <c r="W134" i="48" s="1"/>
  <c r="W144" i="48" s="1"/>
  <c r="X119" i="48"/>
  <c r="X134" i="48" s="1"/>
  <c r="X144" i="48" s="1"/>
  <c r="Y119" i="48"/>
  <c r="Y134" i="48" s="1"/>
  <c r="Y144" i="48" s="1"/>
  <c r="Z119" i="48"/>
  <c r="Z134" i="48" s="1"/>
  <c r="Z144" i="48" s="1"/>
  <c r="AA119" i="48"/>
  <c r="AA134" i="48" s="1"/>
  <c r="AA144" i="48" s="1"/>
  <c r="AB119" i="48"/>
  <c r="AB134" i="48" s="1"/>
  <c r="AB144" i="48" s="1"/>
  <c r="AC119" i="48"/>
  <c r="AC134" i="48" s="1"/>
  <c r="AC144" i="48" s="1"/>
  <c r="AD119" i="48"/>
  <c r="AD134" i="48" s="1"/>
  <c r="AD144" i="48" s="1"/>
  <c r="AE119" i="48"/>
  <c r="AE134" i="48" s="1"/>
  <c r="AE144" i="48" s="1"/>
  <c r="AF119" i="48"/>
  <c r="AF134" i="48" s="1"/>
  <c r="AF144" i="48" s="1"/>
  <c r="AG119" i="48"/>
  <c r="AG134" i="48" s="1"/>
  <c r="AG144" i="48" s="1"/>
  <c r="AH119" i="48"/>
  <c r="AH134" i="48" s="1"/>
  <c r="AH144" i="48" s="1"/>
  <c r="AI119" i="48"/>
  <c r="AI134" i="48" s="1"/>
  <c r="AI144" i="48" s="1"/>
  <c r="AJ119" i="48"/>
  <c r="AJ134" i="48" s="1"/>
  <c r="AJ144" i="48" s="1"/>
  <c r="AK119" i="48"/>
  <c r="AK134" i="48" s="1"/>
  <c r="AK144" i="48" s="1"/>
  <c r="AL119" i="48"/>
  <c r="AL134" i="48" s="1"/>
  <c r="AL144" i="48" s="1"/>
  <c r="AM119" i="48"/>
  <c r="AM134" i="48" s="1"/>
  <c r="AM144" i="48" s="1"/>
  <c r="AN119" i="48"/>
  <c r="AN134" i="48" s="1"/>
  <c r="AN144" i="48" s="1"/>
  <c r="AO119" i="48"/>
  <c r="AO134" i="48" s="1"/>
  <c r="AO144" i="48" s="1"/>
  <c r="AP119" i="48"/>
  <c r="AP134" i="48" s="1"/>
  <c r="AP144" i="48" s="1"/>
  <c r="AQ119" i="48"/>
  <c r="AQ134" i="48" s="1"/>
  <c r="AQ144" i="48" s="1"/>
  <c r="AR119" i="48"/>
  <c r="AR134" i="48" s="1"/>
  <c r="AR144" i="48" s="1"/>
  <c r="AS119" i="48"/>
  <c r="AS134" i="48" s="1"/>
  <c r="AS144" i="48" s="1"/>
  <c r="AT119" i="48"/>
  <c r="AT134" i="48" s="1"/>
  <c r="AT144" i="48" s="1"/>
  <c r="AU119" i="48"/>
  <c r="AU134" i="48" s="1"/>
  <c r="AU144" i="48" s="1"/>
  <c r="AV119" i="48"/>
  <c r="AV134" i="48" s="1"/>
  <c r="AV144" i="48" s="1"/>
  <c r="AW119" i="48"/>
  <c r="AW134" i="48" s="1"/>
  <c r="AW144" i="48" s="1"/>
  <c r="AX119" i="48"/>
  <c r="AX134" i="48" s="1"/>
  <c r="AX144" i="48" s="1"/>
  <c r="AY119" i="48"/>
  <c r="AY134" i="48" s="1"/>
  <c r="AY144" i="48" s="1"/>
  <c r="AZ119" i="48"/>
  <c r="AZ134" i="48" s="1"/>
  <c r="AZ144" i="48" s="1"/>
  <c r="BA119" i="48"/>
  <c r="BA134" i="48" s="1"/>
  <c r="BA144" i="48" s="1"/>
  <c r="BB119" i="48"/>
  <c r="BB134" i="48" s="1"/>
  <c r="BB144" i="48" s="1"/>
  <c r="BC119" i="48"/>
  <c r="BC134" i="48" s="1"/>
  <c r="BC144" i="48" s="1"/>
  <c r="BD119" i="48"/>
  <c r="BD134" i="48" s="1"/>
  <c r="BD144" i="48" s="1"/>
  <c r="BE119" i="48"/>
  <c r="BF119" i="48"/>
  <c r="BG119" i="48"/>
  <c r="BH119" i="48"/>
  <c r="BI119" i="48"/>
  <c r="BJ119" i="48"/>
  <c r="BK119" i="48"/>
  <c r="BL119" i="48"/>
  <c r="BM119" i="48"/>
  <c r="BN119" i="48"/>
  <c r="G119" i="48"/>
  <c r="G134" i="48" s="1"/>
  <c r="G144" i="48" s="1"/>
  <c r="O273" i="84"/>
  <c r="O274" i="84"/>
  <c r="O275" i="84"/>
  <c r="O272" i="84"/>
  <c r="O32" i="84"/>
  <c r="O74" i="84"/>
  <c r="O96" i="84"/>
  <c r="O107" i="84"/>
  <c r="O108" i="84"/>
  <c r="O109" i="84"/>
  <c r="O110" i="84"/>
  <c r="O112" i="84"/>
  <c r="O152" i="84"/>
  <c r="O230" i="84"/>
  <c r="I7" i="90"/>
  <c r="I8" i="90"/>
  <c r="I9" i="90"/>
  <c r="I6" i="90"/>
  <c r="BN15" i="88"/>
  <c r="BN16" i="88"/>
  <c r="BN17" i="88"/>
  <c r="BO17" i="88" s="1"/>
  <c r="L9" i="84" s="1"/>
  <c r="BN18" i="88"/>
  <c r="BO18" i="88" s="1"/>
  <c r="L10" i="84" s="1"/>
  <c r="BN19" i="88"/>
  <c r="BN20" i="88"/>
  <c r="BO20" i="88" s="1"/>
  <c r="L12" i="84" s="1"/>
  <c r="BN21" i="88"/>
  <c r="BO21" i="88" s="1"/>
  <c r="L13" i="84" s="1"/>
  <c r="BN22" i="88"/>
  <c r="BO22" i="88" s="1"/>
  <c r="L14" i="84" s="1"/>
  <c r="BN23" i="88"/>
  <c r="BN24" i="88"/>
  <c r="BN25" i="88"/>
  <c r="BO25" i="88" s="1"/>
  <c r="L17" i="84" s="1"/>
  <c r="BN26" i="88"/>
  <c r="BN27" i="88"/>
  <c r="BO27" i="88" s="1"/>
  <c r="L19" i="84" s="1"/>
  <c r="BN28" i="88"/>
  <c r="BO28" i="88" s="1"/>
  <c r="L20" i="84" s="1"/>
  <c r="BN29" i="88"/>
  <c r="BO29" i="88" s="1"/>
  <c r="L21" i="84" s="1"/>
  <c r="BN30" i="88"/>
  <c r="BO30" i="88" s="1"/>
  <c r="L22" i="84" s="1"/>
  <c r="BN31" i="88"/>
  <c r="BO31" i="88" s="1"/>
  <c r="L23" i="84" s="1"/>
  <c r="BN32" i="88"/>
  <c r="BO32" i="88" s="1"/>
  <c r="L24" i="84" s="1"/>
  <c r="BN33" i="88"/>
  <c r="BN34" i="88"/>
  <c r="BO34" i="88" s="1"/>
  <c r="L26" i="84" s="1"/>
  <c r="BN35" i="88"/>
  <c r="BO35" i="88" s="1"/>
  <c r="L27" i="84" s="1"/>
  <c r="BN36" i="88"/>
  <c r="BO36" i="88" s="1"/>
  <c r="L28" i="84" s="1"/>
  <c r="BN37" i="88"/>
  <c r="BN38" i="88"/>
  <c r="BO38" i="88" s="1"/>
  <c r="L30" i="84" s="1"/>
  <c r="BN39" i="88"/>
  <c r="K31" i="84" s="1"/>
  <c r="BN40" i="88"/>
  <c r="BO40" i="88" s="1"/>
  <c r="L32" i="84" s="1"/>
  <c r="BN41" i="88"/>
  <c r="BO41" i="88" s="1"/>
  <c r="L33" i="84" s="1"/>
  <c r="BN42" i="88"/>
  <c r="BN43" i="88"/>
  <c r="BN44" i="88"/>
  <c r="BO44" i="88" s="1"/>
  <c r="L36" i="84" s="1"/>
  <c r="BN45" i="88"/>
  <c r="BO45" i="88" s="1"/>
  <c r="L37" i="84" s="1"/>
  <c r="BN46" i="88"/>
  <c r="BO46" i="88" s="1"/>
  <c r="L38" i="84" s="1"/>
  <c r="BN47" i="88"/>
  <c r="BO47" i="88" s="1"/>
  <c r="L39" i="84" s="1"/>
  <c r="BN48" i="88"/>
  <c r="BN49" i="88"/>
  <c r="BO49" i="88" s="1"/>
  <c r="L41" i="84" s="1"/>
  <c r="BN50" i="88"/>
  <c r="BN51" i="88"/>
  <c r="BO51" i="88" s="1"/>
  <c r="L43" i="84" s="1"/>
  <c r="BN52" i="88"/>
  <c r="BN53" i="88"/>
  <c r="BO53" i="88" s="1"/>
  <c r="L45" i="84" s="1"/>
  <c r="BN54" i="88"/>
  <c r="BN55" i="88"/>
  <c r="BO55" i="88" s="1"/>
  <c r="L47" i="84" s="1"/>
  <c r="BN56" i="88"/>
  <c r="BO56" i="88" s="1"/>
  <c r="L48" i="84" s="1"/>
  <c r="BN57" i="88"/>
  <c r="BO57" i="88" s="1"/>
  <c r="L49" i="84" s="1"/>
  <c r="BN58" i="88"/>
  <c r="BN59" i="88"/>
  <c r="BO59" i="88" s="1"/>
  <c r="L51" i="84" s="1"/>
  <c r="BN60" i="88"/>
  <c r="BO60" i="88" s="1"/>
  <c r="L52" i="84" s="1"/>
  <c r="BN61" i="88"/>
  <c r="BO61" i="88" s="1"/>
  <c r="L53" i="84" s="1"/>
  <c r="BN62" i="88"/>
  <c r="BO62" i="88" s="1"/>
  <c r="L54" i="84" s="1"/>
  <c r="BN63" i="88"/>
  <c r="BN64" i="88"/>
  <c r="BN65" i="88"/>
  <c r="BO65" i="88" s="1"/>
  <c r="L57" i="84" s="1"/>
  <c r="BN66" i="88"/>
  <c r="BO66" i="88" s="1"/>
  <c r="L58" i="84" s="1"/>
  <c r="BN67" i="88"/>
  <c r="BN68" i="88"/>
  <c r="BO68" i="88" s="1"/>
  <c r="L60" i="84" s="1"/>
  <c r="BN69" i="88"/>
  <c r="BO69" i="88" s="1"/>
  <c r="L61" i="84" s="1"/>
  <c r="BN70" i="88"/>
  <c r="BN71" i="88"/>
  <c r="BN72" i="88"/>
  <c r="BO72" i="88" s="1"/>
  <c r="L64" i="84" s="1"/>
  <c r="BN73" i="88"/>
  <c r="BO73" i="88" s="1"/>
  <c r="L65" i="84" s="1"/>
  <c r="BN74" i="88"/>
  <c r="BN75" i="88"/>
  <c r="BO75" i="88" s="1"/>
  <c r="L67" i="84" s="1"/>
  <c r="BN76" i="88"/>
  <c r="BO76" i="88" s="1"/>
  <c r="L68" i="84" s="1"/>
  <c r="BN77" i="88"/>
  <c r="BN78" i="88"/>
  <c r="BN79" i="88"/>
  <c r="BO79" i="88" s="1"/>
  <c r="L71" i="84" s="1"/>
  <c r="BN80" i="88"/>
  <c r="BN81" i="88"/>
  <c r="BO81" i="88" s="1"/>
  <c r="L73" i="84" s="1"/>
  <c r="BN82" i="88"/>
  <c r="BN83" i="88"/>
  <c r="BO83" i="88" s="1"/>
  <c r="L75" i="84" s="1"/>
  <c r="BN84" i="88"/>
  <c r="BO84" i="88" s="1"/>
  <c r="L76" i="84" s="1"/>
  <c r="BN85" i="88"/>
  <c r="BO85" i="88" s="1"/>
  <c r="L77" i="84" s="1"/>
  <c r="BN86" i="88"/>
  <c r="BO86" i="88" s="1"/>
  <c r="L78" i="84" s="1"/>
  <c r="BN87" i="88"/>
  <c r="BN88" i="88"/>
  <c r="K80" i="84" s="1"/>
  <c r="BN89" i="88"/>
  <c r="BO89" i="88" s="1"/>
  <c r="L81" i="84" s="1"/>
  <c r="BN90" i="88"/>
  <c r="BN91" i="88"/>
  <c r="BO91" i="88" s="1"/>
  <c r="L83" i="84" s="1"/>
  <c r="BN92" i="88"/>
  <c r="BN93" i="88"/>
  <c r="BN94" i="88"/>
  <c r="BN95" i="88"/>
  <c r="BO95" i="88" s="1"/>
  <c r="L87" i="84" s="1"/>
  <c r="BN96" i="88"/>
  <c r="BN97" i="88"/>
  <c r="BO97" i="88" s="1"/>
  <c r="L89" i="84" s="1"/>
  <c r="BN98" i="88"/>
  <c r="BO98" i="88" s="1"/>
  <c r="L90" i="84" s="1"/>
  <c r="BN99" i="88"/>
  <c r="BN100" i="88"/>
  <c r="BO100" i="88" s="1"/>
  <c r="L92" i="84" s="1"/>
  <c r="BN101" i="88"/>
  <c r="BO101" i="88" s="1"/>
  <c r="L93" i="84" s="1"/>
  <c r="BN102" i="88"/>
  <c r="BN103" i="88"/>
  <c r="BO103" i="88" s="1"/>
  <c r="L95" i="84" s="1"/>
  <c r="BN104" i="88"/>
  <c r="BO104" i="88" s="1"/>
  <c r="L96" i="84" s="1"/>
  <c r="BN105" i="88"/>
  <c r="BO105" i="88" s="1"/>
  <c r="L97" i="84" s="1"/>
  <c r="BN106" i="88"/>
  <c r="BN107" i="88"/>
  <c r="BN108" i="88"/>
  <c r="BN109" i="88"/>
  <c r="BO109" i="88" s="1"/>
  <c r="L101" i="84" s="1"/>
  <c r="BN110" i="88"/>
  <c r="BN111" i="88"/>
  <c r="BO111" i="88" s="1"/>
  <c r="L103" i="84" s="1"/>
  <c r="BN112" i="88"/>
  <c r="BO112" i="88" s="1"/>
  <c r="L104" i="84" s="1"/>
  <c r="BN113" i="88"/>
  <c r="BO113" i="88" s="1"/>
  <c r="L105" i="84" s="1"/>
  <c r="BN114" i="88"/>
  <c r="BN115" i="88"/>
  <c r="BN116" i="88"/>
  <c r="BO116" i="88" s="1"/>
  <c r="L108" i="84" s="1"/>
  <c r="BN117" i="88"/>
  <c r="BO117" i="88" s="1"/>
  <c r="L109" i="84" s="1"/>
  <c r="BN118" i="88"/>
  <c r="BO118" i="88" s="1"/>
  <c r="L110" i="84" s="1"/>
  <c r="BN119" i="88"/>
  <c r="BN120" i="88"/>
  <c r="BO120" i="88" s="1"/>
  <c r="BN121" i="88"/>
  <c r="BO121" i="88" s="1"/>
  <c r="L113" i="84" s="1"/>
  <c r="BN122" i="88"/>
  <c r="BN123" i="88"/>
  <c r="BN124" i="88"/>
  <c r="BO124" i="88" s="1"/>
  <c r="L116" i="84" s="1"/>
  <c r="BN125" i="88"/>
  <c r="BO125" i="88" s="1"/>
  <c r="L117" i="84" s="1"/>
  <c r="BN126" i="88"/>
  <c r="BN127" i="88"/>
  <c r="BN128" i="88"/>
  <c r="BO128" i="88" s="1"/>
  <c r="L120" i="84" s="1"/>
  <c r="BN129" i="88"/>
  <c r="BN130" i="88"/>
  <c r="BO130" i="88" s="1"/>
  <c r="L122" i="84" s="1"/>
  <c r="BN131" i="88"/>
  <c r="BO131" i="88" s="1"/>
  <c r="L123" i="84" s="1"/>
  <c r="BN132" i="88"/>
  <c r="BN133" i="88"/>
  <c r="BN134" i="88"/>
  <c r="BO134" i="88" s="1"/>
  <c r="L126" i="84" s="1"/>
  <c r="BN135" i="88"/>
  <c r="BO135" i="88" s="1"/>
  <c r="L127" i="84" s="1"/>
  <c r="BN136" i="88"/>
  <c r="BO136" i="88" s="1"/>
  <c r="L128" i="84" s="1"/>
  <c r="BN137" i="88"/>
  <c r="BN138" i="88"/>
  <c r="BN139" i="88"/>
  <c r="BO139" i="88" s="1"/>
  <c r="L131" i="84" s="1"/>
  <c r="BN140" i="88"/>
  <c r="BN141" i="88"/>
  <c r="BN142" i="88"/>
  <c r="BO142" i="88" s="1"/>
  <c r="L134" i="84" s="1"/>
  <c r="BN143" i="88"/>
  <c r="BO143" i="88" s="1"/>
  <c r="L135" i="84" s="1"/>
  <c r="BN144" i="88"/>
  <c r="BO144" i="88" s="1"/>
  <c r="L136" i="84" s="1"/>
  <c r="BN145" i="88"/>
  <c r="BN146" i="88"/>
  <c r="BN147" i="88"/>
  <c r="BO147" i="88" s="1"/>
  <c r="L139" i="84" s="1"/>
  <c r="BN148" i="88"/>
  <c r="BN149" i="88"/>
  <c r="BN150" i="88"/>
  <c r="BO150" i="88" s="1"/>
  <c r="L142" i="84" s="1"/>
  <c r="BN151" i="88"/>
  <c r="BO151" i="88" s="1"/>
  <c r="L143" i="84" s="1"/>
  <c r="BN152" i="88"/>
  <c r="BO152" i="88" s="1"/>
  <c r="L144" i="84" s="1"/>
  <c r="BN153" i="88"/>
  <c r="BN154" i="88"/>
  <c r="BO154" i="88" s="1"/>
  <c r="L146" i="84" s="1"/>
  <c r="BN155" i="88"/>
  <c r="BO155" i="88" s="1"/>
  <c r="L147" i="84" s="1"/>
  <c r="BN156" i="88"/>
  <c r="BO156" i="88" s="1"/>
  <c r="L148" i="84" s="1"/>
  <c r="BN157" i="88"/>
  <c r="BO157" i="88" s="1"/>
  <c r="L149" i="84" s="1"/>
  <c r="BN158" i="88"/>
  <c r="BO158" i="88" s="1"/>
  <c r="L150" i="84" s="1"/>
  <c r="BN159" i="88"/>
  <c r="BN160" i="88"/>
  <c r="BO160" i="88" s="1"/>
  <c r="L152" i="84" s="1"/>
  <c r="BN161" i="88"/>
  <c r="BO161" i="88" s="1"/>
  <c r="L153" i="84" s="1"/>
  <c r="BN162" i="88"/>
  <c r="BO162" i="88" s="1"/>
  <c r="L154" i="84" s="1"/>
  <c r="BN163" i="88"/>
  <c r="BN164" i="88"/>
  <c r="BO164" i="88" s="1"/>
  <c r="L156" i="84" s="1"/>
  <c r="BN165" i="88"/>
  <c r="BO165" i="88" s="1"/>
  <c r="L157" i="84" s="1"/>
  <c r="BN166" i="88"/>
  <c r="BO166" i="88" s="1"/>
  <c r="L158" i="84" s="1"/>
  <c r="BN167" i="88"/>
  <c r="BN168" i="88"/>
  <c r="BO168" i="88" s="1"/>
  <c r="L160" i="84" s="1"/>
  <c r="BN169" i="88"/>
  <c r="BO169" i="88" s="1"/>
  <c r="L161" i="84" s="1"/>
  <c r="BN170" i="88"/>
  <c r="BN171" i="88"/>
  <c r="BO171" i="88" s="1"/>
  <c r="L163" i="84" s="1"/>
  <c r="BN172" i="88"/>
  <c r="BO172" i="88" s="1"/>
  <c r="L164" i="84" s="1"/>
  <c r="BN173" i="88"/>
  <c r="BN174" i="88"/>
  <c r="BO174" i="88" s="1"/>
  <c r="L166" i="84" s="1"/>
  <c r="BN175" i="88"/>
  <c r="BO175" i="88" s="1"/>
  <c r="L167" i="84" s="1"/>
  <c r="BN176" i="88"/>
  <c r="BO176" i="88" s="1"/>
  <c r="L168" i="84" s="1"/>
  <c r="BN177" i="88"/>
  <c r="BO177" i="88" s="1"/>
  <c r="L169" i="84" s="1"/>
  <c r="BN178" i="88"/>
  <c r="BO178" i="88" s="1"/>
  <c r="L170" i="84" s="1"/>
  <c r="BN179" i="88"/>
  <c r="BO179" i="88" s="1"/>
  <c r="L171" i="84" s="1"/>
  <c r="BN180" i="88"/>
  <c r="BO180" i="88" s="1"/>
  <c r="L172" i="84" s="1"/>
  <c r="BN181" i="88"/>
  <c r="BO181" i="88" s="1"/>
  <c r="L173" i="84" s="1"/>
  <c r="BN182" i="88"/>
  <c r="BO182" i="88" s="1"/>
  <c r="L174" i="84" s="1"/>
  <c r="BN183" i="88"/>
  <c r="BO183" i="88" s="1"/>
  <c r="L175" i="84" s="1"/>
  <c r="BN184" i="88"/>
  <c r="BO184" i="88" s="1"/>
  <c r="L176" i="84" s="1"/>
  <c r="BN185" i="88"/>
  <c r="BN186" i="88"/>
  <c r="BO186" i="88" s="1"/>
  <c r="L178" i="84" s="1"/>
  <c r="BN187" i="88"/>
  <c r="BO187" i="88" s="1"/>
  <c r="L179" i="84" s="1"/>
  <c r="BN188" i="88"/>
  <c r="BO188" i="88" s="1"/>
  <c r="L180" i="84" s="1"/>
  <c r="BN189" i="88"/>
  <c r="BN190" i="88"/>
  <c r="BO190" i="88" s="1"/>
  <c r="L182" i="84" s="1"/>
  <c r="BN191" i="88"/>
  <c r="BN192" i="88"/>
  <c r="BO192" i="88" s="1"/>
  <c r="L184" i="84" s="1"/>
  <c r="BN193" i="88"/>
  <c r="BN194" i="88"/>
  <c r="K186" i="84" s="1"/>
  <c r="BN195" i="88"/>
  <c r="BO195" i="88" s="1"/>
  <c r="L187" i="84" s="1"/>
  <c r="BN196" i="88"/>
  <c r="BO196" i="88" s="1"/>
  <c r="L188" i="84" s="1"/>
  <c r="BN197" i="88"/>
  <c r="BN198" i="88"/>
  <c r="BO198" i="88" s="1"/>
  <c r="L190" i="84" s="1"/>
  <c r="BN199" i="88"/>
  <c r="BO199" i="88" s="1"/>
  <c r="L191" i="84" s="1"/>
  <c r="BN200" i="88"/>
  <c r="BO200" i="88" s="1"/>
  <c r="L192" i="84" s="1"/>
  <c r="BN201" i="88"/>
  <c r="BO201" i="88" s="1"/>
  <c r="L193" i="84" s="1"/>
  <c r="BN202" i="88"/>
  <c r="BN203" i="88"/>
  <c r="BO203" i="88" s="1"/>
  <c r="L195" i="84" s="1"/>
  <c r="BN204" i="88"/>
  <c r="BN205" i="88"/>
  <c r="BO205" i="88" s="1"/>
  <c r="L197" i="84" s="1"/>
  <c r="BN206" i="88"/>
  <c r="BO206" i="88" s="1"/>
  <c r="L198" i="84" s="1"/>
  <c r="BN207" i="88"/>
  <c r="BO207" i="88" s="1"/>
  <c r="L199" i="84" s="1"/>
  <c r="BN208" i="88"/>
  <c r="BN209" i="88"/>
  <c r="BO209" i="88" s="1"/>
  <c r="L201" i="84" s="1"/>
  <c r="BN210" i="88"/>
  <c r="BN211" i="88"/>
  <c r="BO211" i="88" s="1"/>
  <c r="L203" i="84" s="1"/>
  <c r="BN212" i="88"/>
  <c r="BN213" i="88"/>
  <c r="BN214" i="88"/>
  <c r="BN215" i="88"/>
  <c r="BO215" i="88" s="1"/>
  <c r="L207" i="84" s="1"/>
  <c r="BN216" i="88"/>
  <c r="BO216" i="88" s="1"/>
  <c r="L208" i="84" s="1"/>
  <c r="BN217" i="88"/>
  <c r="BO217" i="88" s="1"/>
  <c r="L209" i="84" s="1"/>
  <c r="BN218" i="88"/>
  <c r="BN219" i="88"/>
  <c r="BO219" i="88" s="1"/>
  <c r="L211" i="84" s="1"/>
  <c r="BN220" i="88"/>
  <c r="BN221" i="88"/>
  <c r="BO221" i="88" s="1"/>
  <c r="L213" i="84" s="1"/>
  <c r="BN222" i="88"/>
  <c r="BN223" i="88"/>
  <c r="BO223" i="88" s="1"/>
  <c r="L215" i="84" s="1"/>
  <c r="BN224" i="88"/>
  <c r="BN225" i="88"/>
  <c r="BO225" i="88" s="1"/>
  <c r="L217" i="84" s="1"/>
  <c r="BN226" i="88"/>
  <c r="BO226" i="88" s="1"/>
  <c r="L218" i="84" s="1"/>
  <c r="BN227" i="88"/>
  <c r="BO227" i="88" s="1"/>
  <c r="L219" i="84" s="1"/>
  <c r="BN228" i="88"/>
  <c r="BN229" i="88"/>
  <c r="BO229" i="88" s="1"/>
  <c r="L221" i="84" s="1"/>
  <c r="BN230" i="88"/>
  <c r="BN231" i="88"/>
  <c r="BO231" i="88" s="1"/>
  <c r="L223" i="84" s="1"/>
  <c r="BN232" i="88"/>
  <c r="BO232" i="88" s="1"/>
  <c r="L224" i="84" s="1"/>
  <c r="BN233" i="88"/>
  <c r="BO233" i="88" s="1"/>
  <c r="L225" i="84" s="1"/>
  <c r="BN234" i="88"/>
  <c r="BN235" i="88"/>
  <c r="BO235" i="88" s="1"/>
  <c r="L227" i="84" s="1"/>
  <c r="BN236" i="88"/>
  <c r="BO236" i="88" s="1"/>
  <c r="L228" i="84" s="1"/>
  <c r="BN237" i="88"/>
  <c r="BO237" i="88" s="1"/>
  <c r="L229" i="84" s="1"/>
  <c r="BN238" i="88"/>
  <c r="BO238" i="88" s="1"/>
  <c r="L230" i="84" s="1"/>
  <c r="BN239" i="88"/>
  <c r="BO239" i="88" s="1"/>
  <c r="L231" i="84" s="1"/>
  <c r="BN240" i="88"/>
  <c r="BN241" i="88"/>
  <c r="BO241" i="88" s="1"/>
  <c r="L233" i="84" s="1"/>
  <c r="BN242" i="88"/>
  <c r="BO242" i="88" s="1"/>
  <c r="L234" i="84" s="1"/>
  <c r="BN243" i="88"/>
  <c r="BO243" i="88" s="1"/>
  <c r="L235" i="84" s="1"/>
  <c r="BN244" i="88"/>
  <c r="BN245" i="88"/>
  <c r="BO245" i="88" s="1"/>
  <c r="L237" i="84" s="1"/>
  <c r="BN246" i="88"/>
  <c r="BO246" i="88" s="1"/>
  <c r="L238" i="84" s="1"/>
  <c r="BN247" i="88"/>
  <c r="BO247" i="88" s="1"/>
  <c r="L239" i="84" s="1"/>
  <c r="BN248" i="88"/>
  <c r="BO248" i="88" s="1"/>
  <c r="L240" i="84" s="1"/>
  <c r="BN249" i="88"/>
  <c r="K241" i="84" s="1"/>
  <c r="BN250" i="88"/>
  <c r="BN251" i="88"/>
  <c r="BO251" i="88" s="1"/>
  <c r="L243" i="84" s="1"/>
  <c r="BN252" i="88"/>
  <c r="BO252" i="88" s="1"/>
  <c r="L244" i="84" s="1"/>
  <c r="BN253" i="88"/>
  <c r="BO253" i="88" s="1"/>
  <c r="L245" i="84" s="1"/>
  <c r="BN254" i="88"/>
  <c r="BN255" i="88"/>
  <c r="BO255" i="88" s="1"/>
  <c r="L247" i="84" s="1"/>
  <c r="BN256" i="88"/>
  <c r="BO256" i="88" s="1"/>
  <c r="L248" i="84" s="1"/>
  <c r="BN257" i="88"/>
  <c r="BN258" i="88"/>
  <c r="BN259" i="88"/>
  <c r="BO259" i="88" s="1"/>
  <c r="L251" i="84" s="1"/>
  <c r="BN260" i="88"/>
  <c r="BO260" i="88" s="1"/>
  <c r="L252" i="84" s="1"/>
  <c r="BN261" i="88"/>
  <c r="BN262" i="88"/>
  <c r="BN263" i="88"/>
  <c r="BO263" i="88" s="1"/>
  <c r="L255" i="84" s="1"/>
  <c r="BN264" i="88"/>
  <c r="BN265" i="88"/>
  <c r="BO265" i="88" s="1"/>
  <c r="L257" i="84" s="1"/>
  <c r="BN266" i="88"/>
  <c r="BN267" i="88"/>
  <c r="BO267" i="88" s="1"/>
  <c r="L259" i="84" s="1"/>
  <c r="BN268" i="88"/>
  <c r="BN269" i="88"/>
  <c r="BN270" i="88"/>
  <c r="BO270" i="88" s="1"/>
  <c r="L262" i="84" s="1"/>
  <c r="BN271" i="88"/>
  <c r="BO271" i="88" s="1"/>
  <c r="L263" i="84" s="1"/>
  <c r="BN272" i="88"/>
  <c r="BN273" i="88"/>
  <c r="BN274" i="88"/>
  <c r="BN275" i="88"/>
  <c r="BO275" i="88" s="1"/>
  <c r="L267" i="84" s="1"/>
  <c r="BN276" i="88"/>
  <c r="BN277" i="88"/>
  <c r="BO277" i="88" s="1"/>
  <c r="L269" i="84" s="1"/>
  <c r="BN278" i="88"/>
  <c r="BO278" i="88" s="1"/>
  <c r="L270" i="84" s="1"/>
  <c r="H7" i="84"/>
  <c r="H12" i="84"/>
  <c r="H13" i="84"/>
  <c r="H16" i="84"/>
  <c r="H20" i="84"/>
  <c r="H32" i="84"/>
  <c r="H41" i="84"/>
  <c r="H48" i="84"/>
  <c r="H56" i="84"/>
  <c r="H69" i="84"/>
  <c r="H74" i="84"/>
  <c r="H78" i="84"/>
  <c r="H96" i="84"/>
  <c r="H106" i="84"/>
  <c r="H117" i="84"/>
  <c r="H125" i="84"/>
  <c r="H133" i="84"/>
  <c r="H141" i="84"/>
  <c r="H156" i="84"/>
  <c r="G164" i="84"/>
  <c r="H165" i="84"/>
  <c r="H176" i="84"/>
  <c r="H184" i="84"/>
  <c r="G185" i="84"/>
  <c r="H193" i="84"/>
  <c r="H221" i="84"/>
  <c r="H232" i="84"/>
  <c r="H245" i="84"/>
  <c r="H253" i="84"/>
  <c r="H264" i="84"/>
  <c r="G7" i="84"/>
  <c r="G12" i="84"/>
  <c r="G17" i="84"/>
  <c r="H17" i="84"/>
  <c r="G18" i="84"/>
  <c r="G20" i="84"/>
  <c r="G25" i="84"/>
  <c r="H25" i="84"/>
  <c r="G30" i="84"/>
  <c r="G33" i="84"/>
  <c r="G35" i="84"/>
  <c r="G36" i="84"/>
  <c r="H36" i="84"/>
  <c r="G39" i="84"/>
  <c r="G41" i="84"/>
  <c r="G44" i="84"/>
  <c r="H44" i="84"/>
  <c r="G50" i="84"/>
  <c r="G52" i="84"/>
  <c r="G57" i="84"/>
  <c r="K58" i="84"/>
  <c r="G59" i="84"/>
  <c r="G60" i="84"/>
  <c r="H60" i="84"/>
  <c r="G64" i="84"/>
  <c r="H66" i="84"/>
  <c r="G68" i="84"/>
  <c r="G72" i="84"/>
  <c r="G73" i="84"/>
  <c r="G76" i="84"/>
  <c r="H81" i="84"/>
  <c r="G84" i="84"/>
  <c r="H84" i="84"/>
  <c r="G86" i="84"/>
  <c r="G88" i="84"/>
  <c r="G89" i="84"/>
  <c r="H89" i="84"/>
  <c r="G92" i="84"/>
  <c r="H92" i="84"/>
  <c r="H94" i="84"/>
  <c r="K96" i="84"/>
  <c r="G97" i="84"/>
  <c r="H97" i="84"/>
  <c r="G99" i="84"/>
  <c r="G100" i="84"/>
  <c r="G104" i="84"/>
  <c r="H104" i="84"/>
  <c r="G105" i="84"/>
  <c r="H105" i="84"/>
  <c r="G110" i="84"/>
  <c r="H110" i="84"/>
  <c r="G112" i="84"/>
  <c r="H112" i="84"/>
  <c r="L112" i="84"/>
  <c r="H114" i="84"/>
  <c r="H116" i="84"/>
  <c r="G119" i="84"/>
  <c r="G120" i="84"/>
  <c r="H120" i="84"/>
  <c r="G127" i="84"/>
  <c r="G128" i="84"/>
  <c r="G129" i="84"/>
  <c r="H129" i="84"/>
  <c r="G131" i="84"/>
  <c r="H132" i="84"/>
  <c r="H134" i="84"/>
  <c r="G136" i="84"/>
  <c r="H136" i="84"/>
  <c r="G144" i="84"/>
  <c r="H144" i="84"/>
  <c r="G145" i="84"/>
  <c r="H145" i="84"/>
  <c r="K146" i="84"/>
  <c r="G147" i="84"/>
  <c r="G148" i="84"/>
  <c r="G152" i="84"/>
  <c r="H152" i="84"/>
  <c r="G153" i="84"/>
  <c r="H153" i="84"/>
  <c r="G160" i="84"/>
  <c r="H160" i="84"/>
  <c r="G161" i="84"/>
  <c r="H161" i="84"/>
  <c r="G166" i="84"/>
  <c r="H166" i="84"/>
  <c r="G168" i="84"/>
  <c r="H168" i="84"/>
  <c r="G169" i="84"/>
  <c r="H169" i="84"/>
  <c r="G172" i="84"/>
  <c r="H172" i="84"/>
  <c r="G174" i="84"/>
  <c r="G176" i="84"/>
  <c r="G177" i="84"/>
  <c r="G181" i="84"/>
  <c r="H181" i="84"/>
  <c r="G183" i="84"/>
  <c r="G189" i="84"/>
  <c r="H189" i="84"/>
  <c r="G192" i="84"/>
  <c r="G194" i="84"/>
  <c r="H194" i="84"/>
  <c r="H197" i="84"/>
  <c r="G200" i="84"/>
  <c r="H200" i="84"/>
  <c r="G205" i="84"/>
  <c r="H205" i="84"/>
  <c r="G208" i="84"/>
  <c r="H208" i="84"/>
  <c r="H209" i="84"/>
  <c r="G212" i="84"/>
  <c r="H212" i="84"/>
  <c r="H213" i="84"/>
  <c r="H216" i="84"/>
  <c r="G217" i="84"/>
  <c r="H217" i="84"/>
  <c r="G220" i="84"/>
  <c r="H220" i="84"/>
  <c r="G221" i="84"/>
  <c r="G222" i="84"/>
  <c r="H222" i="84"/>
  <c r="G225" i="84"/>
  <c r="H225" i="84"/>
  <c r="G228" i="84"/>
  <c r="H228" i="84"/>
  <c r="H229" i="84"/>
  <c r="G233" i="84"/>
  <c r="H233" i="84"/>
  <c r="G236" i="84"/>
  <c r="H236" i="84"/>
  <c r="H237" i="84"/>
  <c r="G239" i="84"/>
  <c r="G240" i="84"/>
  <c r="G241" i="84"/>
  <c r="H241" i="84"/>
  <c r="G244" i="84"/>
  <c r="H244" i="84"/>
  <c r="G248" i="84"/>
  <c r="G249" i="84"/>
  <c r="H249" i="84"/>
  <c r="G252" i="84"/>
  <c r="H252" i="84"/>
  <c r="G254" i="84"/>
  <c r="G257" i="84"/>
  <c r="H257" i="84"/>
  <c r="G260" i="84"/>
  <c r="H260" i="84"/>
  <c r="G261" i="84"/>
  <c r="G262" i="84"/>
  <c r="G264" i="84"/>
  <c r="G265" i="84"/>
  <c r="H265" i="84"/>
  <c r="G268" i="84"/>
  <c r="H268" i="84"/>
  <c r="G270" i="84"/>
  <c r="H270" i="84"/>
  <c r="K112" i="84"/>
  <c r="K248" i="84"/>
  <c r="K104" i="84"/>
  <c r="K176" i="84"/>
  <c r="K224" i="84"/>
  <c r="K87" i="84"/>
  <c r="K95" i="84"/>
  <c r="K90" i="84"/>
  <c r="K73" i="84"/>
  <c r="K131" i="84"/>
  <c r="K235" i="84"/>
  <c r="K211" i="84"/>
  <c r="K123" i="84"/>
  <c r="K262" i="84"/>
  <c r="K52" i="84"/>
  <c r="K36" i="84"/>
  <c r="K60" i="84"/>
  <c r="K149" i="84"/>
  <c r="K20" i="84"/>
  <c r="K148" i="84"/>
  <c r="K110" i="84"/>
  <c r="K12" i="84"/>
  <c r="K38" i="84"/>
  <c r="K30" i="84"/>
  <c r="K14" i="84"/>
  <c r="K22" i="84"/>
  <c r="K78" i="84"/>
  <c r="K267" i="84"/>
  <c r="G157" i="84"/>
  <c r="G133" i="84"/>
  <c r="G125" i="84"/>
  <c r="K67" i="84"/>
  <c r="K32" i="84"/>
  <c r="G26" i="84"/>
  <c r="G243" i="84"/>
  <c r="G188" i="84"/>
  <c r="G154" i="84"/>
  <c r="G74" i="84"/>
  <c r="K19" i="84"/>
  <c r="G66" i="84"/>
  <c r="K27" i="84"/>
  <c r="G216" i="84"/>
  <c r="G232" i="84"/>
  <c r="G193" i="84"/>
  <c r="G180" i="84"/>
  <c r="G82" i="84"/>
  <c r="K75" i="84"/>
  <c r="G69" i="84"/>
  <c r="J128" i="84"/>
  <c r="K270" i="84"/>
  <c r="G256" i="84"/>
  <c r="K231" i="84"/>
  <c r="K192" i="84"/>
  <c r="K166" i="84"/>
  <c r="K150" i="84"/>
  <c r="G141" i="84"/>
  <c r="G114" i="84"/>
  <c r="G224" i="84"/>
  <c r="G196" i="84"/>
  <c r="G117" i="84"/>
  <c r="K64" i="84"/>
  <c r="J24" i="84"/>
  <c r="G237" i="84"/>
  <c r="G229" i="84"/>
  <c r="G213" i="84"/>
  <c r="G197" i="84"/>
  <c r="G134" i="84"/>
  <c r="G132" i="84"/>
  <c r="G118" i="84"/>
  <c r="K83" i="84"/>
  <c r="G80" i="84"/>
  <c r="H185" i="84"/>
  <c r="H164" i="84"/>
  <c r="G253" i="84"/>
  <c r="K228" i="84"/>
  <c r="G142" i="84"/>
  <c r="G94" i="84"/>
  <c r="G22" i="84"/>
  <c r="G245" i="84"/>
  <c r="K244" i="84"/>
  <c r="G173" i="84"/>
  <c r="G140" i="84"/>
  <c r="K76" i="84"/>
  <c r="G40" i="84"/>
  <c r="G32" i="84"/>
  <c r="G8" i="84"/>
  <c r="G96" i="84"/>
  <c r="G70" i="84"/>
  <c r="G62" i="84"/>
  <c r="G16" i="84"/>
  <c r="J258" i="84"/>
  <c r="K71" i="84"/>
  <c r="G48" i="84"/>
  <c r="G269" i="84"/>
  <c r="G165" i="84"/>
  <c r="G156" i="84"/>
  <c r="G126" i="84"/>
  <c r="G124" i="84"/>
  <c r="J40" i="84"/>
  <c r="G56" i="84"/>
  <c r="G206" i="84"/>
  <c r="G54" i="84"/>
  <c r="J216" i="84"/>
  <c r="J190" i="84"/>
  <c r="J61" i="84"/>
  <c r="J47" i="84"/>
  <c r="J41" i="84"/>
  <c r="J23" i="84"/>
  <c r="J8" i="84"/>
  <c r="J141" i="84"/>
  <c r="J27" i="84"/>
  <c r="J220" i="84"/>
  <c r="J59" i="84"/>
  <c r="J26" i="84"/>
  <c r="J156" i="84"/>
  <c r="J145" i="84"/>
  <c r="J39" i="84"/>
  <c r="J35" i="84"/>
  <c r="J208" i="84"/>
  <c r="J151" i="84"/>
  <c r="J131" i="84"/>
  <c r="J64" i="84"/>
  <c r="J51" i="84"/>
  <c r="J198" i="84"/>
  <c r="J163" i="84"/>
  <c r="J83" i="84"/>
  <c r="J71" i="84"/>
  <c r="J57" i="84"/>
  <c r="J50" i="84"/>
  <c r="J43" i="84"/>
  <c r="J236" i="84"/>
  <c r="J88" i="84"/>
  <c r="J56" i="84"/>
  <c r="G209" i="84"/>
  <c r="G190" i="84"/>
  <c r="G77" i="84"/>
  <c r="G130" i="84"/>
  <c r="G28" i="84"/>
  <c r="H28" i="84"/>
  <c r="BO78" i="88"/>
  <c r="L70" i="84" s="1"/>
  <c r="K70" i="84"/>
  <c r="K65" i="84"/>
  <c r="K17" i="84"/>
  <c r="G123" i="84"/>
  <c r="H61" i="84"/>
  <c r="G61" i="84"/>
  <c r="H37" i="84"/>
  <c r="G37" i="84"/>
  <c r="H29" i="84"/>
  <c r="G29" i="84"/>
  <c r="H75" i="84"/>
  <c r="G75" i="84"/>
  <c r="G201" i="84"/>
  <c r="G184" i="84"/>
  <c r="G13" i="84"/>
  <c r="BO119" i="88"/>
  <c r="L111" i="84" s="1"/>
  <c r="K111" i="84"/>
  <c r="BO88" i="88"/>
  <c r="L80" i="84" s="1"/>
  <c r="H85" i="84"/>
  <c r="G85" i="84"/>
  <c r="H137" i="84"/>
  <c r="G137" i="84"/>
  <c r="G121" i="84"/>
  <c r="G106" i="84"/>
  <c r="G53" i="84"/>
  <c r="H113" i="84"/>
  <c r="G113" i="84"/>
  <c r="J154" i="84"/>
  <c r="H45" i="84"/>
  <c r="G45" i="84"/>
  <c r="G234" i="84"/>
  <c r="G91" i="84"/>
  <c r="H67" i="84"/>
  <c r="G67" i="84"/>
  <c r="G83" i="84"/>
  <c r="G43" i="84"/>
  <c r="H149" i="84"/>
  <c r="G149" i="84"/>
  <c r="H23" i="84"/>
  <c r="G23" i="84"/>
  <c r="H93" i="84"/>
  <c r="G93" i="84"/>
  <c r="G108" i="84"/>
  <c r="G21" i="84"/>
  <c r="G242" i="84"/>
  <c r="G115" i="84"/>
  <c r="J212" i="84"/>
  <c r="G65" i="84"/>
  <c r="G81" i="84"/>
  <c r="G78" i="84"/>
  <c r="G49" i="84"/>
  <c r="J188" i="84"/>
  <c r="J121" i="84"/>
  <c r="J108" i="84"/>
  <c r="J204" i="84"/>
  <c r="J161" i="84"/>
  <c r="J32" i="84"/>
  <c r="J31" i="84"/>
  <c r="J96" i="84"/>
  <c r="J9" i="84"/>
  <c r="J12" i="84"/>
  <c r="H24" i="84"/>
  <c r="G24" i="84"/>
  <c r="H47" i="84"/>
  <c r="G47" i="84"/>
  <c r="H204" i="84"/>
  <c r="G204" i="84"/>
  <c r="H79" i="84"/>
  <c r="G79" i="84"/>
  <c r="G31" i="84"/>
  <c r="J260" i="84"/>
  <c r="G95" i="84"/>
  <c r="H109" i="84"/>
  <c r="G109" i="84"/>
  <c r="H101" i="84"/>
  <c r="G101" i="84"/>
  <c r="H9" i="84"/>
  <c r="G9" i="84"/>
  <c r="J36" i="84"/>
  <c r="G116" i="84"/>
  <c r="J245" i="84"/>
  <c r="J170" i="84"/>
  <c r="J221" i="84"/>
  <c r="J186" i="84"/>
  <c r="J149" i="84"/>
  <c r="J168" i="84"/>
  <c r="J140" i="84"/>
  <c r="J92" i="84"/>
  <c r="C27" i="70"/>
  <c r="C28" i="70"/>
  <c r="C29" i="70"/>
  <c r="C26" i="70"/>
  <c r="O65" i="84"/>
  <c r="O7" i="84"/>
  <c r="O43" i="84"/>
  <c r="O267" i="84"/>
  <c r="O255" i="84"/>
  <c r="O264" i="84"/>
  <c r="O201" i="84"/>
  <c r="O261" i="84"/>
  <c r="O262" i="84"/>
  <c r="O259" i="84"/>
  <c r="O263" i="84"/>
  <c r="O257" i="84"/>
  <c r="O86" i="84"/>
  <c r="O248" i="84"/>
  <c r="O270" i="84"/>
  <c r="O253" i="84"/>
  <c r="O247" i="84"/>
  <c r="O242" i="84"/>
  <c r="O225" i="84"/>
  <c r="O254" i="84"/>
  <c r="O256" i="84"/>
  <c r="AU88" i="103"/>
  <c r="AN47" i="103"/>
  <c r="AT143" i="103"/>
  <c r="AO87" i="103"/>
  <c r="AX134" i="103"/>
  <c r="AN58" i="103"/>
  <c r="O252" i="84"/>
  <c r="AU5" i="103"/>
  <c r="AW11" i="103"/>
  <c r="AR143" i="103"/>
  <c r="AW88" i="103"/>
  <c r="AY137" i="103"/>
  <c r="AK135" i="103"/>
  <c r="O220" i="84"/>
  <c r="AT23" i="103"/>
  <c r="O269" i="84"/>
  <c r="O240" i="84"/>
  <c r="AP112" i="103"/>
  <c r="O130" i="84"/>
  <c r="AT11" i="103"/>
  <c r="AN150" i="103"/>
  <c r="O13" i="84"/>
  <c r="O249" i="84"/>
  <c r="AU66" i="103"/>
  <c r="AL71" i="103"/>
  <c r="O233" i="84"/>
  <c r="AN147" i="103"/>
  <c r="O246" i="84"/>
  <c r="O222" i="84"/>
  <c r="O258" i="84"/>
  <c r="O221" i="84"/>
  <c r="AV88" i="103"/>
  <c r="AL150" i="103"/>
  <c r="AM47" i="103"/>
  <c r="AO137" i="103"/>
  <c r="O238" i="84"/>
  <c r="O251" i="84"/>
  <c r="O239" i="84"/>
  <c r="AQ82" i="103"/>
  <c r="AZ147" i="103"/>
  <c r="O42" i="84"/>
  <c r="AW28" i="103"/>
  <c r="AQ28" i="103"/>
  <c r="AN44" i="103"/>
  <c r="AZ126" i="103"/>
  <c r="AO126" i="103"/>
  <c r="O75" i="84"/>
  <c r="AY59" i="103"/>
  <c r="AU59" i="103"/>
  <c r="AQ59" i="103"/>
  <c r="AM59" i="103"/>
  <c r="AS71" i="103"/>
  <c r="AU47" i="103"/>
  <c r="AS48" i="103"/>
  <c r="AR73" i="103"/>
  <c r="O250" i="84"/>
  <c r="O228" i="84"/>
  <c r="AQ23" i="103"/>
  <c r="AN82" i="103"/>
  <c r="AU28" i="103"/>
  <c r="AL119" i="103"/>
  <c r="O268" i="84"/>
  <c r="O215" i="84"/>
  <c r="AK7" i="103"/>
  <c r="O232" i="84"/>
  <c r="O209" i="84"/>
  <c r="O213" i="84"/>
  <c r="O223" i="84"/>
  <c r="AN48" i="103"/>
  <c r="O211" i="84"/>
  <c r="O218" i="84"/>
  <c r="O227" i="84"/>
  <c r="AV11" i="103"/>
  <c r="AN88" i="103"/>
  <c r="AM87" i="103"/>
  <c r="O244" i="84"/>
  <c r="O237" i="84"/>
  <c r="O219" i="84"/>
  <c r="O208" i="84"/>
  <c r="O138" i="84"/>
  <c r="AV127" i="103"/>
  <c r="O214" i="84"/>
  <c r="AP53" i="103"/>
  <c r="AY45" i="103"/>
  <c r="AM45" i="103"/>
  <c r="AZ26" i="103"/>
  <c r="AT26" i="103"/>
  <c r="AO26" i="103"/>
  <c r="O265" i="84"/>
  <c r="O245" i="84"/>
  <c r="O210" i="84"/>
  <c r="O197" i="84"/>
  <c r="AZ127" i="103"/>
  <c r="AP127" i="103"/>
  <c r="O212" i="84"/>
  <c r="O205" i="84"/>
  <c r="AX48" i="103"/>
  <c r="AP73" i="103"/>
  <c r="O143" i="84"/>
  <c r="O207" i="84"/>
  <c r="O192" i="84"/>
  <c r="AS81" i="103"/>
  <c r="AY81" i="103"/>
  <c r="AV24" i="103"/>
  <c r="O231" i="84"/>
  <c r="O196" i="84"/>
  <c r="AY73" i="103"/>
  <c r="AX45" i="103"/>
  <c r="AO81" i="103"/>
  <c r="O217" i="84"/>
  <c r="AV82" i="103"/>
  <c r="AX26" i="103"/>
  <c r="AN26" i="103"/>
  <c r="AZ106" i="103"/>
  <c r="AO106" i="103"/>
  <c r="AZ56" i="103"/>
  <c r="AR56" i="103"/>
  <c r="O226" i="84"/>
  <c r="O199" i="84"/>
  <c r="O190" i="84"/>
  <c r="O182" i="84"/>
  <c r="O177" i="84"/>
  <c r="O206" i="84"/>
  <c r="O194" i="84"/>
  <c r="O115" i="84"/>
  <c r="O185" i="84"/>
  <c r="O191" i="84"/>
  <c r="O187" i="84"/>
  <c r="AZ53" i="103"/>
  <c r="O188" i="84"/>
  <c r="O179" i="84"/>
  <c r="O202" i="84"/>
  <c r="O175" i="84"/>
  <c r="AR80" i="103"/>
  <c r="O224" i="84"/>
  <c r="AT151" i="103"/>
  <c r="AQ15" i="103"/>
  <c r="O189" i="84"/>
  <c r="O162" i="84"/>
  <c r="O200" i="84"/>
  <c r="O178" i="84"/>
  <c r="O193" i="84"/>
  <c r="AK118" i="103"/>
  <c r="O183" i="84"/>
  <c r="O154" i="84"/>
  <c r="O195" i="84"/>
  <c r="AW118" i="103"/>
  <c r="O167" i="84"/>
  <c r="O84" i="84"/>
  <c r="AU91" i="103"/>
  <c r="O180" i="84"/>
  <c r="O153" i="84"/>
  <c r="O158" i="84"/>
  <c r="O186" i="84"/>
  <c r="O165" i="84"/>
  <c r="O243" i="84"/>
  <c r="O203" i="84"/>
  <c r="AS79" i="103"/>
  <c r="O176" i="84"/>
  <c r="O164" i="84"/>
  <c r="O144" i="84"/>
  <c r="O135" i="84"/>
  <c r="O127" i="84"/>
  <c r="P127" i="84" s="1"/>
  <c r="O155" i="84"/>
  <c r="O160" i="84"/>
  <c r="O149" i="84"/>
  <c r="O146" i="84"/>
  <c r="O134" i="84"/>
  <c r="O125" i="84"/>
  <c r="AK27" i="103"/>
  <c r="AQ18" i="103"/>
  <c r="O166" i="84"/>
  <c r="R166" i="84" s="1"/>
  <c r="O172" i="84"/>
  <c r="O156" i="84"/>
  <c r="O137" i="84"/>
  <c r="O139" i="84"/>
  <c r="O129" i="84"/>
  <c r="AY91" i="103"/>
  <c r="O169" i="84"/>
  <c r="AK19" i="103"/>
  <c r="O161" i="84"/>
  <c r="O173" i="84"/>
  <c r="O142" i="84"/>
  <c r="O184" i="84"/>
  <c r="P184" i="84" s="1"/>
  <c r="O174" i="84"/>
  <c r="O148" i="84"/>
  <c r="O181" i="84"/>
  <c r="O145" i="84"/>
  <c r="O136" i="84"/>
  <c r="O241" i="84"/>
  <c r="AQ61" i="103"/>
  <c r="O113" i="84"/>
  <c r="O101" i="84"/>
  <c r="O97" i="84"/>
  <c r="AM18" i="103"/>
  <c r="O171" i="84"/>
  <c r="O120" i="84"/>
  <c r="O106" i="84"/>
  <c r="O90" i="84"/>
  <c r="O170" i="84"/>
  <c r="AY128" i="103"/>
  <c r="O159" i="84"/>
  <c r="O157" i="84"/>
  <c r="O266" i="84"/>
  <c r="O126" i="84"/>
  <c r="O114" i="84"/>
  <c r="O99" i="84"/>
  <c r="P99" i="84" s="1"/>
  <c r="O89" i="84"/>
  <c r="AW27" i="103"/>
  <c r="O141" i="84"/>
  <c r="AY57" i="103"/>
  <c r="O140" i="84"/>
  <c r="O131" i="84"/>
  <c r="O123" i="84"/>
  <c r="AO149" i="103"/>
  <c r="O124" i="84"/>
  <c r="O122" i="84"/>
  <c r="O111" i="84"/>
  <c r="O105" i="84"/>
  <c r="P105" i="84" s="1"/>
  <c r="AZ133" i="103"/>
  <c r="AK121" i="103"/>
  <c r="AO12" i="103"/>
  <c r="O151" i="84"/>
  <c r="O150" i="84"/>
  <c r="O118" i="84"/>
  <c r="O100" i="84"/>
  <c r="O95" i="84"/>
  <c r="O168" i="84"/>
  <c r="AX110" i="103"/>
  <c r="AO111" i="103"/>
  <c r="AQ123" i="103"/>
  <c r="O117" i="84"/>
  <c r="AM93" i="103"/>
  <c r="O60" i="84"/>
  <c r="AZ9" i="103"/>
  <c r="AO22" i="103"/>
  <c r="O121" i="84"/>
  <c r="O98" i="84"/>
  <c r="O88" i="84"/>
  <c r="O80" i="84"/>
  <c r="O77" i="84"/>
  <c r="O235" i="84"/>
  <c r="O163" i="84"/>
  <c r="AP141" i="103"/>
  <c r="O82" i="84"/>
  <c r="O70" i="84"/>
  <c r="R70" i="84" s="1"/>
  <c r="O72" i="84"/>
  <c r="O61" i="84"/>
  <c r="AO85" i="103"/>
  <c r="AS19" i="103"/>
  <c r="O133" i="84"/>
  <c r="O198" i="84"/>
  <c r="AS110" i="103"/>
  <c r="AM144" i="103"/>
  <c r="O102" i="84"/>
  <c r="O204" i="84"/>
  <c r="O69" i="84"/>
  <c r="O216" i="84"/>
  <c r="AR46" i="103"/>
  <c r="AX57" i="103"/>
  <c r="AO118" i="103"/>
  <c r="AQ109" i="103"/>
  <c r="AO37" i="103"/>
  <c r="AP102" i="103"/>
  <c r="O79" i="84"/>
  <c r="O229" i="84"/>
  <c r="AX114" i="103"/>
  <c r="AO142" i="103"/>
  <c r="AM4" i="103"/>
  <c r="O103" i="84"/>
  <c r="O85" i="84"/>
  <c r="AW84" i="103"/>
  <c r="O78" i="84"/>
  <c r="R78" i="84" s="1"/>
  <c r="O71" i="84"/>
  <c r="AM12" i="103"/>
  <c r="O147" i="84"/>
  <c r="AY41" i="103"/>
  <c r="AU149" i="103"/>
  <c r="AZ152" i="103"/>
  <c r="AR152" i="103"/>
  <c r="O76" i="84"/>
  <c r="AS57" i="103"/>
  <c r="O87" i="84"/>
  <c r="AX77" i="103"/>
  <c r="O236" i="84"/>
  <c r="O73" i="84"/>
  <c r="AX102" i="103"/>
  <c r="O66" i="84"/>
  <c r="O132" i="84"/>
  <c r="O116" i="84"/>
  <c r="O81" i="84"/>
  <c r="AR122" i="103"/>
  <c r="O119" i="84"/>
  <c r="AZ93" i="103"/>
  <c r="O92" i="84"/>
  <c r="O91" i="84"/>
  <c r="O93" i="84"/>
  <c r="O45" i="84"/>
  <c r="AQ63" i="103"/>
  <c r="O40" i="84"/>
  <c r="AM60" i="103"/>
  <c r="AR31" i="103"/>
  <c r="O260" i="84"/>
  <c r="AL89" i="103"/>
  <c r="O31" i="84"/>
  <c r="AL46" i="103"/>
  <c r="AY115" i="103"/>
  <c r="AP115" i="103"/>
  <c r="AU51" i="103"/>
  <c r="AU33" i="103"/>
  <c r="AU85" i="103"/>
  <c r="AL85" i="103"/>
  <c r="AX64" i="103"/>
  <c r="AT64" i="103"/>
  <c r="AP64" i="103"/>
  <c r="AL64" i="103"/>
  <c r="AW104" i="103"/>
  <c r="AS104" i="103"/>
  <c r="AO104" i="103"/>
  <c r="AK104" i="103"/>
  <c r="O50" i="84"/>
  <c r="AY101" i="103"/>
  <c r="AU101" i="103"/>
  <c r="AQ101" i="103"/>
  <c r="AM101" i="103"/>
  <c r="AX95" i="103"/>
  <c r="AT95" i="103"/>
  <c r="AP95" i="103"/>
  <c r="AL95" i="103"/>
  <c r="O54" i="84"/>
  <c r="AX10" i="103"/>
  <c r="AT10" i="103"/>
  <c r="AP10" i="103"/>
  <c r="AL10" i="103"/>
  <c r="AW116" i="103"/>
  <c r="AS116" i="103"/>
  <c r="AO116" i="103"/>
  <c r="AK116" i="103"/>
  <c r="O36" i="84"/>
  <c r="AY138" i="103"/>
  <c r="AU138" i="103"/>
  <c r="AQ138" i="103"/>
  <c r="AM138" i="103"/>
  <c r="AX90" i="103"/>
  <c r="AT90" i="103"/>
  <c r="AP90" i="103"/>
  <c r="AL90" i="103"/>
  <c r="AW92" i="103"/>
  <c r="AS92" i="103"/>
  <c r="AO92" i="103"/>
  <c r="AK92" i="103"/>
  <c r="O23" i="84"/>
  <c r="AY13" i="103"/>
  <c r="AU13" i="103"/>
  <c r="AQ13" i="103"/>
  <c r="AM13" i="103"/>
  <c r="AX100" i="103"/>
  <c r="AT100" i="103"/>
  <c r="AP100" i="103"/>
  <c r="AL100" i="103"/>
  <c r="O64" i="84"/>
  <c r="AT115" i="103"/>
  <c r="AK115" i="103"/>
  <c r="O62" i="84"/>
  <c r="O51" i="84"/>
  <c r="AW95" i="103"/>
  <c r="O57" i="84"/>
  <c r="O26" i="84"/>
  <c r="AX138" i="103"/>
  <c r="O28" i="84"/>
  <c r="AM141" i="103"/>
  <c r="AY34" i="103"/>
  <c r="O83" i="84"/>
  <c r="R83" i="84" s="1"/>
  <c r="O67" i="84"/>
  <c r="O49" i="84"/>
  <c r="O41" i="84"/>
  <c r="AW60" i="103"/>
  <c r="AN30" i="103"/>
  <c r="O21" i="84"/>
  <c r="O33" i="84"/>
  <c r="AY93" i="103"/>
  <c r="AY114" i="103"/>
  <c r="O53" i="84"/>
  <c r="O234" i="84"/>
  <c r="AY30" i="103"/>
  <c r="O52" i="84"/>
  <c r="AQ145" i="103"/>
  <c r="AP99" i="103"/>
  <c r="AN36" i="103"/>
  <c r="AS83" i="103"/>
  <c r="AX99" i="103"/>
  <c r="AS97" i="103"/>
  <c r="AQ65" i="103"/>
  <c r="AZ83" i="103"/>
  <c r="AO75" i="103"/>
  <c r="AX92" i="103"/>
  <c r="AQ64" i="103"/>
  <c r="AQ30" i="103"/>
  <c r="O10" i="84"/>
  <c r="AK62" i="103"/>
  <c r="AT99" i="103"/>
  <c r="AZ36" i="103"/>
  <c r="AK97" i="103"/>
  <c r="AW14" i="103"/>
  <c r="AY92" i="103"/>
  <c r="O12" i="84"/>
  <c r="O25" i="84"/>
  <c r="AQ75" i="103"/>
  <c r="O128" i="84"/>
  <c r="P128" i="84" s="1"/>
  <c r="O59" i="84"/>
  <c r="AV36" i="103"/>
  <c r="AW94" i="103"/>
  <c r="AP92" i="103"/>
  <c r="AY90" i="103"/>
  <c r="O104" i="84"/>
  <c r="AM33" i="103"/>
  <c r="O14" i="84"/>
  <c r="O39" i="84"/>
  <c r="O17" i="84"/>
  <c r="AY94" i="103"/>
  <c r="O34" i="84"/>
  <c r="AQ14" i="103"/>
  <c r="O44" i="84"/>
  <c r="AO62" i="103"/>
  <c r="AL99" i="103"/>
  <c r="AR36" i="103"/>
  <c r="AW97" i="103"/>
  <c r="O22" i="84"/>
  <c r="O38" i="84"/>
  <c r="AN138" i="103"/>
  <c r="AM95" i="103"/>
  <c r="O58" i="84"/>
  <c r="AW13" i="103"/>
  <c r="AX101" i="103"/>
  <c r="O9" i="84"/>
  <c r="O20" i="84"/>
  <c r="O35" i="84"/>
  <c r="O24" i="84"/>
  <c r="AO10" i="103"/>
  <c r="O46" i="84"/>
  <c r="O55" i="84"/>
  <c r="O63" i="84"/>
  <c r="AU145" i="103"/>
  <c r="AN13" i="103"/>
  <c r="AW75" i="103"/>
  <c r="AU89" i="103"/>
  <c r="AT62" i="103"/>
  <c r="AT97" i="103"/>
  <c r="O11" i="84"/>
  <c r="O19" i="84"/>
  <c r="AS100" i="103"/>
  <c r="AK13" i="103"/>
  <c r="O29" i="84"/>
  <c r="O94" i="84"/>
  <c r="AS22" i="103"/>
  <c r="AT144" i="103"/>
  <c r="AY145" i="103"/>
  <c r="AS62" i="103"/>
  <c r="O15" i="84"/>
  <c r="O27" i="84"/>
  <c r="AV13" i="103"/>
  <c r="AQ90" i="103"/>
  <c r="O8" i="84"/>
  <c r="AL70" i="103"/>
  <c r="AP70" i="103"/>
  <c r="AT70" i="103"/>
  <c r="AX70" i="103"/>
  <c r="O16" i="84"/>
  <c r="AL55" i="103"/>
  <c r="AP55" i="103"/>
  <c r="AT55" i="103"/>
  <c r="AX55" i="103"/>
  <c r="AM78" i="103"/>
  <c r="AQ78" i="103"/>
  <c r="AU78" i="103"/>
  <c r="AY78" i="103"/>
  <c r="O18" i="84"/>
  <c r="P18" i="84" s="1"/>
  <c r="AR72" i="103"/>
  <c r="AV72" i="103"/>
  <c r="AK94" i="103"/>
  <c r="AP94" i="103"/>
  <c r="AM129" i="103"/>
  <c r="AT129" i="103"/>
  <c r="O30" i="84"/>
  <c r="AN100" i="103"/>
  <c r="AU100" i="103"/>
  <c r="AT13" i="103"/>
  <c r="O37" i="84"/>
  <c r="AT116" i="103"/>
  <c r="O47" i="84"/>
  <c r="AS35" i="103"/>
  <c r="O48" i="84"/>
  <c r="O56" i="84"/>
  <c r="O68" i="84"/>
  <c r="AX119" i="103"/>
  <c r="AT102" i="103"/>
  <c r="AM68" i="103"/>
  <c r="AU93" i="103"/>
  <c r="AV123" i="103"/>
  <c r="AQ119" i="103"/>
  <c r="AZ6" i="103"/>
  <c r="AQ117" i="103"/>
  <c r="AW120" i="103"/>
  <c r="AR42" i="103"/>
  <c r="AS142" i="103"/>
  <c r="AX105" i="103"/>
  <c r="AX131" i="103"/>
  <c r="AR29" i="103"/>
  <c r="AY61" i="103"/>
  <c r="AO71" i="103"/>
  <c r="AY88" i="103"/>
  <c r="AX21" i="103"/>
  <c r="AK125" i="103"/>
  <c r="AS132" i="103"/>
  <c r="AZ20" i="103"/>
  <c r="AL127" i="103"/>
  <c r="AW76" i="103"/>
  <c r="AU39" i="103"/>
  <c r="AW102" i="103"/>
  <c r="AK111" i="103"/>
  <c r="AP21" i="103"/>
  <c r="AU61" i="103"/>
  <c r="AX52" i="103"/>
  <c r="AS42" i="103"/>
  <c r="AW12" i="103"/>
  <c r="AK126" i="103"/>
  <c r="AP75" i="103"/>
  <c r="AV104" i="103"/>
  <c r="AP138" i="103"/>
  <c r="AO64" i="103"/>
  <c r="AU148" i="103"/>
  <c r="AP140" i="103"/>
  <c r="AW43" i="103"/>
  <c r="AX148" i="103"/>
  <c r="AQ56" i="103"/>
  <c r="AN106" i="103"/>
  <c r="AN120" i="103"/>
  <c r="AS118" i="103"/>
  <c r="AV107" i="103"/>
  <c r="AT73" i="103"/>
  <c r="AL88" i="103"/>
  <c r="AO5" i="103"/>
  <c r="AN71" i="103"/>
  <c r="AL48" i="103"/>
  <c r="AY11" i="103"/>
  <c r="AZ59" i="103"/>
  <c r="AN7" i="103"/>
  <c r="AW74" i="103"/>
  <c r="AN92" i="103"/>
  <c r="AN118" i="103"/>
  <c r="AV79" i="103"/>
  <c r="AQ81" i="103"/>
  <c r="AV59" i="103"/>
  <c r="AT85" i="103"/>
  <c r="AY123" i="103"/>
  <c r="AO115" i="103"/>
  <c r="AT127" i="103"/>
  <c r="AZ38" i="103"/>
  <c r="AL151" i="103"/>
  <c r="AK33" i="103"/>
  <c r="AW56" i="103"/>
  <c r="AQ106" i="103"/>
  <c r="AR65" i="103"/>
  <c r="AX14" i="103"/>
  <c r="AQ116" i="103"/>
  <c r="AO101" i="103"/>
  <c r="AV136" i="103"/>
  <c r="AW139" i="103"/>
  <c r="AQ98" i="103"/>
  <c r="AN37" i="103"/>
  <c r="AO61" i="103"/>
  <c r="AN130" i="103"/>
  <c r="AV110" i="103"/>
  <c r="AW108" i="103"/>
  <c r="AL57" i="103"/>
  <c r="AV12" i="103"/>
  <c r="AM19" i="103"/>
  <c r="AV125" i="103"/>
  <c r="AP106" i="103"/>
  <c r="AY7" i="103"/>
  <c r="AW31" i="103"/>
  <c r="AZ90" i="103"/>
  <c r="AW90" i="103"/>
  <c r="AU94" i="103"/>
  <c r="AK36" i="103"/>
  <c r="AR38" i="103"/>
  <c r="AM123" i="103"/>
  <c r="AZ80" i="103"/>
  <c r="AL138" i="103"/>
  <c r="AZ151" i="103"/>
  <c r="AL56" i="103"/>
  <c r="AZ92" i="103"/>
  <c r="AO33" i="103"/>
  <c r="AX98" i="103"/>
  <c r="AV98" i="103"/>
  <c r="AL130" i="103"/>
  <c r="AL21" i="103"/>
  <c r="AR96" i="103"/>
  <c r="AW119" i="103"/>
  <c r="AN45" i="103"/>
  <c r="AV145" i="103"/>
  <c r="AR33" i="103"/>
  <c r="AK100" i="103"/>
  <c r="AX129" i="103"/>
  <c r="AQ97" i="103"/>
  <c r="AX36" i="103"/>
  <c r="AW145" i="103"/>
  <c r="AX94" i="103"/>
  <c r="AR138" i="103"/>
  <c r="AQ34" i="103"/>
  <c r="AN89" i="103"/>
  <c r="AO56" i="103"/>
  <c r="AN63" i="103"/>
  <c r="AR86" i="103"/>
  <c r="AK8" i="103"/>
  <c r="AL77" i="103"/>
  <c r="AS80" i="103"/>
  <c r="AP86" i="103"/>
  <c r="AS90" i="103"/>
  <c r="AW36" i="103"/>
  <c r="AM92" i="103"/>
  <c r="AK40" i="103"/>
  <c r="AZ84" i="103"/>
  <c r="AS148" i="103"/>
  <c r="AX24" i="103"/>
  <c r="AS28" i="103"/>
  <c r="AN73" i="103"/>
  <c r="AQ147" i="103"/>
  <c r="AL145" i="103"/>
  <c r="AL86" i="103"/>
  <c r="AM85" i="103"/>
  <c r="AP104" i="103"/>
  <c r="AO72" i="103"/>
  <c r="AM70" i="103"/>
  <c r="AU65" i="103"/>
  <c r="AY72" i="103"/>
  <c r="AX13" i="103"/>
  <c r="AR64" i="103"/>
  <c r="AN46" i="103"/>
  <c r="AO95" i="103"/>
  <c r="AZ114" i="103"/>
  <c r="AM83" i="103"/>
  <c r="AT142" i="103"/>
  <c r="AS133" i="103"/>
  <c r="AO117" i="103"/>
  <c r="AX107" i="103"/>
  <c r="AO139" i="103"/>
  <c r="AO130" i="103"/>
  <c r="AK69" i="103"/>
  <c r="AK109" i="103"/>
  <c r="AK12" i="103"/>
  <c r="AM9" i="103"/>
  <c r="AW133" i="103"/>
  <c r="AO97" i="103"/>
  <c r="AY38" i="103"/>
  <c r="AY35" i="103"/>
  <c r="AK75" i="103"/>
  <c r="AO78" i="103"/>
  <c r="AV101" i="103"/>
  <c r="AQ93" i="103"/>
  <c r="AU109" i="103"/>
  <c r="AT103" i="103"/>
  <c r="AV52" i="103"/>
  <c r="AW81" i="103"/>
  <c r="AL20" i="103"/>
  <c r="AL53" i="103"/>
  <c r="AQ29" i="103"/>
  <c r="AY56" i="103"/>
  <c r="AY106" i="103"/>
  <c r="AT88" i="103"/>
  <c r="AX49" i="103"/>
  <c r="AL23" i="103"/>
  <c r="AY119" i="103"/>
  <c r="AM7" i="103"/>
  <c r="AK137" i="103"/>
  <c r="AX5" i="103"/>
  <c r="AL58" i="103"/>
  <c r="AV105" i="103"/>
  <c r="AP15" i="103"/>
  <c r="AL131" i="103"/>
  <c r="AV65" i="103"/>
  <c r="AZ72" i="103"/>
  <c r="AK14" i="103"/>
  <c r="AR104" i="103"/>
  <c r="AS86" i="103"/>
  <c r="AS111" i="103"/>
  <c r="AP61" i="103"/>
  <c r="AN72" i="103"/>
  <c r="AZ122" i="103"/>
  <c r="AO89" i="103"/>
  <c r="AW30" i="103"/>
  <c r="AP60" i="103"/>
  <c r="AX63" i="103"/>
  <c r="AR14" i="103"/>
  <c r="AT89" i="103"/>
  <c r="AU144" i="103"/>
  <c r="AO110" i="103"/>
  <c r="AU17" i="103"/>
  <c r="AS25" i="103"/>
  <c r="AN17" i="103"/>
  <c r="AU108" i="103"/>
  <c r="AS16" i="103"/>
  <c r="AU54" i="103"/>
  <c r="AM117" i="103"/>
  <c r="AY76" i="103"/>
  <c r="AW91" i="103"/>
  <c r="AP107" i="103"/>
  <c r="AX43" i="103"/>
  <c r="AO90" i="103"/>
  <c r="AT75" i="103"/>
  <c r="AP97" i="103"/>
  <c r="AT114" i="103"/>
  <c r="AW62" i="103"/>
  <c r="AS138" i="103"/>
  <c r="AL14" i="103"/>
  <c r="AU104" i="103"/>
  <c r="AN33" i="103"/>
  <c r="AP42" i="103"/>
  <c r="AO136" i="103"/>
  <c r="AW152" i="103"/>
  <c r="AX34" i="103"/>
  <c r="AQ40" i="103"/>
  <c r="AS21" i="103"/>
  <c r="AL39" i="103"/>
  <c r="AT4" i="103"/>
  <c r="AL93" i="103"/>
  <c r="AT123" i="103"/>
  <c r="AM111" i="103"/>
  <c r="AY121" i="103"/>
  <c r="AV128" i="103"/>
  <c r="AR131" i="103"/>
  <c r="AW52" i="103"/>
  <c r="AP19" i="103"/>
  <c r="AX118" i="103"/>
  <c r="AO74" i="103"/>
  <c r="AP101" i="103"/>
  <c r="AM109" i="103"/>
  <c r="AU98" i="103"/>
  <c r="AS136" i="103"/>
  <c r="AZ68" i="103"/>
  <c r="AN108" i="103"/>
  <c r="AZ142" i="103"/>
  <c r="AU40" i="103"/>
  <c r="AW121" i="103"/>
  <c r="AW21" i="103"/>
  <c r="AP39" i="103"/>
  <c r="AX4" i="103"/>
  <c r="AS12" i="103"/>
  <c r="AP93" i="103"/>
  <c r="AX123" i="103"/>
  <c r="AQ111" i="103"/>
  <c r="AU57" i="103"/>
  <c r="AM91" i="103"/>
  <c r="AV131" i="103"/>
  <c r="AT19" i="103"/>
  <c r="AN56" i="103"/>
  <c r="AQ74" i="103"/>
  <c r="AV140" i="103"/>
  <c r="AZ140" i="103"/>
  <c r="AZ49" i="103"/>
  <c r="AX58" i="103"/>
  <c r="AV53" i="103"/>
  <c r="AK48" i="103"/>
  <c r="AW126" i="103"/>
  <c r="AM28" i="103"/>
  <c r="AO119" i="103"/>
  <c r="AV45" i="103"/>
  <c r="AM137" i="103"/>
  <c r="AT5" i="103"/>
  <c r="AZ150" i="103"/>
  <c r="AW134" i="103"/>
  <c r="AO105" i="103"/>
  <c r="AL139" i="103"/>
  <c r="AN110" i="103"/>
  <c r="AL149" i="103"/>
  <c r="AL61" i="103"/>
  <c r="AN12" i="103"/>
  <c r="AL128" i="103"/>
  <c r="AT17" i="103"/>
  <c r="AT119" i="103"/>
  <c r="AU82" i="103"/>
  <c r="AW150" i="103"/>
  <c r="AK47" i="103"/>
  <c r="AU11" i="103"/>
  <c r="AR145" i="103"/>
  <c r="AU92" i="103"/>
  <c r="AR97" i="103"/>
  <c r="AK10" i="103"/>
  <c r="AO100" i="103"/>
  <c r="AM94" i="103"/>
  <c r="AP72" i="103"/>
  <c r="AW78" i="103"/>
  <c r="AP62" i="103"/>
  <c r="AT86" i="103"/>
  <c r="AS85" i="103"/>
  <c r="AT51" i="103"/>
  <c r="AP136" i="103"/>
  <c r="AS69" i="103"/>
  <c r="AO102" i="103"/>
  <c r="AM17" i="103"/>
  <c r="AK57" i="103"/>
  <c r="AW79" i="103"/>
  <c r="AV22" i="103"/>
  <c r="AS26" i="103"/>
  <c r="AN24" i="103"/>
  <c r="AR26" i="103"/>
  <c r="AP45" i="103"/>
  <c r="AO80" i="103"/>
  <c r="AW15" i="103"/>
  <c r="AZ44" i="103"/>
  <c r="AL106" i="103"/>
  <c r="AU73" i="103"/>
  <c r="AW47" i="103"/>
  <c r="AM120" i="103"/>
  <c r="AK150" i="103"/>
  <c r="AK5" i="103"/>
  <c r="AM134" i="103"/>
  <c r="AL51" i="103"/>
  <c r="AO8" i="103"/>
  <c r="AP77" i="103"/>
  <c r="AM39" i="103"/>
  <c r="AL102" i="103"/>
  <c r="AN111" i="103"/>
  <c r="AK113" i="103"/>
  <c r="AL103" i="103"/>
  <c r="AU122" i="103"/>
  <c r="AZ46" i="103"/>
  <c r="AM6" i="103"/>
  <c r="AU69" i="103"/>
  <c r="AK144" i="103"/>
  <c r="AM124" i="103"/>
  <c r="AS46" i="103"/>
  <c r="AL109" i="103"/>
  <c r="AS27" i="103"/>
  <c r="AR107" i="103"/>
  <c r="AN113" i="103"/>
  <c r="AL18" i="103"/>
  <c r="AT128" i="103"/>
  <c r="AM133" i="103"/>
  <c r="AZ52" i="103"/>
  <c r="AP79" i="103"/>
  <c r="AM73" i="103"/>
  <c r="AS131" i="103"/>
  <c r="AL91" i="103"/>
  <c r="AW29" i="103"/>
  <c r="AZ24" i="103"/>
  <c r="AM52" i="103"/>
  <c r="AR20" i="103"/>
  <c r="AW49" i="103"/>
  <c r="AK44" i="103"/>
  <c r="AT44" i="103"/>
  <c r="AP137" i="103"/>
  <c r="AO120" i="103"/>
  <c r="AM61" i="103"/>
  <c r="AT21" i="103"/>
  <c r="AY50" i="103"/>
  <c r="AP57" i="103"/>
  <c r="AK22" i="103"/>
  <c r="AW142" i="103"/>
  <c r="AT18" i="103"/>
  <c r="AR76" i="103"/>
  <c r="AZ125" i="103"/>
  <c r="AR118" i="103"/>
  <c r="AZ79" i="103"/>
  <c r="AU137" i="103"/>
  <c r="AT41" i="103"/>
  <c r="AT149" i="103"/>
  <c r="AM145" i="103"/>
  <c r="AS10" i="103"/>
  <c r="AK86" i="103"/>
  <c r="AU114" i="103"/>
  <c r="AO40" i="103"/>
  <c r="AR67" i="103"/>
  <c r="AZ123" i="103"/>
  <c r="AL105" i="103"/>
  <c r="AX42" i="103"/>
  <c r="AS9" i="103"/>
  <c r="AT113" i="103"/>
  <c r="AS125" i="103"/>
  <c r="AY74" i="103"/>
  <c r="AV60" i="103"/>
  <c r="AT139" i="103"/>
  <c r="AL114" i="103"/>
  <c r="AK152" i="103"/>
  <c r="AR93" i="103"/>
  <c r="AQ68" i="103"/>
  <c r="AL34" i="103"/>
  <c r="AV69" i="103"/>
  <c r="AY122" i="103"/>
  <c r="AQ6" i="103"/>
  <c r="AY69" i="103"/>
  <c r="AO144" i="103"/>
  <c r="AU12" i="103"/>
  <c r="AK76" i="103"/>
  <c r="AW46" i="103"/>
  <c r="AP109" i="103"/>
  <c r="AR113" i="103"/>
  <c r="AW19" i="103"/>
  <c r="AK52" i="103"/>
  <c r="AL118" i="103"/>
  <c r="AT79" i="103"/>
  <c r="AU45" i="103"/>
  <c r="AL45" i="103"/>
  <c r="AR116" i="103"/>
  <c r="AR10" i="103"/>
  <c r="AZ95" i="103"/>
  <c r="AW77" i="103"/>
  <c r="AY14" i="103"/>
  <c r="AV116" i="103"/>
  <c r="AQ31" i="103"/>
  <c r="AZ75" i="103"/>
  <c r="AR35" i="103"/>
  <c r="AQ114" i="103"/>
  <c r="AM98" i="103"/>
  <c r="AQ50" i="103"/>
  <c r="AN69" i="103"/>
  <c r="AN84" i="103"/>
  <c r="AS149" i="103"/>
  <c r="AM114" i="103"/>
  <c r="AL152" i="103"/>
  <c r="AU4" i="103"/>
  <c r="AW22" i="103"/>
  <c r="AT132" i="103"/>
  <c r="AL16" i="103"/>
  <c r="AT124" i="103"/>
  <c r="AS37" i="103"/>
  <c r="AS61" i="103"/>
  <c r="AM22" i="103"/>
  <c r="AN6" i="103"/>
  <c r="AW57" i="103"/>
  <c r="AU18" i="103"/>
  <c r="AV37" i="103"/>
  <c r="AN133" i="103"/>
  <c r="AN132" i="103"/>
  <c r="AV130" i="103"/>
  <c r="AL42" i="103"/>
  <c r="AL141" i="103"/>
  <c r="AW65" i="103"/>
  <c r="AP83" i="103"/>
  <c r="AK85" i="103"/>
  <c r="AO114" i="103"/>
  <c r="AN98" i="103"/>
  <c r="AT98" i="103"/>
  <c r="AP152" i="103"/>
  <c r="AV34" i="103"/>
  <c r="AL50" i="103"/>
  <c r="AZ121" i="103"/>
  <c r="AR54" i="103"/>
  <c r="AK103" i="103"/>
  <c r="AP85" i="103"/>
  <c r="AW130" i="103"/>
  <c r="AQ136" i="103"/>
  <c r="AX152" i="103"/>
  <c r="AL124" i="103"/>
  <c r="AX136" i="103"/>
  <c r="AV40" i="103"/>
  <c r="AV38" i="103"/>
  <c r="AK132" i="103"/>
  <c r="AR105" i="103"/>
  <c r="AP124" i="103"/>
  <c r="AX144" i="103"/>
  <c r="AR61" i="103"/>
  <c r="AT105" i="103"/>
  <c r="AT110" i="103"/>
  <c r="AW111" i="103"/>
  <c r="AY39" i="103"/>
  <c r="AL110" i="103"/>
  <c r="AU128" i="103"/>
  <c r="AT130" i="103"/>
  <c r="AR149" i="103"/>
  <c r="AL142" i="103"/>
  <c r="AO25" i="103"/>
  <c r="AO42" i="103"/>
  <c r="AO141" i="103"/>
  <c r="AX41" i="103"/>
  <c r="AV96" i="103"/>
  <c r="AT16" i="103"/>
  <c r="AS113" i="103"/>
  <c r="AN54" i="103"/>
  <c r="AR22" i="103"/>
  <c r="AO109" i="103"/>
  <c r="AT46" i="103"/>
  <c r="AR68" i="103"/>
  <c r="AW110" i="103"/>
  <c r="AO49" i="103"/>
  <c r="AZ19" i="103"/>
  <c r="AX74" i="103"/>
  <c r="AP48" i="103"/>
  <c r="AR120" i="103"/>
  <c r="AV58" i="103"/>
  <c r="AU134" i="103"/>
  <c r="AM58" i="103"/>
  <c r="AW58" i="103"/>
  <c r="AO134" i="103"/>
  <c r="AV5" i="103"/>
  <c r="AW147" i="103"/>
  <c r="AS137" i="103"/>
  <c r="AN22" i="103"/>
  <c r="AS109" i="103"/>
  <c r="AP43" i="103"/>
  <c r="AX103" i="103"/>
  <c r="AS76" i="103"/>
  <c r="AQ45" i="103"/>
  <c r="AM67" i="103"/>
  <c r="AU9" i="103"/>
  <c r="AK124" i="103"/>
  <c r="AU117" i="103"/>
  <c r="AL121" i="103"/>
  <c r="AO125" i="103"/>
  <c r="AT15" i="103"/>
  <c r="AM43" i="103"/>
  <c r="AW117" i="103"/>
  <c r="AP32" i="103"/>
  <c r="AQ125" i="103"/>
  <c r="AS49" i="103"/>
  <c r="AP29" i="103"/>
  <c r="AY49" i="103"/>
  <c r="AN49" i="103"/>
  <c r="AM119" i="103"/>
  <c r="AZ73" i="103"/>
  <c r="AQ58" i="103"/>
  <c r="AT82" i="103"/>
  <c r="AK28" i="103"/>
  <c r="AT112" i="103"/>
  <c r="AL28" i="103"/>
  <c r="AK23" i="103"/>
  <c r="AP66" i="103"/>
  <c r="AM11" i="103"/>
  <c r="AU7" i="103"/>
  <c r="AP135" i="103"/>
  <c r="AV120" i="103"/>
  <c r="AV150" i="103"/>
  <c r="AY29" i="103"/>
  <c r="AO151" i="103"/>
  <c r="AR148" i="103"/>
  <c r="AK80" i="103"/>
  <c r="AW59" i="103"/>
  <c r="AM146" i="103"/>
  <c r="AU26" i="103"/>
  <c r="AL44" i="103"/>
  <c r="AM48" i="103"/>
  <c r="AT58" i="103"/>
  <c r="AO7" i="103"/>
  <c r="AL143" i="103"/>
  <c r="AX66" i="103"/>
  <c r="AR71" i="103"/>
  <c r="AR133" i="103"/>
  <c r="AM57" i="103"/>
  <c r="AM128" i="103"/>
  <c r="AV15" i="103"/>
  <c r="AU16" i="103"/>
  <c r="AK9" i="103"/>
  <c r="AL113" i="103"/>
  <c r="AO103" i="103"/>
  <c r="AZ27" i="103"/>
  <c r="AZ54" i="103"/>
  <c r="AM108" i="103"/>
  <c r="AU67" i="103"/>
  <c r="AK16" i="103"/>
  <c r="AS124" i="103"/>
  <c r="AL17" i="103"/>
  <c r="AN52" i="103"/>
  <c r="AR32" i="103"/>
  <c r="AO79" i="103"/>
  <c r="AU107" i="103"/>
  <c r="AV19" i="103"/>
  <c r="AK74" i="103"/>
  <c r="AX73" i="103"/>
  <c r="AN140" i="103"/>
  <c r="AT20" i="103"/>
  <c r="AO20" i="103"/>
  <c r="AV49" i="103"/>
  <c r="AY53" i="103"/>
  <c r="AR53" i="103"/>
  <c r="AP119" i="103"/>
  <c r="AY26" i="103"/>
  <c r="AQ44" i="103"/>
  <c r="AW87" i="103"/>
  <c r="AL147" i="103"/>
  <c r="AT150" i="103"/>
  <c r="AY58" i="103"/>
  <c r="AW7" i="103"/>
  <c r="AZ58" i="103"/>
  <c r="AU112" i="103"/>
  <c r="AS5" i="103"/>
  <c r="AV71" i="103"/>
  <c r="AY44" i="103"/>
  <c r="AM5" i="103"/>
  <c r="AS120" i="103"/>
  <c r="AU119" i="103"/>
  <c r="AL94" i="103"/>
  <c r="AM64" i="103"/>
  <c r="AV85" i="103"/>
  <c r="AL92" i="103"/>
  <c r="AZ13" i="103"/>
  <c r="AV55" i="103"/>
  <c r="AN70" i="103"/>
  <c r="AU35" i="103"/>
  <c r="AM89" i="103"/>
  <c r="AN10" i="103"/>
  <c r="AV95" i="103"/>
  <c r="AR98" i="103"/>
  <c r="AS98" i="103"/>
  <c r="AM38" i="103"/>
  <c r="AW69" i="103"/>
  <c r="AO113" i="103"/>
  <c r="AK98" i="103"/>
  <c r="AL136" i="103"/>
  <c r="AN68" i="103"/>
  <c r="AO27" i="103"/>
  <c r="AP110" i="103"/>
  <c r="AT136" i="103"/>
  <c r="AL144" i="103"/>
  <c r="AS6" i="103"/>
  <c r="AY4" i="103"/>
  <c r="AV142" i="103"/>
  <c r="AV46" i="103"/>
  <c r="AM50" i="103"/>
  <c r="AR69" i="103"/>
  <c r="AP130" i="103"/>
  <c r="AY144" i="103"/>
  <c r="AX142" i="103"/>
  <c r="AP16" i="103"/>
  <c r="AQ4" i="103"/>
  <c r="AR25" i="103"/>
  <c r="AU50" i="103"/>
  <c r="AS130" i="103"/>
  <c r="AN122" i="103"/>
  <c r="AQ22" i="103"/>
  <c r="AM121" i="103"/>
  <c r="AO57" i="103"/>
  <c r="AY12" i="103"/>
  <c r="AX46" i="103"/>
  <c r="AT141" i="103"/>
  <c r="AQ57" i="103"/>
  <c r="AK105" i="103"/>
  <c r="AZ132" i="103"/>
  <c r="AZ25" i="103"/>
  <c r="AZ42" i="103"/>
  <c r="AY17" i="103"/>
  <c r="AU121" i="103"/>
  <c r="AV56" i="103"/>
  <c r="AY16" i="103"/>
  <c r="AO9" i="103"/>
  <c r="AQ124" i="103"/>
  <c r="AP113" i="103"/>
  <c r="AQ115" i="103"/>
  <c r="AO69" i="103"/>
  <c r="AQ39" i="103"/>
  <c r="AR136" i="103"/>
  <c r="AZ69" i="103"/>
  <c r="AM96" i="103"/>
  <c r="AK142" i="103"/>
  <c r="AW37" i="103"/>
  <c r="AX149" i="103"/>
  <c r="AP105" i="103"/>
  <c r="AV133" i="103"/>
  <c r="AQ54" i="103"/>
  <c r="AZ15" i="103"/>
  <c r="AR24" i="103"/>
  <c r="AW80" i="103"/>
  <c r="AT101" i="103"/>
  <c r="AU123" i="103"/>
  <c r="AZ67" i="103"/>
  <c r="AZ63" i="103"/>
  <c r="AU30" i="103"/>
  <c r="AU99" i="103"/>
  <c r="AK64" i="103"/>
  <c r="AR60" i="103"/>
  <c r="AW85" i="103"/>
  <c r="AK89" i="103"/>
  <c r="AS30" i="103"/>
  <c r="AL60" i="103"/>
  <c r="AT63" i="103"/>
  <c r="AN14" i="103"/>
  <c r="AP51" i="103"/>
  <c r="AV68" i="103"/>
  <c r="AS84" i="103"/>
  <c r="AZ98" i="103"/>
  <c r="AK102" i="103"/>
  <c r="AN93" i="103"/>
  <c r="AK130" i="103"/>
  <c r="AW109" i="103"/>
  <c r="AV122" i="103"/>
  <c r="AP149" i="103"/>
  <c r="AN121" i="103"/>
  <c r="AW103" i="103"/>
  <c r="AP18" i="103"/>
  <c r="AP121" i="103"/>
  <c r="AW125" i="103"/>
  <c r="AY117" i="103"/>
  <c r="AP131" i="103"/>
  <c r="AN32" i="103"/>
  <c r="AO76" i="103"/>
  <c r="AN107" i="103"/>
  <c r="AN53" i="103"/>
  <c r="AM81" i="103"/>
  <c r="AL140" i="103"/>
  <c r="AL29" i="103"/>
  <c r="AX151" i="103"/>
  <c r="AQ148" i="103"/>
  <c r="AL74" i="103"/>
  <c r="AR140" i="103"/>
  <c r="AK81" i="103"/>
  <c r="AZ47" i="103"/>
  <c r="AX127" i="103"/>
  <c r="AK43" i="103"/>
  <c r="AS151" i="103"/>
  <c r="AL148" i="103"/>
  <c r="AS44" i="103"/>
  <c r="AZ5" i="103"/>
  <c r="AP20" i="103"/>
  <c r="AM82" i="103"/>
  <c r="AT135" i="103"/>
  <c r="AK119" i="103"/>
  <c r="AQ73" i="103"/>
  <c r="AQ80" i="103"/>
  <c r="AO150" i="103"/>
  <c r="AR45" i="103"/>
  <c r="AK147" i="103"/>
  <c r="AW5" i="103"/>
  <c r="AS7" i="103"/>
  <c r="AO146" i="103"/>
  <c r="AT147" i="103"/>
  <c r="AO48" i="103"/>
  <c r="AQ5" i="103"/>
  <c r="AP58" i="103"/>
  <c r="AQ146" i="103"/>
  <c r="AQ47" i="103"/>
  <c r="AW71" i="103"/>
  <c r="AX87" i="103"/>
  <c r="AZ11" i="103"/>
  <c r="AL66" i="103"/>
  <c r="AR112" i="103"/>
  <c r="AS23" i="103"/>
  <c r="AT140" i="103"/>
  <c r="AL24" i="103"/>
  <c r="AS59" i="103"/>
  <c r="AM147" i="103"/>
  <c r="AX20" i="103"/>
  <c r="AS147" i="103"/>
  <c r="AT137" i="103"/>
  <c r="AV134" i="103"/>
  <c r="AU44" i="103"/>
  <c r="AV146" i="103"/>
  <c r="AZ88" i="103"/>
  <c r="AN143" i="103"/>
  <c r="AR147" i="103"/>
  <c r="AR146" i="103"/>
  <c r="AQ137" i="103"/>
  <c r="AQ128" i="103"/>
  <c r="AQ12" i="103"/>
  <c r="AP46" i="103"/>
  <c r="AY109" i="103"/>
  <c r="AQ17" i="103"/>
  <c r="AW105" i="103"/>
  <c r="AZ22" i="103"/>
  <c r="AP142" i="103"/>
  <c r="AR121" i="103"/>
  <c r="AV54" i="103"/>
  <c r="AR128" i="103"/>
  <c r="AX109" i="103"/>
  <c r="AS121" i="103"/>
  <c r="AY54" i="103"/>
  <c r="AR27" i="103"/>
  <c r="AO19" i="103"/>
  <c r="AQ67" i="103"/>
  <c r="AY9" i="103"/>
  <c r="AO124" i="103"/>
  <c r="AZ113" i="103"/>
  <c r="AN128" i="103"/>
  <c r="AZ32" i="103"/>
  <c r="AQ91" i="103"/>
  <c r="AM148" i="103"/>
  <c r="AP128" i="103"/>
  <c r="AX17" i="103"/>
  <c r="AT131" i="103"/>
  <c r="AT32" i="103"/>
  <c r="AM76" i="103"/>
  <c r="AU125" i="103"/>
  <c r="AN131" i="103"/>
  <c r="AK91" i="103"/>
  <c r="AU106" i="103"/>
  <c r="AS52" i="103"/>
  <c r="AL19" i="103"/>
  <c r="AT118" i="103"/>
  <c r="AO131" i="103"/>
  <c r="AR15" i="103"/>
  <c r="AY15" i="103"/>
  <c r="AU81" i="103"/>
  <c r="AT24" i="103"/>
  <c r="AU53" i="103"/>
  <c r="AS74" i="103"/>
  <c r="AV48" i="103"/>
  <c r="AP24" i="103"/>
  <c r="AS146" i="103"/>
  <c r="AU151" i="103"/>
  <c r="AN148" i="103"/>
  <c r="AK56" i="103"/>
  <c r="AS45" i="103"/>
  <c r="AX71" i="103"/>
  <c r="AM44" i="103"/>
  <c r="AP5" i="103"/>
  <c r="AZ66" i="103"/>
  <c r="AN127" i="103"/>
  <c r="AV73" i="103"/>
  <c r="AQ120" i="103"/>
  <c r="AV147" i="103"/>
  <c r="AR134" i="103"/>
  <c r="AR126" i="103"/>
  <c r="AT28" i="103"/>
  <c r="AZ82" i="103"/>
  <c r="AO135" i="103"/>
  <c r="AZ112" i="103"/>
  <c r="AQ88" i="103"/>
  <c r="AY87" i="103"/>
  <c r="AT126" i="103"/>
  <c r="AV7" i="103"/>
  <c r="AQ11" i="103"/>
  <c r="AO47" i="103"/>
  <c r="AS11" i="103"/>
  <c r="AR137" i="103"/>
  <c r="AT48" i="103"/>
  <c r="AY134" i="103"/>
  <c r="AU48" i="103"/>
  <c r="AL135" i="103"/>
  <c r="AX120" i="103"/>
  <c r="AK11" i="103"/>
  <c r="AR135" i="103"/>
  <c r="AZ120" i="103"/>
  <c r="AM88" i="103"/>
  <c r="AQ134" i="103"/>
  <c r="AS143" i="103"/>
  <c r="AK65" i="103"/>
  <c r="AQ62" i="103"/>
  <c r="AW101" i="103"/>
  <c r="AR129" i="103"/>
  <c r="AW89" i="103"/>
  <c r="AR75" i="103"/>
  <c r="AT77" i="103"/>
  <c r="AO65" i="103"/>
  <c r="AZ86" i="103"/>
  <c r="AX60" i="103"/>
  <c r="AZ14" i="103"/>
  <c r="AU136" i="103"/>
  <c r="AU14" i="103"/>
  <c r="AL13" i="103"/>
  <c r="AX115" i="103"/>
  <c r="AO51" i="103"/>
  <c r="AW100" i="103"/>
  <c r="AK139" i="103"/>
  <c r="AV14" i="103"/>
  <c r="AX97" i="103"/>
  <c r="AO83" i="103"/>
  <c r="AP35" i="103"/>
  <c r="AO77" i="103"/>
  <c r="AT138" i="103"/>
  <c r="AS31" i="103"/>
  <c r="AZ97" i="103"/>
  <c r="AY116" i="103"/>
  <c r="AY97" i="103"/>
  <c r="AS95" i="103"/>
  <c r="AO55" i="103"/>
  <c r="AZ60" i="103"/>
  <c r="AQ70" i="103"/>
  <c r="AX35" i="103"/>
  <c r="AZ129" i="103"/>
  <c r="AZ104" i="103"/>
  <c r="AL129" i="103"/>
  <c r="AR90" i="103"/>
  <c r="AU64" i="103"/>
  <c r="AM35" i="103"/>
  <c r="AN116" i="103"/>
  <c r="AR92" i="103"/>
  <c r="AL62" i="103"/>
  <c r="AN78" i="103"/>
  <c r="AN64" i="103"/>
  <c r="AZ40" i="103"/>
  <c r="AY86" i="103"/>
  <c r="AR89" i="103"/>
  <c r="AT83" i="103"/>
  <c r="AU31" i="103"/>
  <c r="AK30" i="103"/>
  <c r="AL63" i="103"/>
  <c r="AY33" i="103"/>
  <c r="AV94" i="103"/>
  <c r="AV35" i="103"/>
  <c r="AS139" i="103"/>
  <c r="AP30" i="103"/>
  <c r="AX51" i="103"/>
  <c r="AM14" i="103"/>
  <c r="AV33" i="103"/>
  <c r="AW64" i="103"/>
  <c r="AM100" i="103"/>
  <c r="AN101" i="103"/>
  <c r="AO138" i="103"/>
  <c r="AZ10" i="103"/>
  <c r="AQ104" i="103"/>
  <c r="AT145" i="103"/>
  <c r="AL101" i="103"/>
  <c r="AK95" i="103"/>
  <c r="AM75" i="103"/>
  <c r="AY70" i="103"/>
  <c r="AR40" i="103"/>
  <c r="AS64" i="103"/>
  <c r="AP139" i="103"/>
  <c r="AS89" i="103"/>
  <c r="AT60" i="103"/>
  <c r="AN75" i="103"/>
  <c r="AK31" i="103"/>
  <c r="AX75" i="103"/>
  <c r="AS63" i="103"/>
  <c r="AN90" i="103"/>
  <c r="AR85" i="103"/>
  <c r="AU75" i="103"/>
  <c r="AK55" i="103"/>
  <c r="AQ92" i="103"/>
  <c r="AM30" i="103"/>
  <c r="AO31" i="103"/>
  <c r="AV97" i="103"/>
  <c r="AL116" i="103"/>
  <c r="AX86" i="103"/>
  <c r="AL36" i="103"/>
  <c r="AK145" i="103"/>
  <c r="AP13" i="103"/>
  <c r="AV70" i="103"/>
  <c r="AO14" i="103"/>
  <c r="AZ78" i="103"/>
  <c r="AK35" i="103"/>
  <c r="AK51" i="103"/>
  <c r="AQ108" i="103"/>
  <c r="AY67" i="103"/>
  <c r="AO16" i="103"/>
  <c r="AW124" i="103"/>
  <c r="AU76" i="103"/>
  <c r="AS91" i="103"/>
  <c r="AL107" i="103"/>
  <c r="AS56" i="103"/>
  <c r="AK106" i="103"/>
  <c r="AY98" i="103"/>
  <c r="AW136" i="103"/>
  <c r="AY40" i="103"/>
  <c r="AT39" i="103"/>
  <c r="AM122" i="103"/>
  <c r="AT93" i="103"/>
  <c r="AM69" i="103"/>
  <c r="AU111" i="103"/>
  <c r="AK46" i="103"/>
  <c r="AR17" i="103"/>
  <c r="AZ131" i="103"/>
  <c r="AX19" i="103"/>
  <c r="AV47" i="103"/>
  <c r="AS40" i="103"/>
  <c r="AN105" i="103"/>
  <c r="AR123" i="103"/>
  <c r="AN123" i="103"/>
  <c r="AK110" i="103"/>
  <c r="AV93" i="103"/>
  <c r="AX39" i="103"/>
  <c r="AQ122" i="103"/>
  <c r="AX93" i="103"/>
  <c r="AQ69" i="103"/>
  <c r="AY111" i="103"/>
  <c r="AR110" i="103"/>
  <c r="AQ149" i="103"/>
  <c r="AR12" i="103"/>
  <c r="AO46" i="103"/>
  <c r="AY18" i="103"/>
  <c r="AY108" i="103"/>
  <c r="AW16" i="103"/>
  <c r="AO133" i="103"/>
  <c r="AT107" i="103"/>
  <c r="AL79" i="103"/>
  <c r="AS43" i="103"/>
  <c r="AT148" i="103"/>
  <c r="AM56" i="103"/>
  <c r="AV106" i="103"/>
  <c r="AZ45" i="103"/>
  <c r="AX16" i="103"/>
  <c r="AM49" i="103"/>
  <c r="AU147" i="103"/>
  <c r="AS135" i="103"/>
  <c r="AO98" i="103"/>
  <c r="AW8" i="103"/>
  <c r="AS114" i="103"/>
  <c r="AN50" i="103"/>
  <c r="AR111" i="103"/>
  <c r="AL132" i="103"/>
  <c r="AW38" i="103"/>
  <c r="AV111" i="103"/>
  <c r="AQ144" i="103"/>
  <c r="AS4" i="103"/>
  <c r="AN42" i="103"/>
  <c r="AR37" i="103"/>
  <c r="AK61" i="103"/>
  <c r="AR130" i="103"/>
  <c r="AZ110" i="103"/>
  <c r="AZ149" i="103"/>
  <c r="AZ61" i="103"/>
  <c r="AT57" i="103"/>
  <c r="AS105" i="103"/>
  <c r="AZ12" i="103"/>
  <c r="AP103" i="103"/>
  <c r="AQ9" i="103"/>
  <c r="AX128" i="103"/>
  <c r="AQ133" i="103"/>
  <c r="AS117" i="103"/>
  <c r="AL32" i="103"/>
  <c r="AM125" i="103"/>
  <c r="AW131" i="103"/>
  <c r="AP91" i="103"/>
  <c r="AR43" i="103"/>
  <c r="AQ52" i="103"/>
  <c r="AK49" i="103"/>
  <c r="AT56" i="103"/>
  <c r="AP26" i="103"/>
  <c r="AM29" i="103"/>
  <c r="AU56" i="103"/>
  <c r="AS106" i="103"/>
  <c r="AW26" i="103"/>
  <c r="AR7" i="103"/>
  <c r="AW48" i="103"/>
  <c r="AK88" i="103"/>
  <c r="AK146" i="103"/>
  <c r="AN152" i="103"/>
  <c r="AR34" i="103"/>
  <c r="AN34" i="103"/>
  <c r="AR6" i="103"/>
  <c r="AR142" i="103"/>
  <c r="AX61" i="103"/>
  <c r="AM41" i="103"/>
  <c r="AX124" i="103"/>
  <c r="AW113" i="103"/>
  <c r="AT109" i="103"/>
  <c r="AX18" i="103"/>
  <c r="AN27" i="103"/>
  <c r="AT121" i="103"/>
  <c r="AU133" i="103"/>
  <c r="AV76" i="103"/>
  <c r="AT91" i="103"/>
  <c r="AM107" i="103"/>
  <c r="AU52" i="103"/>
  <c r="AN19" i="103"/>
  <c r="AV118" i="103"/>
  <c r="AU43" i="103"/>
  <c r="AK29" i="103"/>
  <c r="AQ49" i="103"/>
  <c r="AM74" i="103"/>
  <c r="AX140" i="103"/>
  <c r="AQ151" i="103"/>
  <c r="AR48" i="103"/>
  <c r="AT106" i="103"/>
  <c r="AM26" i="103"/>
  <c r="AW44" i="103"/>
  <c r="AL82" i="103"/>
  <c r="AL137" i="103"/>
  <c r="AY47" i="103"/>
  <c r="AY5" i="103"/>
  <c r="AK143" i="103"/>
  <c r="AS102" i="103"/>
  <c r="AV152" i="103"/>
  <c r="AZ34" i="103"/>
  <c r="AR50" i="103"/>
  <c r="AX130" i="103"/>
  <c r="AP114" i="103"/>
  <c r="AN40" i="103"/>
  <c r="AW114" i="103"/>
  <c r="AS8" i="103"/>
  <c r="AT152" i="103"/>
  <c r="AK37" i="103"/>
  <c r="AU25" i="103"/>
  <c r="AL122" i="103"/>
  <c r="AZ37" i="103"/>
  <c r="AQ96" i="103"/>
  <c r="AR132" i="103"/>
  <c r="AZ130" i="103"/>
  <c r="AQ25" i="103"/>
  <c r="AQ16" i="103"/>
  <c r="AY124" i="103"/>
  <c r="AV27" i="103"/>
  <c r="AX121" i="103"/>
  <c r="AY133" i="103"/>
  <c r="AR52" i="103"/>
  <c r="AV32" i="103"/>
  <c r="AX15" i="103"/>
  <c r="AZ76" i="103"/>
  <c r="AX91" i="103"/>
  <c r="AQ107" i="103"/>
  <c r="AY52" i="103"/>
  <c r="AR19" i="103"/>
  <c r="AZ118" i="103"/>
  <c r="AZ29" i="103"/>
  <c r="AN43" i="103"/>
  <c r="AK148" i="103"/>
  <c r="AW20" i="103"/>
  <c r="AU29" i="103"/>
  <c r="AK151" i="103"/>
  <c r="AX106" i="103"/>
  <c r="AQ26" i="103"/>
  <c r="AN59" i="103"/>
  <c r="AR44" i="103"/>
  <c r="AL120" i="103"/>
  <c r="AT36" i="103"/>
  <c r="AR78" i="103"/>
  <c r="AV138" i="103"/>
  <c r="AY129" i="103"/>
  <c r="AY36" i="103"/>
  <c r="AR101" i="103"/>
  <c r="AW83" i="103"/>
  <c r="AO94" i="103"/>
  <c r="AQ72" i="103"/>
  <c r="AX78" i="103"/>
  <c r="AW70" i="103"/>
  <c r="AY10" i="103"/>
  <c r="AM90" i="103"/>
  <c r="AR99" i="103"/>
  <c r="AY62" i="103"/>
  <c r="AY95" i="103"/>
  <c r="AW10" i="103"/>
  <c r="AZ55" i="103"/>
  <c r="AR70" i="103"/>
  <c r="AX139" i="103"/>
  <c r="AZ145" i="103"/>
  <c r="AR63" i="103"/>
  <c r="AR95" i="103"/>
  <c r="AZ64" i="103"/>
  <c r="AT31" i="103"/>
  <c r="AK63" i="103"/>
  <c r="AS51" i="103"/>
  <c r="AY85" i="103"/>
  <c r="AS129" i="103"/>
  <c r="AL65" i="103"/>
  <c r="AU60" i="103"/>
  <c r="AU115" i="103"/>
  <c r="AV114" i="103"/>
  <c r="AW98" i="103"/>
  <c r="AQ38" i="103"/>
  <c r="AZ8" i="103"/>
  <c r="AK6" i="103"/>
  <c r="AL33" i="103"/>
  <c r="AM139" i="103"/>
  <c r="AS34" i="103"/>
  <c r="AL40" i="103"/>
  <c r="AP144" i="103"/>
  <c r="AR139" i="103"/>
  <c r="AM152" i="103"/>
  <c r="AP132" i="103"/>
  <c r="AR102" i="103"/>
  <c r="AZ21" i="103"/>
  <c r="AW39" i="103"/>
  <c r="AP122" i="103"/>
  <c r="AY132" i="103"/>
  <c r="AO93" i="103"/>
  <c r="AZ144" i="103"/>
  <c r="AW123" i="103"/>
  <c r="AP111" i="103"/>
  <c r="AK42" i="103"/>
  <c r="AO108" i="103"/>
  <c r="AN67" i="103"/>
  <c r="AR9" i="103"/>
  <c r="AV132" i="103"/>
  <c r="AM105" i="103"/>
  <c r="AY102" i="103"/>
  <c r="AO68" i="103"/>
  <c r="AZ39" i="103"/>
  <c r="AW122" i="103"/>
  <c r="AP37" i="103"/>
  <c r="AR108" i="103"/>
  <c r="AZ128" i="103"/>
  <c r="AQ141" i="103"/>
  <c r="AZ16" i="103"/>
  <c r="AP9" i="103"/>
  <c r="AQ113" i="103"/>
  <c r="AL25" i="103"/>
  <c r="AT96" i="103"/>
  <c r="AT22" i="103"/>
  <c r="AM142" i="103"/>
  <c r="AV109" i="103"/>
  <c r="AV121" i="103"/>
  <c r="AS103" i="103"/>
  <c r="AS128" i="103"/>
  <c r="AL133" i="103"/>
  <c r="AU19" i="103"/>
  <c r="AT27" i="103"/>
  <c r="AV103" i="103"/>
  <c r="AS18" i="103"/>
  <c r="AL54" i="103"/>
  <c r="AX32" i="103"/>
  <c r="AQ76" i="103"/>
  <c r="AY125" i="103"/>
  <c r="AO91" i="103"/>
  <c r="AL117" i="103"/>
  <c r="AM97" i="103"/>
  <c r="AY65" i="103"/>
  <c r="AZ62" i="103"/>
  <c r="AN97" i="103"/>
  <c r="AU36" i="103"/>
  <c r="AV62" i="103"/>
  <c r="AX145" i="103"/>
  <c r="AM55" i="103"/>
  <c r="AN104" i="103"/>
  <c r="AS14" i="103"/>
  <c r="AM72" i="103"/>
  <c r="AT78" i="103"/>
  <c r="AS70" i="103"/>
  <c r="AX116" i="103"/>
  <c r="AX62" i="103"/>
  <c r="AU55" i="103"/>
  <c r="AS75" i="103"/>
  <c r="AN99" i="103"/>
  <c r="AU62" i="103"/>
  <c r="AL104" i="103"/>
  <c r="AM10" i="103"/>
  <c r="AK90" i="103"/>
  <c r="AY75" i="103"/>
  <c r="AV83" i="103"/>
  <c r="AL72" i="103"/>
  <c r="AS78" i="103"/>
  <c r="AU116" i="103"/>
  <c r="AS101" i="103"/>
  <c r="AL35" i="103"/>
  <c r="AN85" i="103"/>
  <c r="AN51" i="103"/>
  <c r="AX31" i="103"/>
  <c r="AO63" i="103"/>
  <c r="AX85" i="103"/>
  <c r="AN129" i="103"/>
  <c r="AV86" i="103"/>
  <c r="AW129" i="103"/>
  <c r="AP65" i="103"/>
  <c r="AX89" i="103"/>
  <c r="AY60" i="103"/>
  <c r="AZ33" i="103"/>
  <c r="AK77" i="103"/>
  <c r="AO84" i="103"/>
  <c r="AP33" i="103"/>
  <c r="AQ139" i="103"/>
  <c r="AW34" i="103"/>
  <c r="AP40" i="103"/>
  <c r="AV139" i="103"/>
  <c r="AL38" i="103"/>
  <c r="AM84" i="103"/>
  <c r="AQ152" i="103"/>
  <c r="AX132" i="103"/>
  <c r="AV102" i="103"/>
  <c r="AL68" i="103"/>
  <c r="AT122" i="103"/>
  <c r="AM37" i="103"/>
  <c r="AN149" i="103"/>
  <c r="AN61" i="103"/>
  <c r="AS93" i="103"/>
  <c r="AL69" i="103"/>
  <c r="AT111" i="103"/>
  <c r="AM110" i="103"/>
  <c r="AY25" i="103"/>
  <c r="AV108" i="103"/>
  <c r="AY22" i="103"/>
  <c r="AV67" i="103"/>
  <c r="AK50" i="103"/>
  <c r="AS68" i="103"/>
  <c r="AT37" i="103"/>
  <c r="AV149" i="103"/>
  <c r="AV61" i="103"/>
  <c r="AN96" i="103"/>
  <c r="AU141" i="103"/>
  <c r="AN41" i="103"/>
  <c r="AK96" i="103"/>
  <c r="AL67" i="103"/>
  <c r="AT9" i="103"/>
  <c r="AU113" i="103"/>
  <c r="AP25" i="103"/>
  <c r="AX96" i="103"/>
  <c r="AX22" i="103"/>
  <c r="AQ142" i="103"/>
  <c r="AZ109" i="103"/>
  <c r="AM54" i="103"/>
  <c r="AW128" i="103"/>
  <c r="AP133" i="103"/>
  <c r="AP17" i="103"/>
  <c r="AX27" i="103"/>
  <c r="AZ103" i="103"/>
  <c r="AW18" i="103"/>
  <c r="AP54" i="103"/>
  <c r="AT52" i="103"/>
  <c r="AP117" i="103"/>
  <c r="AV92" i="103"/>
  <c r="AU95" i="103"/>
  <c r="AR62" i="103"/>
  <c r="AU70" i="103"/>
  <c r="AQ35" i="103"/>
  <c r="AS13" i="103"/>
  <c r="AQ36" i="103"/>
  <c r="AP145" i="103"/>
  <c r="AY89" i="103"/>
  <c r="AP78" i="103"/>
  <c r="AY100" i="103"/>
  <c r="AN83" i="103"/>
  <c r="AM86" i="103"/>
  <c r="AK60" i="103"/>
  <c r="AY51" i="103"/>
  <c r="AT65" i="103"/>
  <c r="AN31" i="103"/>
  <c r="AV84" i="103"/>
  <c r="AM34" i="103"/>
  <c r="AN8" i="103"/>
  <c r="AZ136" i="103"/>
  <c r="AT33" i="103"/>
  <c r="AU139" i="103"/>
  <c r="AK38" i="103"/>
  <c r="AL84" i="103"/>
  <c r="AT40" i="103"/>
  <c r="AZ139" i="103"/>
  <c r="AP38" i="103"/>
  <c r="AQ84" i="103"/>
  <c r="AO132" i="103"/>
  <c r="AU152" i="103"/>
  <c r="AZ102" i="103"/>
  <c r="AP68" i="103"/>
  <c r="AX122" i="103"/>
  <c r="AQ37" i="103"/>
  <c r="AW93" i="103"/>
  <c r="AP69" i="103"/>
  <c r="AX111" i="103"/>
  <c r="AQ110" i="103"/>
  <c r="AT42" i="103"/>
  <c r="AK141" i="103"/>
  <c r="AO50" i="103"/>
  <c r="AW68" i="103"/>
  <c r="AX37" i="103"/>
  <c r="AK67" i="103"/>
  <c r="AY141" i="103"/>
  <c r="AR41" i="103"/>
  <c r="AO96" i="103"/>
  <c r="AP67" i="103"/>
  <c r="AX9" i="103"/>
  <c r="AY113" i="103"/>
  <c r="AT25" i="103"/>
  <c r="AM42" i="103"/>
  <c r="AU142" i="103"/>
  <c r="AN57" i="103"/>
  <c r="AL12" i="103"/>
  <c r="AT133" i="103"/>
  <c r="AM103" i="103"/>
  <c r="AT54" i="103"/>
  <c r="AM27" i="103"/>
  <c r="AY64" i="103"/>
  <c r="AW55" i="103"/>
  <c r="AO70" i="103"/>
  <c r="AR55" i="103"/>
  <c r="AN60" i="103"/>
  <c r="AN62" i="103"/>
  <c r="AM99" i="103"/>
  <c r="AV78" i="103"/>
  <c r="AR51" i="103"/>
  <c r="AV90" i="103"/>
  <c r="AM36" i="103"/>
  <c r="AV100" i="103"/>
  <c r="AQ89" i="103"/>
  <c r="AL78" i="103"/>
  <c r="AS55" i="103"/>
  <c r="AK70" i="103"/>
  <c r="AO35" i="103"/>
  <c r="AZ116" i="103"/>
  <c r="AR100" i="103"/>
  <c r="AU97" i="103"/>
  <c r="AM62" i="103"/>
  <c r="AW35" i="103"/>
  <c r="AS72" i="103"/>
  <c r="AQ95" i="103"/>
  <c r="AK78" i="103"/>
  <c r="AN55" i="103"/>
  <c r="AS36" i="103"/>
  <c r="AM51" i="103"/>
  <c r="AO13" i="103"/>
  <c r="AQ99" i="103"/>
  <c r="AU10" i="103"/>
  <c r="AK138" i="103"/>
  <c r="AV10" i="103"/>
  <c r="AT35" i="103"/>
  <c r="AM104" i="103"/>
  <c r="AW51" i="103"/>
  <c r="AQ86" i="103"/>
  <c r="AR30" i="103"/>
  <c r="AO60" i="103"/>
  <c r="AW63" i="103"/>
  <c r="AV129" i="103"/>
  <c r="AS65" i="103"/>
  <c r="AL83" i="103"/>
  <c r="AM31" i="103"/>
  <c r="AN136" i="103"/>
  <c r="AN94" i="103"/>
  <c r="AV75" i="103"/>
  <c r="AN35" i="103"/>
  <c r="AX65" i="103"/>
  <c r="AQ83" i="103"/>
  <c r="AQ85" i="103"/>
  <c r="AQ51" i="103"/>
  <c r="AV8" i="103"/>
  <c r="AR8" i="103"/>
  <c r="AU34" i="103"/>
  <c r="AY136" i="103"/>
  <c r="AS77" i="103"/>
  <c r="AM136" i="103"/>
  <c r="AW40" i="103"/>
  <c r="AL98" i="103"/>
  <c r="AK84" i="103"/>
  <c r="AX33" i="103"/>
  <c r="AY139" i="103"/>
  <c r="AO38" i="103"/>
  <c r="AP84" i="103"/>
  <c r="AX40" i="103"/>
  <c r="AZ50" i="103"/>
  <c r="AT38" i="103"/>
  <c r="AM8" i="103"/>
  <c r="AU84" i="103"/>
  <c r="AN77" i="103"/>
  <c r="AW132" i="103"/>
  <c r="AY152" i="103"/>
  <c r="AO6" i="103"/>
  <c r="AZ111" i="103"/>
  <c r="AT68" i="103"/>
  <c r="AU37" i="103"/>
  <c r="AK4" i="103"/>
  <c r="AW149" i="103"/>
  <c r="AW61" i="103"/>
  <c r="AN9" i="103"/>
  <c r="AN142" i="103"/>
  <c r="AL6" i="103"/>
  <c r="AT69" i="103"/>
  <c r="AM130" i="103"/>
  <c r="AU110" i="103"/>
  <c r="AK149" i="103"/>
  <c r="AS50" i="103"/>
  <c r="AM21" i="103"/>
  <c r="AN4" i="103"/>
  <c r="AM25" i="103"/>
  <c r="AP41" i="103"/>
  <c r="AY96" i="103"/>
  <c r="AO67" i="103"/>
  <c r="AW9" i="103"/>
  <c r="AX113" i="103"/>
  <c r="AK133" i="103"/>
  <c r="AV17" i="103"/>
  <c r="AV41" i="103"/>
  <c r="AS96" i="103"/>
  <c r="AL108" i="103"/>
  <c r="AT67" i="103"/>
  <c r="AN124" i="103"/>
  <c r="AX25" i="103"/>
  <c r="AQ42" i="103"/>
  <c r="AQ105" i="103"/>
  <c r="AY142" i="103"/>
  <c r="AR57" i="103"/>
  <c r="AP12" i="103"/>
  <c r="AX133" i="103"/>
  <c r="AQ103" i="103"/>
  <c r="AP52" i="103"/>
  <c r="AK79" i="103"/>
  <c r="AX54" i="103"/>
  <c r="AQ27" i="103"/>
  <c r="AQ19" i="103"/>
  <c r="AK117" i="103"/>
  <c r="AP116" i="103"/>
  <c r="AT92" i="103"/>
  <c r="AQ94" i="103"/>
  <c r="AK72" i="103"/>
  <c r="AM115" i="103"/>
  <c r="AZ138" i="103"/>
  <c r="AU86" i="103"/>
  <c r="AV30" i="103"/>
  <c r="AS60" i="103"/>
  <c r="AS33" i="103"/>
  <c r="AS115" i="103"/>
  <c r="AR94" i="103"/>
  <c r="AU83" i="103"/>
  <c r="AV31" i="103"/>
  <c r="AL30" i="103"/>
  <c r="AM63" i="103"/>
  <c r="AN114" i="103"/>
  <c r="AR84" i="103"/>
  <c r="AN115" i="103"/>
  <c r="AS38" i="103"/>
  <c r="AL8" i="103"/>
  <c r="AT84" i="103"/>
  <c r="AM77" i="103"/>
  <c r="AX38" i="103"/>
  <c r="AQ8" i="103"/>
  <c r="AY84" i="103"/>
  <c r="AR77" i="103"/>
  <c r="AW6" i="103"/>
  <c r="AP50" i="103"/>
  <c r="AX68" i="103"/>
  <c r="AY37" i="103"/>
  <c r="AO4" i="103"/>
  <c r="AS108" i="103"/>
  <c r="AP6" i="103"/>
  <c r="AX69" i="103"/>
  <c r="AQ130" i="103"/>
  <c r="AY110" i="103"/>
  <c r="AW50" i="103"/>
  <c r="AQ21" i="103"/>
  <c r="AR4" i="103"/>
  <c r="AU41" i="103"/>
  <c r="AS67" i="103"/>
  <c r="AZ41" i="103"/>
  <c r="AW96" i="103"/>
  <c r="AP108" i="103"/>
  <c r="AX67" i="103"/>
  <c r="AR124" i="103"/>
  <c r="AO121" i="103"/>
  <c r="AU42" i="103"/>
  <c r="AN141" i="103"/>
  <c r="AK41" i="103"/>
  <c r="AU105" i="103"/>
  <c r="AV57" i="103"/>
  <c r="AT12" i="103"/>
  <c r="AM46" i="103"/>
  <c r="AK17" i="103"/>
  <c r="AL52" i="103"/>
  <c r="AU103" i="103"/>
  <c r="AN18" i="103"/>
  <c r="AK54" i="103"/>
  <c r="AU27" i="103"/>
  <c r="AU32" i="103"/>
  <c r="AN76" i="103"/>
  <c r="AM79" i="103"/>
  <c r="AZ107" i="103"/>
  <c r="AQ129" i="103"/>
  <c r="AY83" i="103"/>
  <c r="AO86" i="103"/>
  <c r="AZ31" i="103"/>
  <c r="AZ85" i="103"/>
  <c r="AZ51" i="103"/>
  <c r="AR115" i="103"/>
  <c r="AP8" i="103"/>
  <c r="AX84" i="103"/>
  <c r="AQ77" i="103"/>
  <c r="AU8" i="103"/>
  <c r="AV77" i="103"/>
  <c r="AT50" i="103"/>
  <c r="AN21" i="103"/>
  <c r="AK39" i="103"/>
  <c r="AN25" i="103"/>
  <c r="AL41" i="103"/>
  <c r="AZ108" i="103"/>
  <c r="AT6" i="103"/>
  <c r="AM132" i="103"/>
  <c r="AU130" i="103"/>
  <c r="AN144" i="103"/>
  <c r="AK123" i="103"/>
  <c r="AM102" i="103"/>
  <c r="AU21" i="103"/>
  <c r="AN39" i="103"/>
  <c r="AK122" i="103"/>
  <c r="AV4" i="103"/>
  <c r="AV25" i="103"/>
  <c r="AV42" i="103"/>
  <c r="AW141" i="103"/>
  <c r="AW67" i="103"/>
  <c r="AT108" i="103"/>
  <c r="AN16" i="103"/>
  <c r="AV124" i="103"/>
  <c r="AY42" i="103"/>
  <c r="AR141" i="103"/>
  <c r="AO41" i="103"/>
  <c r="AY105" i="103"/>
  <c r="AZ57" i="103"/>
  <c r="AX12" i="103"/>
  <c r="AQ46" i="103"/>
  <c r="AO17" i="103"/>
  <c r="AY103" i="103"/>
  <c r="AR18" i="103"/>
  <c r="AO54" i="103"/>
  <c r="AY27" i="103"/>
  <c r="AZ17" i="103"/>
  <c r="AY32" i="103"/>
  <c r="AW99" i="103"/>
  <c r="AS99" i="103"/>
  <c r="AZ65" i="103"/>
  <c r="AS145" i="103"/>
  <c r="AZ30" i="103"/>
  <c r="AO99" i="103"/>
  <c r="AQ10" i="103"/>
  <c r="AL75" i="103"/>
  <c r="AK83" i="103"/>
  <c r="AK99" i="103"/>
  <c r="AW72" i="103"/>
  <c r="AX104" i="103"/>
  <c r="AR13" i="103"/>
  <c r="AP36" i="103"/>
  <c r="AZ99" i="103"/>
  <c r="AO145" i="103"/>
  <c r="AT104" i="103"/>
  <c r="AQ55" i="103"/>
  <c r="AV51" i="103"/>
  <c r="AX72" i="103"/>
  <c r="AZ70" i="103"/>
  <c r="AQ100" i="103"/>
  <c r="AY99" i="103"/>
  <c r="AP129" i="103"/>
  <c r="AY55" i="103"/>
  <c r="AW138" i="103"/>
  <c r="AP14" i="103"/>
  <c r="AY104" i="103"/>
  <c r="AV89" i="103"/>
  <c r="AL31" i="103"/>
  <c r="AX83" i="103"/>
  <c r="AY31" i="103"/>
  <c r="AO30" i="103"/>
  <c r="AP63" i="103"/>
  <c r="AZ94" i="103"/>
  <c r="AZ35" i="103"/>
  <c r="AK129" i="103"/>
  <c r="AT30" i="103"/>
  <c r="AU63" i="103"/>
  <c r="AL115" i="103"/>
  <c r="AK114" i="103"/>
  <c r="AN38" i="103"/>
  <c r="AR114" i="103"/>
  <c r="AP98" i="103"/>
  <c r="AO152" i="103"/>
  <c r="AV115" i="103"/>
  <c r="AT8" i="103"/>
  <c r="AU77" i="103"/>
  <c r="AK34" i="103"/>
  <c r="AY8" i="103"/>
  <c r="AZ77" i="103"/>
  <c r="AP34" i="103"/>
  <c r="AX50" i="103"/>
  <c r="AR21" i="103"/>
  <c r="AO39" i="103"/>
  <c r="AW4" i="103"/>
  <c r="AS141" i="103"/>
  <c r="AQ41" i="103"/>
  <c r="AU96" i="103"/>
  <c r="AU68" i="103"/>
  <c r="AK21" i="103"/>
  <c r="AL4" i="103"/>
  <c r="AX6" i="103"/>
  <c r="AQ132" i="103"/>
  <c r="AY130" i="103"/>
  <c r="AR144" i="103"/>
  <c r="AO123" i="103"/>
  <c r="AK25" i="103"/>
  <c r="AY149" i="103"/>
  <c r="AU6" i="103"/>
  <c r="AS144" i="103"/>
  <c r="AL123" i="103"/>
  <c r="AQ102" i="103"/>
  <c r="AY21" i="103"/>
  <c r="AR39" i="103"/>
  <c r="AO122" i="103"/>
  <c r="AZ4" i="103"/>
  <c r="AZ105" i="103"/>
  <c r="AM16" i="103"/>
  <c r="AU124" i="103"/>
  <c r="AX108" i="103"/>
  <c r="AR16" i="103"/>
  <c r="AZ124" i="103"/>
  <c r="AV141" i="103"/>
  <c r="AS41" i="103"/>
  <c r="AL96" i="103"/>
  <c r="AV113" i="103"/>
  <c r="AL22" i="103"/>
  <c r="AU46" i="103"/>
  <c r="AN109" i="103"/>
  <c r="AK128" i="103"/>
  <c r="AS17" i="103"/>
  <c r="AV18" i="103"/>
  <c r="AS54" i="103"/>
  <c r="AL27" i="103"/>
  <c r="AN103" i="103"/>
  <c r="AK18" i="103"/>
  <c r="AO52" i="103"/>
  <c r="AP118" i="103"/>
  <c r="AX79" i="103"/>
  <c r="AR83" i="103"/>
  <c r="AZ100" i="103"/>
  <c r="AN65" i="103"/>
  <c r="AT94" i="103"/>
  <c r="AU72" i="103"/>
  <c r="AV63" i="103"/>
  <c r="AU90" i="103"/>
  <c r="AV99" i="103"/>
  <c r="AO36" i="103"/>
  <c r="AN145" i="103"/>
  <c r="AZ101" i="103"/>
  <c r="AM65" i="103"/>
  <c r="AS94" i="103"/>
  <c r="AT72" i="103"/>
  <c r="AL97" i="103"/>
  <c r="AU129" i="103"/>
  <c r="AT14" i="103"/>
  <c r="AM116" i="103"/>
  <c r="AN95" i="103"/>
  <c r="AK101" i="103"/>
  <c r="AV64" i="103"/>
  <c r="AW33" i="103"/>
  <c r="AW115" i="103"/>
  <c r="AZ89" i="103"/>
  <c r="AP31" i="103"/>
  <c r="AN86" i="103"/>
  <c r="AO129" i="103"/>
  <c r="AW86" i="103"/>
  <c r="AP89" i="103"/>
  <c r="AX30" i="103"/>
  <c r="AQ60" i="103"/>
  <c r="AY63" i="103"/>
  <c r="AQ33" i="103"/>
  <c r="AU38" i="103"/>
  <c r="AK136" i="103"/>
  <c r="AS152" i="103"/>
  <c r="AZ115" i="103"/>
  <c r="AX8" i="103"/>
  <c r="AY77" i="103"/>
  <c r="AO34" i="103"/>
  <c r="AN139" i="103"/>
  <c r="AT34" i="103"/>
  <c r="AM40" i="103"/>
  <c r="AV6" i="103"/>
  <c r="AV50" i="103"/>
  <c r="AN102" i="103"/>
  <c r="AV21" i="103"/>
  <c r="AS39" i="103"/>
  <c r="AW25" i="103"/>
  <c r="AW42" i="103"/>
  <c r="AX141" i="103"/>
  <c r="AZ96" i="103"/>
  <c r="AY68" i="103"/>
  <c r="AO21" i="103"/>
  <c r="AP4" i="103"/>
  <c r="AU132" i="103"/>
  <c r="AK93" i="103"/>
  <c r="AV144" i="103"/>
  <c r="AS123" i="103"/>
  <c r="AL111" i="103"/>
  <c r="AT61" i="103"/>
  <c r="AY6" i="103"/>
  <c r="AW144" i="103"/>
  <c r="AP123" i="103"/>
  <c r="AU102" i="103"/>
  <c r="AK68" i="103"/>
  <c r="AV39" i="103"/>
  <c r="AS122" i="103"/>
  <c r="AL37" i="103"/>
  <c r="AM149" i="103"/>
  <c r="AK108" i="103"/>
  <c r="AU22" i="103"/>
  <c r="AV9" i="103"/>
  <c r="AV16" i="103"/>
  <c r="AL9" i="103"/>
  <c r="AM113" i="103"/>
  <c r="AZ141" i="103"/>
  <c r="AW41" i="103"/>
  <c r="AP96" i="103"/>
  <c r="AP22" i="103"/>
  <c r="AY46" i="103"/>
  <c r="AR109" i="103"/>
  <c r="AQ121" i="103"/>
  <c r="AO128" i="103"/>
  <c r="AW17" i="103"/>
  <c r="AZ18" i="103"/>
  <c r="AW54" i="103"/>
  <c r="AP27" i="103"/>
  <c r="AY19" i="103"/>
  <c r="AR103" i="103"/>
  <c r="AO18" i="103"/>
  <c r="AQ118" i="103"/>
  <c r="AY79" i="103"/>
  <c r="AQ79" i="103"/>
  <c r="AM15" i="103"/>
  <c r="AR117" i="103"/>
  <c r="AO32" i="103"/>
  <c r="AP125" i="103"/>
  <c r="AO29" i="103"/>
  <c r="AU15" i="103"/>
  <c r="AL43" i="103"/>
  <c r="AP74" i="103"/>
  <c r="AN151" i="103"/>
  <c r="AU140" i="103"/>
  <c r="AN81" i="103"/>
  <c r="AS20" i="103"/>
  <c r="AT49" i="103"/>
  <c r="AM151" i="103"/>
  <c r="AT81" i="103"/>
  <c r="AU20" i="103"/>
  <c r="AK53" i="103"/>
  <c r="AS119" i="103"/>
  <c r="AV119" i="103"/>
  <c r="AS73" i="103"/>
  <c r="AP71" i="103"/>
  <c r="AX126" i="103"/>
  <c r="AY112" i="103"/>
  <c r="AX28" i="103"/>
  <c r="AX82" i="103"/>
  <c r="AM126" i="103"/>
  <c r="AQ7" i="103"/>
  <c r="AU146" i="103"/>
  <c r="AU58" i="103"/>
  <c r="AL112" i="103"/>
  <c r="AV135" i="103"/>
  <c r="AZ134" i="103"/>
  <c r="AP120" i="103"/>
  <c r="AL7" i="103"/>
  <c r="AW137" i="103"/>
  <c r="AY135" i="103"/>
  <c r="AX143" i="103"/>
  <c r="AX23" i="103"/>
  <c r="AQ71" i="103"/>
  <c r="AY143" i="103"/>
  <c r="AR23" i="103"/>
  <c r="AM118" i="103"/>
  <c r="AU79" i="103"/>
  <c r="AV117" i="103"/>
  <c r="AS32" i="103"/>
  <c r="AL76" i="103"/>
  <c r="AT125" i="103"/>
  <c r="AM131" i="103"/>
  <c r="AT29" i="103"/>
  <c r="AY148" i="103"/>
  <c r="AQ43" i="103"/>
  <c r="AV151" i="103"/>
  <c r="AP56" i="103"/>
  <c r="AY140" i="103"/>
  <c r="AR81" i="103"/>
  <c r="AX81" i="103"/>
  <c r="AV20" i="103"/>
  <c r="AM80" i="103"/>
  <c r="AY20" i="103"/>
  <c r="AO53" i="103"/>
  <c r="AZ119" i="103"/>
  <c r="AW73" i="103"/>
  <c r="AY28" i="103"/>
  <c r="AP82" i="103"/>
  <c r="AN5" i="103"/>
  <c r="AQ126" i="103"/>
  <c r="AX112" i="103"/>
  <c r="AZ146" i="103"/>
  <c r="AQ112" i="103"/>
  <c r="AY146" i="103"/>
  <c r="AU120" i="103"/>
  <c r="AP7" i="103"/>
  <c r="AL134" i="103"/>
  <c r="AP11" i="103"/>
  <c r="AK112" i="103"/>
  <c r="AL47" i="103"/>
  <c r="AT134" i="103"/>
  <c r="AK120" i="103"/>
  <c r="AU71" i="103"/>
  <c r="AN87" i="103"/>
  <c r="AK66" i="103"/>
  <c r="AV23" i="103"/>
  <c r="AZ117" i="103"/>
  <c r="AW32" i="103"/>
  <c r="AP76" i="103"/>
  <c r="AX125" i="103"/>
  <c r="AQ131" i="103"/>
  <c r="AT74" i="103"/>
  <c r="AY107" i="103"/>
  <c r="AV43" i="103"/>
  <c r="AX56" i="103"/>
  <c r="AK26" i="103"/>
  <c r="AN74" i="103"/>
  <c r="AK24" i="103"/>
  <c r="AV81" i="103"/>
  <c r="AM24" i="103"/>
  <c r="AT45" i="103"/>
  <c r="AU80" i="103"/>
  <c r="AS53" i="103"/>
  <c r="AL80" i="103"/>
  <c r="AV126" i="103"/>
  <c r="AQ66" i="103"/>
  <c r="AO44" i="103"/>
  <c r="AO147" i="103"/>
  <c r="AU126" i="103"/>
  <c r="AN28" i="103"/>
  <c r="AK82" i="103"/>
  <c r="AZ7" i="103"/>
  <c r="AV143" i="103"/>
  <c r="AV112" i="103"/>
  <c r="AP150" i="103"/>
  <c r="AS87" i="103"/>
  <c r="AL11" i="103"/>
  <c r="AT7" i="103"/>
  <c r="AN112" i="103"/>
  <c r="AN146" i="103"/>
  <c r="AN135" i="103"/>
  <c r="AY120" i="103"/>
  <c r="AO112" i="103"/>
  <c r="AP47" i="103"/>
  <c r="AK71" i="103"/>
  <c r="AO11" i="103"/>
  <c r="AY71" i="103"/>
  <c r="AR87" i="103"/>
  <c r="AO66" i="103"/>
  <c r="AZ23" i="103"/>
  <c r="AU118" i="103"/>
  <c r="AT76" i="103"/>
  <c r="AU131" i="103"/>
  <c r="AN91" i="103"/>
  <c r="AK107" i="103"/>
  <c r="AP151" i="103"/>
  <c r="AT43" i="103"/>
  <c r="AV29" i="103"/>
  <c r="AO45" i="103"/>
  <c r="AV26" i="103"/>
  <c r="AR49" i="103"/>
  <c r="AL126" i="103"/>
  <c r="AR74" i="103"/>
  <c r="AO24" i="103"/>
  <c r="AZ81" i="103"/>
  <c r="AY151" i="103"/>
  <c r="AQ24" i="103"/>
  <c r="AO59" i="103"/>
  <c r="AM53" i="103"/>
  <c r="AW53" i="103"/>
  <c r="AP80" i="103"/>
  <c r="AL59" i="103"/>
  <c r="AP44" i="103"/>
  <c r="AY82" i="103"/>
  <c r="AP88" i="103"/>
  <c r="AY126" i="103"/>
  <c r="AR28" i="103"/>
  <c r="AO82" i="103"/>
  <c r="AV137" i="103"/>
  <c r="AS47" i="103"/>
  <c r="AS150" i="103"/>
  <c r="AN66" i="103"/>
  <c r="AR11" i="103"/>
  <c r="AX7" i="103"/>
  <c r="AR47" i="103"/>
  <c r="AR150" i="103"/>
  <c r="AM66" i="103"/>
  <c r="AZ143" i="103"/>
  <c r="AS112" i="103"/>
  <c r="AL146" i="103"/>
  <c r="AT47" i="103"/>
  <c r="AM150" i="103"/>
  <c r="AT120" i="103"/>
  <c r="AV87" i="103"/>
  <c r="AS66" i="103"/>
  <c r="AY118" i="103"/>
  <c r="AX76" i="103"/>
  <c r="AY131" i="103"/>
  <c r="AR91" i="103"/>
  <c r="AO107" i="103"/>
  <c r="AY43" i="103"/>
  <c r="AR106" i="103"/>
  <c r="AN15" i="103"/>
  <c r="AU49" i="103"/>
  <c r="AO148" i="103"/>
  <c r="AK15" i="103"/>
  <c r="AV74" i="103"/>
  <c r="AS24" i="103"/>
  <c r="AW45" i="103"/>
  <c r="AV148" i="103"/>
  <c r="AU24" i="103"/>
  <c r="AK140" i="103"/>
  <c r="AT80" i="103"/>
  <c r="AM127" i="103"/>
  <c r="AK127" i="103"/>
  <c r="AP59" i="103"/>
  <c r="AP147" i="103"/>
  <c r="AZ135" i="103"/>
  <c r="AX88" i="103"/>
  <c r="AX44" i="103"/>
  <c r="AX147" i="103"/>
  <c r="AX135" i="103"/>
  <c r="AK58" i="103"/>
  <c r="AV28" i="103"/>
  <c r="AS82" i="103"/>
  <c r="AQ48" i="103"/>
  <c r="AX150" i="103"/>
  <c r="AZ137" i="103"/>
  <c r="AL87" i="103"/>
  <c r="AW146" i="103"/>
  <c r="AW135" i="103"/>
  <c r="AR66" i="103"/>
  <c r="AW112" i="103"/>
  <c r="AP146" i="103"/>
  <c r="AX47" i="103"/>
  <c r="AQ150" i="103"/>
  <c r="AT71" i="103"/>
  <c r="AK87" i="103"/>
  <c r="AX11" i="103"/>
  <c r="AZ87" i="103"/>
  <c r="AW66" i="103"/>
  <c r="AT117" i="103"/>
  <c r="AM32" i="103"/>
  <c r="AN125" i="103"/>
  <c r="AK131" i="103"/>
  <c r="AZ43" i="103"/>
  <c r="AN79" i="103"/>
  <c r="AV91" i="103"/>
  <c r="AS107" i="103"/>
  <c r="AU74" i="103"/>
  <c r="AN29" i="103"/>
  <c r="AW148" i="103"/>
  <c r="AO43" i="103"/>
  <c r="AW151" i="103"/>
  <c r="AP148" i="103"/>
  <c r="AO15" i="103"/>
  <c r="AZ74" i="103"/>
  <c r="AW24" i="103"/>
  <c r="AZ148" i="103"/>
  <c r="AY24" i="103"/>
  <c r="AO140" i="103"/>
  <c r="AN80" i="103"/>
  <c r="AX53" i="103"/>
  <c r="AV80" i="103"/>
  <c r="AX80" i="103"/>
  <c r="AQ127" i="103"/>
  <c r="AO127" i="103"/>
  <c r="AK59" i="103"/>
  <c r="AP134" i="103"/>
  <c r="AV44" i="103"/>
  <c r="AT59" i="103"/>
  <c r="AV66" i="103"/>
  <c r="AZ28" i="103"/>
  <c r="AW82" i="103"/>
  <c r="AO88" i="103"/>
  <c r="AZ71" i="103"/>
  <c r="AQ87" i="103"/>
  <c r="AY66" i="103"/>
  <c r="AP87" i="103"/>
  <c r="AP143" i="103"/>
  <c r="AP23" i="103"/>
  <c r="AT146" i="103"/>
  <c r="AM135" i="103"/>
  <c r="AU150" i="103"/>
  <c r="AM143" i="103"/>
  <c r="AX117" i="103"/>
  <c r="AQ32" i="103"/>
  <c r="AR125" i="103"/>
  <c r="AR79" i="103"/>
  <c r="AZ91" i="103"/>
  <c r="AW107" i="103"/>
  <c r="AL15" i="103"/>
  <c r="AR151" i="103"/>
  <c r="AS29" i="103"/>
  <c r="AM106" i="103"/>
  <c r="AL26" i="103"/>
  <c r="AK45" i="103"/>
  <c r="AS15" i="103"/>
  <c r="AM140" i="103"/>
  <c r="AL49" i="103"/>
  <c r="AS140" i="103"/>
  <c r="AL81" i="103"/>
  <c r="AM20" i="103"/>
  <c r="AU127" i="103"/>
  <c r="AS127" i="103"/>
  <c r="AR59" i="103"/>
  <c r="AL73" i="103"/>
  <c r="AN119" i="103"/>
  <c r="AK73" i="103"/>
  <c r="AR82" i="103"/>
  <c r="AX59" i="103"/>
  <c r="AN126" i="103"/>
  <c r="AW143" i="103"/>
  <c r="AY147" i="103"/>
  <c r="AO28" i="103"/>
  <c r="AX137" i="103"/>
  <c r="AZ48" i="103"/>
  <c r="AN134" i="103"/>
  <c r="AU23" i="103"/>
  <c r="AN137" i="103"/>
  <c r="AU87" i="103"/>
  <c r="AX146" i="103"/>
  <c r="AQ135" i="103"/>
  <c r="AY150" i="103"/>
  <c r="AT87" i="103"/>
  <c r="AO143" i="103"/>
  <c r="AO23" i="103"/>
  <c r="AQ143" i="103"/>
  <c r="AN117" i="103"/>
  <c r="AK32" i="103"/>
  <c r="AL125" i="103"/>
  <c r="AX29" i="103"/>
  <c r="AW106" i="103"/>
  <c r="AQ53" i="103"/>
  <c r="AQ140" i="103"/>
  <c r="AN20" i="103"/>
  <c r="AT53" i="103"/>
  <c r="AR127" i="103"/>
  <c r="AP49" i="103"/>
  <c r="AW140" i="103"/>
  <c r="AP81" i="103"/>
  <c r="AK20" i="103"/>
  <c r="AY80" i="103"/>
  <c r="AQ20" i="103"/>
  <c r="AY127" i="103"/>
  <c r="AW127" i="103"/>
  <c r="AR119" i="103"/>
  <c r="AO73" i="103"/>
  <c r="AS126" i="103"/>
  <c r="AP126" i="103"/>
  <c r="AP28" i="103"/>
  <c r="AN11" i="103"/>
  <c r="AY48" i="103"/>
  <c r="AL5" i="103"/>
  <c r="AM112" i="103"/>
  <c r="AO58" i="103"/>
  <c r="AW23" i="103"/>
  <c r="AS134" i="103"/>
  <c r="AS58" i="103"/>
  <c r="AS88" i="103"/>
  <c r="AR5" i="103"/>
  <c r="AR58" i="103"/>
  <c r="AR88" i="103"/>
  <c r="AM23" i="103"/>
  <c r="AY23" i="103"/>
  <c r="AU135" i="103"/>
  <c r="AK134" i="103"/>
  <c r="AT66" i="103"/>
  <c r="AM71" i="103"/>
  <c r="AU143" i="103"/>
  <c r="AN23" i="103"/>
  <c r="B74" i="76"/>
  <c r="B75" i="76" s="1"/>
  <c r="B76" i="76" s="1"/>
  <c r="B77" i="76" s="1"/>
  <c r="B78" i="76" s="1"/>
  <c r="B79" i="76" s="1"/>
  <c r="B80" i="76" s="1"/>
  <c r="B81" i="76" s="1"/>
  <c r="B82" i="76" s="1"/>
  <c r="B83" i="76" s="1"/>
  <c r="B84" i="76" s="1"/>
  <c r="B85" i="76" s="1"/>
  <c r="B86" i="76" s="1"/>
  <c r="B87" i="76"/>
  <c r="B88" i="76"/>
  <c r="B89" i="76"/>
  <c r="B90" i="76"/>
  <c r="B91" i="76"/>
  <c r="B92" i="76"/>
  <c r="B93" i="76"/>
  <c r="B94" i="76"/>
  <c r="B95" i="76"/>
  <c r="B96" i="76"/>
  <c r="B97" i="76"/>
  <c r="B98" i="76"/>
  <c r="B99" i="76"/>
  <c r="B100" i="76"/>
  <c r="B101" i="76"/>
  <c r="B102" i="76"/>
  <c r="B103" i="76"/>
  <c r="B104" i="76"/>
  <c r="B105" i="76"/>
  <c r="B106" i="76"/>
  <c r="B107" i="76"/>
  <c r="B108" i="76"/>
  <c r="B109" i="76"/>
  <c r="B110" i="76"/>
  <c r="B111" i="76"/>
  <c r="B112" i="76"/>
  <c r="B113" i="76"/>
  <c r="B114" i="76"/>
  <c r="B115" i="76"/>
  <c r="B116" i="76"/>
  <c r="B117" i="76"/>
  <c r="B118" i="76"/>
  <c r="B119" i="76"/>
  <c r="B120" i="76"/>
  <c r="B121" i="76"/>
  <c r="B122" i="76"/>
  <c r="B123" i="76"/>
  <c r="B124" i="76"/>
  <c r="B125" i="76"/>
  <c r="P52" i="84" l="1"/>
  <c r="R235" i="84"/>
  <c r="P148" i="84"/>
  <c r="K239" i="84"/>
  <c r="K89" i="84"/>
  <c r="K53" i="84"/>
  <c r="K163" i="84"/>
  <c r="K203" i="84"/>
  <c r="K251" i="84"/>
  <c r="K9" i="84"/>
  <c r="K191" i="84"/>
  <c r="K57" i="84"/>
  <c r="BP508" i="88"/>
  <c r="I228" i="84" s="1"/>
  <c r="BP448" i="88"/>
  <c r="I168" i="84" s="1"/>
  <c r="Z171" i="104"/>
  <c r="AB171" i="104" s="1"/>
  <c r="M211" i="84" s="1"/>
  <c r="Z187" i="104"/>
  <c r="AB187" i="104" s="1"/>
  <c r="M252" i="84" s="1"/>
  <c r="R243" i="84"/>
  <c r="K41" i="84"/>
  <c r="K259" i="84"/>
  <c r="K175" i="84"/>
  <c r="K247" i="84"/>
  <c r="K223" i="84"/>
  <c r="R223" i="84" s="1"/>
  <c r="K255" i="84"/>
  <c r="K21" i="84"/>
  <c r="K13" i="84"/>
  <c r="K195" i="84"/>
  <c r="K227" i="84"/>
  <c r="K243" i="84"/>
  <c r="K49" i="84"/>
  <c r="K199" i="84"/>
  <c r="W48" i="104"/>
  <c r="Z43" i="104"/>
  <c r="AB43" i="104" s="1"/>
  <c r="M45" i="84" s="1"/>
  <c r="Z70" i="104"/>
  <c r="R41" i="84"/>
  <c r="P17" i="84"/>
  <c r="P208" i="84"/>
  <c r="K208" i="84"/>
  <c r="K172" i="84"/>
  <c r="K37" i="84"/>
  <c r="K219" i="84"/>
  <c r="K33" i="84"/>
  <c r="K263" i="84"/>
  <c r="K240" i="84"/>
  <c r="K207" i="84"/>
  <c r="K215" i="84"/>
  <c r="BP492" i="88"/>
  <c r="I212" i="84" s="1"/>
  <c r="BP541" i="88"/>
  <c r="I261" i="84" s="1"/>
  <c r="BP461" i="88"/>
  <c r="I181" i="84" s="1"/>
  <c r="BP431" i="88"/>
  <c r="I151" i="84" s="1"/>
  <c r="Z160" i="104"/>
  <c r="AB160" i="104" s="1"/>
  <c r="M219" i="84" s="1"/>
  <c r="Z107" i="104"/>
  <c r="BO257" i="88"/>
  <c r="L249" i="84" s="1"/>
  <c r="K249" i="84"/>
  <c r="BB68" i="103"/>
  <c r="P232" i="84"/>
  <c r="K144" i="84"/>
  <c r="R144" i="84" s="1"/>
  <c r="K182" i="84"/>
  <c r="K257" i="84"/>
  <c r="K128" i="84"/>
  <c r="BO194" i="88"/>
  <c r="L186" i="84" s="1"/>
  <c r="BO191" i="88"/>
  <c r="L183" i="84" s="1"/>
  <c r="K183" i="84"/>
  <c r="BO149" i="88"/>
  <c r="L141" i="84" s="1"/>
  <c r="K141" i="84"/>
  <c r="BO145" i="88"/>
  <c r="L137" i="84" s="1"/>
  <c r="K137" i="84"/>
  <c r="BO137" i="88"/>
  <c r="L129" i="84" s="1"/>
  <c r="K129" i="84"/>
  <c r="BO126" i="88"/>
  <c r="L118" i="84" s="1"/>
  <c r="K118" i="84"/>
  <c r="BO102" i="88"/>
  <c r="L94" i="84" s="1"/>
  <c r="K94" i="84"/>
  <c r="BO54" i="88"/>
  <c r="L46" i="84" s="1"/>
  <c r="K46" i="84"/>
  <c r="BO50" i="88"/>
  <c r="L42" i="84" s="1"/>
  <c r="K42" i="84"/>
  <c r="BO23" i="88"/>
  <c r="L15" i="84" s="1"/>
  <c r="K15" i="84"/>
  <c r="BO19" i="88"/>
  <c r="L11" i="84" s="1"/>
  <c r="K11" i="84"/>
  <c r="BP401" i="88"/>
  <c r="I121" i="84" s="1"/>
  <c r="BO377" i="88"/>
  <c r="J97" i="84" s="1"/>
  <c r="BP414" i="88"/>
  <c r="I134" i="84" s="1"/>
  <c r="BO213" i="88"/>
  <c r="L205" i="84" s="1"/>
  <c r="K205" i="84"/>
  <c r="BO197" i="88"/>
  <c r="L189" i="84" s="1"/>
  <c r="K189" i="84"/>
  <c r="BO167" i="88"/>
  <c r="L159" i="84" s="1"/>
  <c r="K159" i="84"/>
  <c r="BO159" i="88"/>
  <c r="L151" i="84" s="1"/>
  <c r="K151" i="84"/>
  <c r="BO148" i="88"/>
  <c r="L140" i="84" s="1"/>
  <c r="K140" i="84"/>
  <c r="R140" i="84" s="1"/>
  <c r="BO140" i="88"/>
  <c r="L132" i="84" s="1"/>
  <c r="K132" i="84"/>
  <c r="BO132" i="88"/>
  <c r="L124" i="84" s="1"/>
  <c r="K124" i="84"/>
  <c r="BO129" i="88"/>
  <c r="L121" i="84" s="1"/>
  <c r="K121" i="84"/>
  <c r="BO430" i="88"/>
  <c r="J150" i="84" s="1"/>
  <c r="BP430" i="88"/>
  <c r="I150" i="84" s="1"/>
  <c r="Q150" i="84" s="1"/>
  <c r="BO418" i="88"/>
  <c r="J138" i="84" s="1"/>
  <c r="BP418" i="88"/>
  <c r="I138" i="84" s="1"/>
  <c r="BO390" i="88"/>
  <c r="J110" i="84" s="1"/>
  <c r="BP390" i="88"/>
  <c r="I110" i="84" s="1"/>
  <c r="Q110" i="84" s="1"/>
  <c r="BO382" i="88"/>
  <c r="J102" i="84" s="1"/>
  <c r="BP382" i="88"/>
  <c r="I102" i="84" s="1"/>
  <c r="BO362" i="88"/>
  <c r="J82" i="84" s="1"/>
  <c r="BP362" i="88"/>
  <c r="I82" i="84" s="1"/>
  <c r="BO338" i="88"/>
  <c r="J58" i="84" s="1"/>
  <c r="BP338" i="88"/>
  <c r="I58" i="84" s="1"/>
  <c r="BO326" i="88"/>
  <c r="J46" i="84" s="1"/>
  <c r="BP326" i="88"/>
  <c r="I46" i="84" s="1"/>
  <c r="Q46" i="84" s="1"/>
  <c r="BP314" i="88"/>
  <c r="I34" i="84" s="1"/>
  <c r="BO314" i="88"/>
  <c r="J34" i="84" s="1"/>
  <c r="BO310" i="88"/>
  <c r="J30" i="84" s="1"/>
  <c r="BP310" i="88"/>
  <c r="I30" i="84" s="1"/>
  <c r="Q30" i="84" s="1"/>
  <c r="P206" i="84"/>
  <c r="K237" i="84"/>
  <c r="K170" i="84"/>
  <c r="K178" i="84"/>
  <c r="K136" i="84"/>
  <c r="BO268" i="88"/>
  <c r="L260" i="84" s="1"/>
  <c r="K260" i="84"/>
  <c r="R260" i="84" s="1"/>
  <c r="BO264" i="88"/>
  <c r="L256" i="84" s="1"/>
  <c r="K256" i="84"/>
  <c r="BO244" i="88"/>
  <c r="L236" i="84" s="1"/>
  <c r="K236" i="84"/>
  <c r="BO240" i="88"/>
  <c r="L232" i="84" s="1"/>
  <c r="K232" i="84"/>
  <c r="BO228" i="88"/>
  <c r="L220" i="84" s="1"/>
  <c r="K220" i="84"/>
  <c r="BO224" i="88"/>
  <c r="L216" i="84" s="1"/>
  <c r="K216" i="84"/>
  <c r="BO220" i="88"/>
  <c r="L212" i="84" s="1"/>
  <c r="K212" i="84"/>
  <c r="BO212" i="88"/>
  <c r="L204" i="84" s="1"/>
  <c r="K204" i="84"/>
  <c r="R204" i="84" s="1"/>
  <c r="BO208" i="88"/>
  <c r="L200" i="84" s="1"/>
  <c r="K200" i="84"/>
  <c r="BO204" i="88"/>
  <c r="L196" i="84" s="1"/>
  <c r="K196" i="84"/>
  <c r="R196" i="84" s="1"/>
  <c r="BP354" i="88"/>
  <c r="I74" i="84" s="1"/>
  <c r="Q74" i="84" s="1"/>
  <c r="BP445" i="88"/>
  <c r="I165" i="84" s="1"/>
  <c r="BP306" i="88"/>
  <c r="I26" i="84" s="1"/>
  <c r="BO460" i="88"/>
  <c r="J180" i="84" s="1"/>
  <c r="BP460" i="88"/>
  <c r="I180" i="84" s="1"/>
  <c r="Q180" i="84" s="1"/>
  <c r="BO432" i="88"/>
  <c r="J152" i="84" s="1"/>
  <c r="BP432" i="88"/>
  <c r="I152" i="84" s="1"/>
  <c r="BO405" i="88"/>
  <c r="J125" i="84" s="1"/>
  <c r="BP405" i="88"/>
  <c r="I125" i="84" s="1"/>
  <c r="Q125" i="84" s="1"/>
  <c r="BP393" i="88"/>
  <c r="I113" i="84" s="1"/>
  <c r="BO393" i="88"/>
  <c r="J113" i="84" s="1"/>
  <c r="BO369" i="88"/>
  <c r="J89" i="84" s="1"/>
  <c r="BP369" i="88"/>
  <c r="I89" i="84" s="1"/>
  <c r="Q89" i="84" s="1"/>
  <c r="BO353" i="88"/>
  <c r="J73" i="84" s="1"/>
  <c r="BP353" i="88"/>
  <c r="I73" i="84" s="1"/>
  <c r="BP345" i="88"/>
  <c r="I65" i="84" s="1"/>
  <c r="BO345" i="88"/>
  <c r="J65" i="84" s="1"/>
  <c r="BP333" i="88"/>
  <c r="I53" i="84" s="1"/>
  <c r="BO333" i="88"/>
  <c r="J53" i="84" s="1"/>
  <c r="BP329" i="88"/>
  <c r="I49" i="84" s="1"/>
  <c r="BO329" i="88"/>
  <c r="J49" i="84" s="1"/>
  <c r="BO817" i="88"/>
  <c r="H266" i="84" s="1"/>
  <c r="G266" i="84"/>
  <c r="BO809" i="88"/>
  <c r="H258" i="84" s="1"/>
  <c r="G258" i="84"/>
  <c r="P258" i="84" s="1"/>
  <c r="BO801" i="88"/>
  <c r="H250" i="84" s="1"/>
  <c r="G250" i="84"/>
  <c r="BO797" i="88"/>
  <c r="H246" i="84" s="1"/>
  <c r="G246" i="84"/>
  <c r="BO789" i="88"/>
  <c r="H238" i="84" s="1"/>
  <c r="G238" i="84"/>
  <c r="BO781" i="88"/>
  <c r="H230" i="84" s="1"/>
  <c r="G230" i="84"/>
  <c r="P230" i="84" s="1"/>
  <c r="BO777" i="88"/>
  <c r="H226" i="84" s="1"/>
  <c r="G226" i="84"/>
  <c r="BO769" i="88"/>
  <c r="H218" i="84" s="1"/>
  <c r="G218" i="84"/>
  <c r="P218" i="84" s="1"/>
  <c r="BO765" i="88"/>
  <c r="H214" i="84" s="1"/>
  <c r="G214" i="84"/>
  <c r="BO761" i="88"/>
  <c r="H210" i="84" s="1"/>
  <c r="G210" i="84"/>
  <c r="P210" i="84" s="1"/>
  <c r="BO753" i="88"/>
  <c r="H202" i="84" s="1"/>
  <c r="G202" i="84"/>
  <c r="BO749" i="88"/>
  <c r="H198" i="84" s="1"/>
  <c r="G198" i="84"/>
  <c r="P198" i="84" s="1"/>
  <c r="BO737" i="88"/>
  <c r="H186" i="84" s="1"/>
  <c r="G186" i="84"/>
  <c r="BO733" i="88"/>
  <c r="H182" i="84" s="1"/>
  <c r="G182" i="84"/>
  <c r="BO729" i="88"/>
  <c r="H178" i="84" s="1"/>
  <c r="G178" i="84"/>
  <c r="BO721" i="88"/>
  <c r="H170" i="84" s="1"/>
  <c r="G170" i="84"/>
  <c r="P170" i="84" s="1"/>
  <c r="BO713" i="88"/>
  <c r="H162" i="84" s="1"/>
  <c r="G162" i="84"/>
  <c r="BO709" i="88"/>
  <c r="H158" i="84" s="1"/>
  <c r="G158" i="84"/>
  <c r="BO701" i="88"/>
  <c r="H150" i="84" s="1"/>
  <c r="G150" i="84"/>
  <c r="BO697" i="88"/>
  <c r="H146" i="84" s="1"/>
  <c r="G146" i="84"/>
  <c r="P146" i="84" s="1"/>
  <c r="BO689" i="88"/>
  <c r="H138" i="84" s="1"/>
  <c r="G138" i="84"/>
  <c r="BO673" i="88"/>
  <c r="H122" i="84" s="1"/>
  <c r="G122" i="84"/>
  <c r="P122" i="84" s="1"/>
  <c r="BO653" i="88"/>
  <c r="H102" i="84" s="1"/>
  <c r="G102" i="84"/>
  <c r="BO649" i="88"/>
  <c r="H98" i="84" s="1"/>
  <c r="G98" i="84"/>
  <c r="P98" i="84" s="1"/>
  <c r="BO641" i="88"/>
  <c r="H90" i="84" s="1"/>
  <c r="G90" i="84"/>
  <c r="BO609" i="88"/>
  <c r="H58" i="84" s="1"/>
  <c r="G58" i="84"/>
  <c r="P58" i="84" s="1"/>
  <c r="BO597" i="88"/>
  <c r="H46" i="84" s="1"/>
  <c r="G46" i="84"/>
  <c r="BO593" i="88"/>
  <c r="H42" i="84" s="1"/>
  <c r="G42" i="84"/>
  <c r="P42" i="84" s="1"/>
  <c r="BO589" i="88"/>
  <c r="H38" i="84" s="1"/>
  <c r="G38" i="84"/>
  <c r="BO585" i="88"/>
  <c r="H34" i="84" s="1"/>
  <c r="G34" i="84"/>
  <c r="P34" i="84" s="1"/>
  <c r="BO565" i="88"/>
  <c r="H14" i="84" s="1"/>
  <c r="G14" i="84"/>
  <c r="BO561" i="88"/>
  <c r="H10" i="84" s="1"/>
  <c r="G10" i="84"/>
  <c r="P10" i="84" s="1"/>
  <c r="K261" i="84"/>
  <c r="BO269" i="88"/>
  <c r="L261" i="84" s="1"/>
  <c r="BO261" i="88"/>
  <c r="L253" i="84" s="1"/>
  <c r="K253" i="84"/>
  <c r="P39" i="84"/>
  <c r="K174" i="84"/>
  <c r="K147" i="84"/>
  <c r="R147" i="84" s="1"/>
  <c r="BO127" i="88"/>
  <c r="L119" i="84" s="1"/>
  <c r="K119" i="84"/>
  <c r="BO123" i="88"/>
  <c r="L115" i="84" s="1"/>
  <c r="K115" i="84"/>
  <c r="R115" i="84" s="1"/>
  <c r="BO115" i="88"/>
  <c r="L107" i="84" s="1"/>
  <c r="K107" i="84"/>
  <c r="BO107" i="88"/>
  <c r="L99" i="84" s="1"/>
  <c r="K99" i="84"/>
  <c r="BO71" i="88"/>
  <c r="L63" i="84" s="1"/>
  <c r="K63" i="84"/>
  <c r="BO39" i="88"/>
  <c r="L31" i="84" s="1"/>
  <c r="BP426" i="88"/>
  <c r="I146" i="84" s="1"/>
  <c r="BP456" i="88"/>
  <c r="I176" i="84" s="1"/>
  <c r="Q176" i="84" s="1"/>
  <c r="BP366" i="88"/>
  <c r="I86" i="84" s="1"/>
  <c r="BP334" i="88"/>
  <c r="I54" i="84" s="1"/>
  <c r="BO349" i="88"/>
  <c r="J69" i="84" s="1"/>
  <c r="BO518" i="88"/>
  <c r="J238" i="84" s="1"/>
  <c r="BP518" i="88"/>
  <c r="I238" i="84" s="1"/>
  <c r="G175" i="84"/>
  <c r="Z168" i="104"/>
  <c r="AB168" i="104" s="1"/>
  <c r="M268" i="84" s="1"/>
  <c r="Z148" i="104"/>
  <c r="AB148" i="104" s="1"/>
  <c r="M155" i="84" s="1"/>
  <c r="Z18" i="104"/>
  <c r="BO485" i="88"/>
  <c r="J205" i="84" s="1"/>
  <c r="BO462" i="88"/>
  <c r="J182" i="84" s="1"/>
  <c r="U159" i="104"/>
  <c r="S212" i="84" s="1"/>
  <c r="Z78" i="104"/>
  <c r="AB78" i="104" s="1"/>
  <c r="M97" i="84" s="1"/>
  <c r="Z66" i="104"/>
  <c r="AB66" i="104" s="1"/>
  <c r="M229" i="84" s="1"/>
  <c r="U69" i="104"/>
  <c r="S80" i="84" s="1"/>
  <c r="R67" i="84"/>
  <c r="R241" i="84"/>
  <c r="K43" i="84"/>
  <c r="K54" i="84"/>
  <c r="K225" i="84"/>
  <c r="K28" i="84"/>
  <c r="K116" i="84"/>
  <c r="K171" i="84"/>
  <c r="K193" i="84"/>
  <c r="K23" i="84"/>
  <c r="K184" i="84"/>
  <c r="BP316" i="88"/>
  <c r="I36" i="84" s="1"/>
  <c r="Q36" i="84" s="1"/>
  <c r="BP295" i="88"/>
  <c r="I15" i="84" s="1"/>
  <c r="BP458" i="88"/>
  <c r="I178" i="84" s="1"/>
  <c r="BP501" i="88"/>
  <c r="I221" i="84" s="1"/>
  <c r="R151" i="84"/>
  <c r="K101" i="84"/>
  <c r="R101" i="84" s="1"/>
  <c r="BO455" i="88"/>
  <c r="J175" i="84" s="1"/>
  <c r="BP491" i="88"/>
  <c r="I211" i="84" s="1"/>
  <c r="R175" i="84"/>
  <c r="K167" i="84"/>
  <c r="K152" i="84"/>
  <c r="K198" i="84"/>
  <c r="K153" i="84"/>
  <c r="K97" i="84"/>
  <c r="K68" i="84"/>
  <c r="R68" i="84" s="1"/>
  <c r="K134" i="84"/>
  <c r="K179" i="84"/>
  <c r="K233" i="84"/>
  <c r="BP324" i="88"/>
  <c r="I44" i="84" s="1"/>
  <c r="BP294" i="88"/>
  <c r="I14" i="84" s="1"/>
  <c r="BP510" i="88"/>
  <c r="I230" i="84" s="1"/>
  <c r="Q230" i="84" s="1"/>
  <c r="BO459" i="88"/>
  <c r="J179" i="84" s="1"/>
  <c r="BP421" i="88"/>
  <c r="I141" i="84" s="1"/>
  <c r="BP356" i="88"/>
  <c r="I76" i="84" s="1"/>
  <c r="Q76" i="84" s="1"/>
  <c r="BP386" i="88"/>
  <c r="I106" i="84" s="1"/>
  <c r="Q106" i="84" s="1"/>
  <c r="BP506" i="88"/>
  <c r="I226" i="84" s="1"/>
  <c r="Q226" i="84" s="1"/>
  <c r="K109" i="84"/>
  <c r="R261" i="84"/>
  <c r="K213" i="84"/>
  <c r="K161" i="84"/>
  <c r="R161" i="84" s="1"/>
  <c r="K164" i="84"/>
  <c r="K230" i="84"/>
  <c r="R230" i="84" s="1"/>
  <c r="K92" i="84"/>
  <c r="K229" i="84"/>
  <c r="K187" i="84"/>
  <c r="K39" i="84"/>
  <c r="K217" i="84"/>
  <c r="BP394" i="88"/>
  <c r="I114" i="84" s="1"/>
  <c r="BP331" i="88"/>
  <c r="I51" i="84" s="1"/>
  <c r="R54" i="84"/>
  <c r="R186" i="84"/>
  <c r="K190" i="84"/>
  <c r="K10" i="84"/>
  <c r="K51" i="84"/>
  <c r="K180" i="84"/>
  <c r="K156" i="84"/>
  <c r="K81" i="84"/>
  <c r="K108" i="84"/>
  <c r="R108" i="84" s="1"/>
  <c r="K245" i="84"/>
  <c r="R245" i="84" s="1"/>
  <c r="K197" i="84"/>
  <c r="K61" i="84"/>
  <c r="K201" i="84"/>
  <c r="K168" i="84"/>
  <c r="K234" i="84"/>
  <c r="BP468" i="88"/>
  <c r="I188" i="84" s="1"/>
  <c r="BP402" i="88"/>
  <c r="I122" i="84" s="1"/>
  <c r="Q122" i="84" s="1"/>
  <c r="BP355" i="88"/>
  <c r="I75" i="84" s="1"/>
  <c r="BP486" i="88"/>
  <c r="I206" i="84" s="1"/>
  <c r="BP417" i="88"/>
  <c r="I137" i="84" s="1"/>
  <c r="BO513" i="88"/>
  <c r="J233" i="84" s="1"/>
  <c r="K126" i="84"/>
  <c r="K157" i="84"/>
  <c r="K221" i="84"/>
  <c r="R221" i="84" s="1"/>
  <c r="K209" i="84"/>
  <c r="R209" i="84" s="1"/>
  <c r="K47" i="84"/>
  <c r="K143" i="84"/>
  <c r="K24" i="84"/>
  <c r="BP516" i="88"/>
  <c r="I236" i="84" s="1"/>
  <c r="Q236" i="84" s="1"/>
  <c r="BP498" i="88"/>
  <c r="I218" i="84" s="1"/>
  <c r="BP410" i="88"/>
  <c r="I130" i="84" s="1"/>
  <c r="BP427" i="88"/>
  <c r="I147" i="84" s="1"/>
  <c r="BP317" i="88"/>
  <c r="I37" i="84" s="1"/>
  <c r="Q37" i="84" s="1"/>
  <c r="BO542" i="88"/>
  <c r="J262" i="84" s="1"/>
  <c r="D62" i="47"/>
  <c r="C86" i="63"/>
  <c r="C18" i="63" s="1"/>
  <c r="E103" i="93"/>
  <c r="E102" i="93" s="1"/>
  <c r="I102" i="93" s="1"/>
  <c r="I174" i="93"/>
  <c r="I182" i="93"/>
  <c r="I171" i="93"/>
  <c r="I91" i="93"/>
  <c r="I82" i="93"/>
  <c r="I170" i="93"/>
  <c r="I109" i="93"/>
  <c r="I183" i="93"/>
  <c r="I115" i="93"/>
  <c r="I108" i="93"/>
  <c r="I53" i="93"/>
  <c r="I117" i="93"/>
  <c r="I86" i="93"/>
  <c r="I112" i="93"/>
  <c r="I47" i="93"/>
  <c r="I87" i="93"/>
  <c r="I181" i="93"/>
  <c r="I83" i="93"/>
  <c r="I88" i="93"/>
  <c r="I74" i="93"/>
  <c r="R89" i="84"/>
  <c r="R197" i="84"/>
  <c r="K188" i="84"/>
  <c r="K238" i="84"/>
  <c r="BP364" i="88"/>
  <c r="I84" i="84" s="1"/>
  <c r="BP474" i="88"/>
  <c r="I194" i="84" s="1"/>
  <c r="BP371" i="88"/>
  <c r="I91" i="84" s="1"/>
  <c r="Q91" i="84" s="1"/>
  <c r="BO423" i="88"/>
  <c r="J143" i="84" s="1"/>
  <c r="BP477" i="88"/>
  <c r="I197" i="84" s="1"/>
  <c r="BP499" i="88"/>
  <c r="I219" i="84" s="1"/>
  <c r="BO375" i="88"/>
  <c r="J95" i="84" s="1"/>
  <c r="BO453" i="88"/>
  <c r="J173" i="84" s="1"/>
  <c r="R57" i="84"/>
  <c r="K158" i="84"/>
  <c r="R158" i="84" s="1"/>
  <c r="K142" i="84"/>
  <c r="R142" i="84" s="1"/>
  <c r="K135" i="84"/>
  <c r="BP379" i="88"/>
  <c r="I99" i="84" s="1"/>
  <c r="Q99" i="84" s="1"/>
  <c r="BP298" i="88"/>
  <c r="I18" i="84" s="1"/>
  <c r="BO529" i="88"/>
  <c r="J249" i="84" s="1"/>
  <c r="BO406" i="88"/>
  <c r="J126" i="84" s="1"/>
  <c r="BO383" i="88"/>
  <c r="J103" i="84" s="1"/>
  <c r="BO503" i="88"/>
  <c r="J223" i="84" s="1"/>
  <c r="R12" i="84"/>
  <c r="R73" i="84"/>
  <c r="R141" i="84"/>
  <c r="P173" i="84"/>
  <c r="R188" i="84"/>
  <c r="R233" i="84"/>
  <c r="R220" i="84"/>
  <c r="R43" i="84"/>
  <c r="K26" i="84"/>
  <c r="K48" i="84"/>
  <c r="R48" i="84" s="1"/>
  <c r="K117" i="84"/>
  <c r="K93" i="84"/>
  <c r="K105" i="84"/>
  <c r="K45" i="84"/>
  <c r="K269" i="84"/>
  <c r="K77" i="84"/>
  <c r="K154" i="84"/>
  <c r="K127" i="84"/>
  <c r="K218" i="84"/>
  <c r="K120" i="84"/>
  <c r="K113" i="84"/>
  <c r="R113" i="84" s="1"/>
  <c r="BP348" i="88"/>
  <c r="I68" i="84" s="1"/>
  <c r="Q68" i="84" s="1"/>
  <c r="BP420" i="88"/>
  <c r="I140" i="84" s="1"/>
  <c r="BP540" i="88"/>
  <c r="I260" i="84" s="1"/>
  <c r="BP344" i="88"/>
  <c r="I64" i="84" s="1"/>
  <c r="Q64" i="84" s="1"/>
  <c r="BP416" i="88"/>
  <c r="I136" i="84" s="1"/>
  <c r="BP395" i="88"/>
  <c r="I115" i="84" s="1"/>
  <c r="BO527" i="88"/>
  <c r="J247" i="84" s="1"/>
  <c r="BP301" i="88"/>
  <c r="I21" i="84" s="1"/>
  <c r="Q21" i="84" s="1"/>
  <c r="BO495" i="88"/>
  <c r="J215" i="84" s="1"/>
  <c r="BP305" i="88"/>
  <c r="I25" i="84" s="1"/>
  <c r="BO313" i="88"/>
  <c r="J33" i="84" s="1"/>
  <c r="BB149" i="103"/>
  <c r="BO517" i="88"/>
  <c r="J237" i="84" s="1"/>
  <c r="BO524" i="88"/>
  <c r="J244" i="84" s="1"/>
  <c r="BP478" i="88"/>
  <c r="I198" i="84" s="1"/>
  <c r="U85" i="104"/>
  <c r="S119" i="84" s="1"/>
  <c r="U66" i="104"/>
  <c r="S229" i="84" s="1"/>
  <c r="Z8" i="104"/>
  <c r="Z124" i="104"/>
  <c r="AB124" i="104" s="1"/>
  <c r="M170" i="84" s="1"/>
  <c r="Z120" i="104"/>
  <c r="Z116" i="104"/>
  <c r="AB116" i="104" s="1"/>
  <c r="M171" i="84" s="1"/>
  <c r="Z112" i="104"/>
  <c r="AB112" i="104" s="1"/>
  <c r="M157" i="84" s="1"/>
  <c r="Z108" i="104"/>
  <c r="Z100" i="104"/>
  <c r="Z92" i="104"/>
  <c r="Z88" i="104"/>
  <c r="AB88" i="104" s="1"/>
  <c r="M117" i="84" s="1"/>
  <c r="Z84" i="104"/>
  <c r="Z80" i="104"/>
  <c r="AB80" i="104" s="1"/>
  <c r="M92" i="84" s="1"/>
  <c r="Z76" i="104"/>
  <c r="AB76" i="104" s="1"/>
  <c r="M94" i="84" s="1"/>
  <c r="Z68" i="104"/>
  <c r="AB68" i="104" s="1"/>
  <c r="M81" i="84" s="1"/>
  <c r="Z52" i="104"/>
  <c r="AB52" i="104" s="1"/>
  <c r="M58" i="84" s="1"/>
  <c r="Z48" i="104"/>
  <c r="AB48" i="104" s="1"/>
  <c r="M53" i="84" s="1"/>
  <c r="Z44" i="104"/>
  <c r="Z40" i="104"/>
  <c r="AB40" i="104" s="1"/>
  <c r="M39" i="84" s="1"/>
  <c r="Z36" i="104"/>
  <c r="Z24" i="104"/>
  <c r="Z16" i="104"/>
  <c r="BB36" i="103"/>
  <c r="BO549" i="88"/>
  <c r="J269" i="84" s="1"/>
  <c r="BO528" i="88"/>
  <c r="J248" i="84" s="1"/>
  <c r="Z177" i="104"/>
  <c r="AB177" i="104" s="1"/>
  <c r="M238" i="84" s="1"/>
  <c r="W134" i="104"/>
  <c r="U187" i="104"/>
  <c r="S252" i="84" s="1"/>
  <c r="Z127" i="104"/>
  <c r="AB127" i="104" s="1"/>
  <c r="M184" i="84" s="1"/>
  <c r="Z103" i="104"/>
  <c r="AB103" i="104" s="1"/>
  <c r="M135" i="84" s="1"/>
  <c r="Z87" i="104"/>
  <c r="AB87" i="104" s="1"/>
  <c r="M111" i="84" s="1"/>
  <c r="Z79" i="104"/>
  <c r="AB79" i="104" s="1"/>
  <c r="M90" i="84" s="1"/>
  <c r="Z59" i="104"/>
  <c r="Z183" i="104"/>
  <c r="AB183" i="104" s="1"/>
  <c r="M248" i="84" s="1"/>
  <c r="Z181" i="104"/>
  <c r="AB181" i="104" s="1"/>
  <c r="M244" i="84" s="1"/>
  <c r="Z179" i="104"/>
  <c r="AB179" i="104" s="1"/>
  <c r="M242" i="84" s="1"/>
  <c r="Z175" i="104"/>
  <c r="Z141" i="104"/>
  <c r="AB141" i="104" s="1"/>
  <c r="M200" i="84" s="1"/>
  <c r="G114" i="99"/>
  <c r="G303" i="99"/>
  <c r="G308" i="99"/>
  <c r="G106" i="99"/>
  <c r="G239" i="99"/>
  <c r="G348" i="99"/>
  <c r="G220" i="99"/>
  <c r="G346" i="99"/>
  <c r="G264" i="99"/>
  <c r="G218" i="99"/>
  <c r="G327" i="99"/>
  <c r="G263" i="99"/>
  <c r="G164" i="99"/>
  <c r="G162" i="99"/>
  <c r="G112" i="99"/>
  <c r="BB37" i="103"/>
  <c r="BO258" i="88"/>
  <c r="L250" i="84" s="1"/>
  <c r="K250" i="84"/>
  <c r="BO108" i="88"/>
  <c r="L100" i="84" s="1"/>
  <c r="K100" i="84"/>
  <c r="R100" i="84" s="1"/>
  <c r="BO64" i="88"/>
  <c r="L56" i="84" s="1"/>
  <c r="K56" i="84"/>
  <c r="BO532" i="88"/>
  <c r="J252" i="84" s="1"/>
  <c r="BP532" i="88"/>
  <c r="I252" i="84" s="1"/>
  <c r="BO493" i="88"/>
  <c r="J213" i="84" s="1"/>
  <c r="BP493" i="88"/>
  <c r="I213" i="84" s="1"/>
  <c r="BO396" i="88"/>
  <c r="J116" i="84" s="1"/>
  <c r="BP396" i="88"/>
  <c r="I116" i="84" s="1"/>
  <c r="Q116" i="84" s="1"/>
  <c r="BO384" i="88"/>
  <c r="J104" i="84" s="1"/>
  <c r="BP384" i="88"/>
  <c r="I104" i="84" s="1"/>
  <c r="R236" i="84"/>
  <c r="BO189" i="88"/>
  <c r="L181" i="84" s="1"/>
  <c r="K181" i="84"/>
  <c r="BO173" i="88"/>
  <c r="L165" i="84" s="1"/>
  <c r="K165" i="84"/>
  <c r="BO170" i="88"/>
  <c r="L162" i="84" s="1"/>
  <c r="K162" i="84"/>
  <c r="BO163" i="88"/>
  <c r="L155" i="84" s="1"/>
  <c r="K155" i="84"/>
  <c r="BO153" i="88"/>
  <c r="L145" i="84" s="1"/>
  <c r="K145" i="84"/>
  <c r="R145" i="84" s="1"/>
  <c r="BO133" i="88"/>
  <c r="L125" i="84" s="1"/>
  <c r="K125" i="84"/>
  <c r="BO96" i="88"/>
  <c r="L88" i="84" s="1"/>
  <c r="K88" i="84"/>
  <c r="BO77" i="88"/>
  <c r="L69" i="84" s="1"/>
  <c r="K69" i="84"/>
  <c r="R69" i="84" s="1"/>
  <c r="BO70" i="88"/>
  <c r="L62" i="84" s="1"/>
  <c r="K62" i="84"/>
  <c r="BO67" i="88"/>
  <c r="L59" i="84" s="1"/>
  <c r="K59" i="84"/>
  <c r="BO24" i="88"/>
  <c r="L16" i="84" s="1"/>
  <c r="K16" i="84"/>
  <c r="BP535" i="88"/>
  <c r="I255" i="84" s="1"/>
  <c r="Q255" i="84" s="1"/>
  <c r="BO535" i="88"/>
  <c r="J255" i="84" s="1"/>
  <c r="BP511" i="88"/>
  <c r="I231" i="84" s="1"/>
  <c r="BO511" i="88"/>
  <c r="J231" i="84" s="1"/>
  <c r="BO502" i="88"/>
  <c r="J222" i="84" s="1"/>
  <c r="BP502" i="88"/>
  <c r="I222" i="84" s="1"/>
  <c r="Q222" i="84" s="1"/>
  <c r="BO419" i="88"/>
  <c r="J139" i="84" s="1"/>
  <c r="BP419" i="88"/>
  <c r="I139" i="84" s="1"/>
  <c r="BP318" i="88"/>
  <c r="I38" i="84" s="1"/>
  <c r="BO318" i="88"/>
  <c r="J38" i="84" s="1"/>
  <c r="BO300" i="88"/>
  <c r="J20" i="84" s="1"/>
  <c r="BP300" i="88"/>
  <c r="I20" i="84" s="1"/>
  <c r="Q20" i="84" s="1"/>
  <c r="BP297" i="88"/>
  <c r="I17" i="84" s="1"/>
  <c r="Q17" i="84" s="1"/>
  <c r="BO297" i="88"/>
  <c r="J17" i="84" s="1"/>
  <c r="BO287" i="88"/>
  <c r="J7" i="84" s="1"/>
  <c r="BP287" i="88"/>
  <c r="I7" i="84" s="1"/>
  <c r="BO814" i="88"/>
  <c r="H263" i="84" s="1"/>
  <c r="G263" i="84"/>
  <c r="P263" i="84" s="1"/>
  <c r="BO810" i="88"/>
  <c r="H259" i="84" s="1"/>
  <c r="G259" i="84"/>
  <c r="BO802" i="88"/>
  <c r="H251" i="84" s="1"/>
  <c r="G251" i="84"/>
  <c r="P251" i="84" s="1"/>
  <c r="BO798" i="88"/>
  <c r="H247" i="84" s="1"/>
  <c r="G247" i="84"/>
  <c r="BO786" i="88"/>
  <c r="H235" i="84" s="1"/>
  <c r="G235" i="84"/>
  <c r="BO782" i="88"/>
  <c r="H231" i="84" s="1"/>
  <c r="G231" i="84"/>
  <c r="BO778" i="88"/>
  <c r="H227" i="84" s="1"/>
  <c r="G227" i="84"/>
  <c r="P227" i="84" s="1"/>
  <c r="BO774" i="88"/>
  <c r="H223" i="84" s="1"/>
  <c r="G223" i="84"/>
  <c r="BO766" i="88"/>
  <c r="H215" i="84" s="1"/>
  <c r="G215" i="84"/>
  <c r="P215" i="84" s="1"/>
  <c r="BO762" i="88"/>
  <c r="H211" i="84" s="1"/>
  <c r="G211" i="84"/>
  <c r="BO758" i="88"/>
  <c r="H207" i="84" s="1"/>
  <c r="G207" i="84"/>
  <c r="BO754" i="88"/>
  <c r="H203" i="84" s="1"/>
  <c r="G203" i="84"/>
  <c r="BO750" i="88"/>
  <c r="H199" i="84" s="1"/>
  <c r="G199" i="84"/>
  <c r="P199" i="84" s="1"/>
  <c r="BO746" i="88"/>
  <c r="H195" i="84" s="1"/>
  <c r="G195" i="84"/>
  <c r="BO742" i="88"/>
  <c r="H191" i="84" s="1"/>
  <c r="G191" i="84"/>
  <c r="P191" i="84" s="1"/>
  <c r="BO738" i="88"/>
  <c r="H187" i="84" s="1"/>
  <c r="G187" i="84"/>
  <c r="BO730" i="88"/>
  <c r="H179" i="84" s="1"/>
  <c r="G179" i="84"/>
  <c r="P179" i="84" s="1"/>
  <c r="BO722" i="88"/>
  <c r="H171" i="84" s="1"/>
  <c r="G171" i="84"/>
  <c r="BO718" i="88"/>
  <c r="H167" i="84" s="1"/>
  <c r="G167" i="84"/>
  <c r="P167" i="84" s="1"/>
  <c r="BO714" i="88"/>
  <c r="H163" i="84" s="1"/>
  <c r="G163" i="84"/>
  <c r="BO710" i="88"/>
  <c r="H159" i="84" s="1"/>
  <c r="G159" i="84"/>
  <c r="BO706" i="88"/>
  <c r="H155" i="84" s="1"/>
  <c r="G155" i="84"/>
  <c r="BO694" i="88"/>
  <c r="H143" i="84" s="1"/>
  <c r="G143" i="84"/>
  <c r="P143" i="84" s="1"/>
  <c r="BO690" i="88"/>
  <c r="H139" i="84" s="1"/>
  <c r="G139" i="84"/>
  <c r="BO662" i="88"/>
  <c r="H111" i="84" s="1"/>
  <c r="G111" i="84"/>
  <c r="P111" i="84" s="1"/>
  <c r="BO658" i="88"/>
  <c r="H107" i="84" s="1"/>
  <c r="G107" i="84"/>
  <c r="BO654" i="88"/>
  <c r="H103" i="84" s="1"/>
  <c r="G103" i="84"/>
  <c r="BO638" i="88"/>
  <c r="H87" i="84" s="1"/>
  <c r="G87" i="84"/>
  <c r="BO622" i="88"/>
  <c r="H71" i="84" s="1"/>
  <c r="G71" i="84"/>
  <c r="P71" i="84" s="1"/>
  <c r="BO614" i="88"/>
  <c r="H63" i="84" s="1"/>
  <c r="G63" i="84"/>
  <c r="BO606" i="88"/>
  <c r="H55" i="84" s="1"/>
  <c r="G55" i="84"/>
  <c r="BO602" i="88"/>
  <c r="H51" i="84" s="1"/>
  <c r="G51" i="84"/>
  <c r="BO578" i="88"/>
  <c r="H27" i="84" s="1"/>
  <c r="G27" i="84"/>
  <c r="P27" i="84" s="1"/>
  <c r="BO570" i="88"/>
  <c r="H19" i="84" s="1"/>
  <c r="G19" i="84"/>
  <c r="BO566" i="88"/>
  <c r="H15" i="84" s="1"/>
  <c r="G15" i="84"/>
  <c r="BO562" i="88"/>
  <c r="H11" i="84" s="1"/>
  <c r="G11" i="84"/>
  <c r="W149" i="104"/>
  <c r="U126" i="104"/>
  <c r="S176" i="84" s="1"/>
  <c r="Z126" i="104"/>
  <c r="AB126" i="104" s="1"/>
  <c r="M176" i="84" s="1"/>
  <c r="P19" i="84"/>
  <c r="BO266" i="88"/>
  <c r="L258" i="84" s="1"/>
  <c r="K258" i="84"/>
  <c r="BO254" i="88"/>
  <c r="L246" i="84" s="1"/>
  <c r="K246" i="84"/>
  <c r="R246" i="84" s="1"/>
  <c r="BO93" i="88"/>
  <c r="L85" i="84" s="1"/>
  <c r="K85" i="84"/>
  <c r="BP509" i="88"/>
  <c r="I229" i="84" s="1"/>
  <c r="BO509" i="88"/>
  <c r="J229" i="84" s="1"/>
  <c r="BO400" i="88"/>
  <c r="J120" i="84" s="1"/>
  <c r="BP400" i="88"/>
  <c r="I120" i="84" s="1"/>
  <c r="Q120" i="84" s="1"/>
  <c r="BO392" i="88"/>
  <c r="J112" i="84" s="1"/>
  <c r="BP392" i="88"/>
  <c r="I112" i="84" s="1"/>
  <c r="R56" i="84"/>
  <c r="P55" i="84"/>
  <c r="BB85" i="103"/>
  <c r="P62" i="84"/>
  <c r="P262" i="84"/>
  <c r="BO234" i="88"/>
  <c r="L226" i="84" s="1"/>
  <c r="K226" i="84"/>
  <c r="BO230" i="88"/>
  <c r="L222" i="84" s="1"/>
  <c r="K222" i="84"/>
  <c r="BO222" i="88"/>
  <c r="L214" i="84" s="1"/>
  <c r="K214" i="84"/>
  <c r="BO218" i="88"/>
  <c r="L210" i="84" s="1"/>
  <c r="K210" i="84"/>
  <c r="BO214" i="88"/>
  <c r="L206" i="84" s="1"/>
  <c r="K206" i="84"/>
  <c r="BO210" i="88"/>
  <c r="L202" i="84" s="1"/>
  <c r="K202" i="84"/>
  <c r="R202" i="84" s="1"/>
  <c r="BO202" i="88"/>
  <c r="L194" i="84" s="1"/>
  <c r="K194" i="84"/>
  <c r="BO99" i="88"/>
  <c r="L91" i="84" s="1"/>
  <c r="K91" i="84"/>
  <c r="BO52" i="88"/>
  <c r="L44" i="84" s="1"/>
  <c r="K44" i="84"/>
  <c r="BO48" i="88"/>
  <c r="L40" i="84" s="1"/>
  <c r="K40" i="84"/>
  <c r="BO37" i="88"/>
  <c r="L29" i="84" s="1"/>
  <c r="K29" i="84"/>
  <c r="BO33" i="88"/>
  <c r="L25" i="84" s="1"/>
  <c r="K25" i="84"/>
  <c r="BP539" i="88"/>
  <c r="I259" i="84" s="1"/>
  <c r="Q259" i="84" s="1"/>
  <c r="BP545" i="88"/>
  <c r="I265" i="84" s="1"/>
  <c r="Q265" i="84" s="1"/>
  <c r="BO545" i="88"/>
  <c r="J265" i="84" s="1"/>
  <c r="BO520" i="88"/>
  <c r="J240" i="84" s="1"/>
  <c r="BP520" i="88"/>
  <c r="I240" i="84" s="1"/>
  <c r="Q240" i="84" s="1"/>
  <c r="BP505" i="88"/>
  <c r="I225" i="84" s="1"/>
  <c r="BO505" i="88"/>
  <c r="J225" i="84" s="1"/>
  <c r="BP471" i="88"/>
  <c r="I191" i="84" s="1"/>
  <c r="Q191" i="84" s="1"/>
  <c r="BO471" i="88"/>
  <c r="J191" i="84" s="1"/>
  <c r="BO467" i="88"/>
  <c r="J187" i="84" s="1"/>
  <c r="BP467" i="88"/>
  <c r="I187" i="84" s="1"/>
  <c r="BO464" i="88"/>
  <c r="J184" i="84" s="1"/>
  <c r="BP464" i="88"/>
  <c r="I184" i="84" s="1"/>
  <c r="Q184" i="84" s="1"/>
  <c r="BO373" i="88"/>
  <c r="J93" i="84" s="1"/>
  <c r="BP373" i="88"/>
  <c r="I93" i="84" s="1"/>
  <c r="BO347" i="88"/>
  <c r="J67" i="84" s="1"/>
  <c r="BP347" i="88"/>
  <c r="I67" i="84" s="1"/>
  <c r="Q67" i="84" s="1"/>
  <c r="BP335" i="88"/>
  <c r="I55" i="84" s="1"/>
  <c r="Q55" i="84" s="1"/>
  <c r="BO335" i="88"/>
  <c r="J55" i="84" s="1"/>
  <c r="BO273" i="88"/>
  <c r="L265" i="84" s="1"/>
  <c r="K265" i="84"/>
  <c r="BO262" i="88"/>
  <c r="L254" i="84" s="1"/>
  <c r="K254" i="84"/>
  <c r="R254" i="84" s="1"/>
  <c r="BO250" i="88"/>
  <c r="L242" i="84" s="1"/>
  <c r="K242" i="84"/>
  <c r="BO114" i="88"/>
  <c r="L106" i="84" s="1"/>
  <c r="K106" i="84"/>
  <c r="BO90" i="88"/>
  <c r="L82" i="84" s="1"/>
  <c r="K82" i="84"/>
  <c r="BO15" i="88"/>
  <c r="L7" i="84" s="1"/>
  <c r="K7" i="84"/>
  <c r="R7" i="84" s="1"/>
  <c r="BO490" i="88"/>
  <c r="J210" i="84" s="1"/>
  <c r="BP490" i="88"/>
  <c r="I210" i="84" s="1"/>
  <c r="Q210" i="84" s="1"/>
  <c r="BO412" i="88"/>
  <c r="J132" i="84" s="1"/>
  <c r="BP412" i="88"/>
  <c r="I132" i="84" s="1"/>
  <c r="Q132" i="84" s="1"/>
  <c r="R16" i="84"/>
  <c r="P81" i="84"/>
  <c r="P87" i="84"/>
  <c r="K103" i="84"/>
  <c r="R103" i="84" s="1"/>
  <c r="G267" i="84"/>
  <c r="G219" i="84"/>
  <c r="P219" i="84" s="1"/>
  <c r="K122" i="84"/>
  <c r="K169" i="84"/>
  <c r="R169" i="84" s="1"/>
  <c r="K173" i="84"/>
  <c r="K139" i="84"/>
  <c r="R139" i="84" s="1"/>
  <c r="G255" i="84"/>
  <c r="G151" i="84"/>
  <c r="G135" i="84"/>
  <c r="P135" i="84" s="1"/>
  <c r="BO141" i="88"/>
  <c r="L133" i="84" s="1"/>
  <c r="K133" i="84"/>
  <c r="R133" i="84" s="1"/>
  <c r="BO138" i="88"/>
  <c r="L130" i="84" s="1"/>
  <c r="K130" i="84"/>
  <c r="BO122" i="88"/>
  <c r="L114" i="84" s="1"/>
  <c r="K114" i="84"/>
  <c r="BO87" i="88"/>
  <c r="L79" i="84" s="1"/>
  <c r="K79" i="84"/>
  <c r="R79" i="84" s="1"/>
  <c r="BO58" i="88"/>
  <c r="L50" i="84" s="1"/>
  <c r="K50" i="84"/>
  <c r="BO43" i="88"/>
  <c r="L35" i="84" s="1"/>
  <c r="K35" i="84"/>
  <c r="BP526" i="88"/>
  <c r="I246" i="84" s="1"/>
  <c r="Q246" i="84" s="1"/>
  <c r="BO526" i="88"/>
  <c r="J246" i="84" s="1"/>
  <c r="BO523" i="88"/>
  <c r="J243" i="84" s="1"/>
  <c r="BP523" i="88"/>
  <c r="I243" i="84" s="1"/>
  <c r="Q243" i="84" s="1"/>
  <c r="BP507" i="88"/>
  <c r="I227" i="84" s="1"/>
  <c r="Q227" i="84" s="1"/>
  <c r="BO507" i="88"/>
  <c r="J227" i="84" s="1"/>
  <c r="BO480" i="88"/>
  <c r="J200" i="84" s="1"/>
  <c r="BP480" i="88"/>
  <c r="I200" i="84" s="1"/>
  <c r="Q200" i="84" s="1"/>
  <c r="BO249" i="88"/>
  <c r="L241" i="84" s="1"/>
  <c r="BO534" i="88"/>
  <c r="J254" i="84" s="1"/>
  <c r="BO522" i="88"/>
  <c r="J242" i="84" s="1"/>
  <c r="BP519" i="88"/>
  <c r="I239" i="84" s="1"/>
  <c r="Q239" i="84" s="1"/>
  <c r="BP438" i="88"/>
  <c r="I158" i="84" s="1"/>
  <c r="Q158" i="84" s="1"/>
  <c r="BO438" i="88"/>
  <c r="J158" i="84" s="1"/>
  <c r="BP302" i="88"/>
  <c r="I22" i="84" s="1"/>
  <c r="Q22" i="84" s="1"/>
  <c r="BO302" i="88"/>
  <c r="J22" i="84" s="1"/>
  <c r="BO290" i="88"/>
  <c r="J10" i="84" s="1"/>
  <c r="BP290" i="88"/>
  <c r="I10" i="84" s="1"/>
  <c r="U37" i="104"/>
  <c r="W37" i="104" s="1"/>
  <c r="Z37" i="104"/>
  <c r="AB37" i="104" s="1"/>
  <c r="M128" i="84" s="1"/>
  <c r="U19" i="104"/>
  <c r="S28" i="84" s="1"/>
  <c r="Z19" i="104"/>
  <c r="AB19" i="104" s="1"/>
  <c r="M28" i="84" s="1"/>
  <c r="U182" i="104"/>
  <c r="S247" i="84" s="1"/>
  <c r="Z182" i="104"/>
  <c r="AB182" i="104" s="1"/>
  <c r="M247" i="84" s="1"/>
  <c r="U22" i="104"/>
  <c r="S35" i="84" s="1"/>
  <c r="Z22" i="104"/>
  <c r="AB22" i="104" s="1"/>
  <c r="M35" i="84" s="1"/>
  <c r="Z146" i="104"/>
  <c r="AB146" i="104" s="1"/>
  <c r="M205" i="84" s="1"/>
  <c r="U151" i="104"/>
  <c r="S208" i="84" s="1"/>
  <c r="Z151" i="104"/>
  <c r="AB151" i="104" s="1"/>
  <c r="M208" i="84" s="1"/>
  <c r="Z161" i="104"/>
  <c r="AB161" i="104" s="1"/>
  <c r="M231" i="84" s="1"/>
  <c r="U161" i="104"/>
  <c r="S231" i="84" s="1"/>
  <c r="P77" i="84"/>
  <c r="R203" i="84"/>
  <c r="P84" i="84"/>
  <c r="P154" i="84"/>
  <c r="P231" i="84"/>
  <c r="R222" i="84"/>
  <c r="K252" i="84"/>
  <c r="K160" i="84"/>
  <c r="I11" i="90"/>
  <c r="BP452" i="88"/>
  <c r="I172" i="84" s="1"/>
  <c r="BP530" i="88"/>
  <c r="I250" i="84" s="1"/>
  <c r="Q250" i="84" s="1"/>
  <c r="BP434" i="88"/>
  <c r="I154" i="84" s="1"/>
  <c r="Q154" i="84" s="1"/>
  <c r="BP538" i="88"/>
  <c r="I258" i="84" s="1"/>
  <c r="Q258" i="84" s="1"/>
  <c r="BP488" i="88"/>
  <c r="I208" i="84" s="1"/>
  <c r="BO391" i="88"/>
  <c r="J111" i="84" s="1"/>
  <c r="BP525" i="88"/>
  <c r="I245" i="84" s="1"/>
  <c r="Q245" i="84" s="1"/>
  <c r="BP422" i="88"/>
  <c r="I142" i="84" s="1"/>
  <c r="Q142" i="84" s="1"/>
  <c r="BO422" i="88"/>
  <c r="J142" i="84" s="1"/>
  <c r="U138" i="104"/>
  <c r="S193" i="84" s="1"/>
  <c r="Z138" i="104"/>
  <c r="AB138" i="104" s="1"/>
  <c r="M193" i="84" s="1"/>
  <c r="U93" i="104"/>
  <c r="S122" i="84" s="1"/>
  <c r="Z93" i="104"/>
  <c r="AB93" i="104" s="1"/>
  <c r="M122" i="84" s="1"/>
  <c r="W115" i="104"/>
  <c r="Z86" i="104"/>
  <c r="AB86" i="104" s="1"/>
  <c r="M114" i="84" s="1"/>
  <c r="Z47" i="104"/>
  <c r="AB47" i="104" s="1"/>
  <c r="Z185" i="104"/>
  <c r="Z143" i="104"/>
  <c r="W80" i="104"/>
  <c r="Z145" i="104"/>
  <c r="Z99" i="104"/>
  <c r="Z31" i="104"/>
  <c r="AB31" i="104" s="1"/>
  <c r="M34" i="84" s="1"/>
  <c r="BQ955" i="88"/>
  <c r="BQ932" i="88"/>
  <c r="Z45" i="104"/>
  <c r="AB45" i="104" s="1"/>
  <c r="M51" i="84" s="1"/>
  <c r="Z128" i="104"/>
  <c r="AB128" i="104" s="1"/>
  <c r="M183" i="84" s="1"/>
  <c r="Z162" i="104"/>
  <c r="AB162" i="104" s="1"/>
  <c r="M215" i="84" s="1"/>
  <c r="U31" i="104"/>
  <c r="S34" i="84" s="1"/>
  <c r="W111" i="104"/>
  <c r="Z122" i="104"/>
  <c r="Z189" i="104"/>
  <c r="Z137" i="104"/>
  <c r="AB137" i="104" s="1"/>
  <c r="M189" i="84" s="1"/>
  <c r="Z163" i="104"/>
  <c r="G328" i="99"/>
  <c r="G244" i="99"/>
  <c r="G13" i="99"/>
  <c r="G284" i="99"/>
  <c r="G200" i="99"/>
  <c r="G367" i="99"/>
  <c r="G282" i="99"/>
  <c r="G199" i="99"/>
  <c r="G362" i="99"/>
  <c r="G343" i="99"/>
  <c r="G319" i="99"/>
  <c r="G298" i="99"/>
  <c r="G279" i="99"/>
  <c r="G255" i="99"/>
  <c r="G234" i="99"/>
  <c r="G215" i="99"/>
  <c r="G191" i="99"/>
  <c r="G144" i="99"/>
  <c r="G100" i="99"/>
  <c r="G364" i="99"/>
  <c r="G344" i="99"/>
  <c r="G324" i="99"/>
  <c r="G300" i="99"/>
  <c r="G280" i="99"/>
  <c r="G260" i="99"/>
  <c r="G236" i="99"/>
  <c r="G216" i="99"/>
  <c r="G196" i="99"/>
  <c r="G154" i="99"/>
  <c r="G360" i="99"/>
  <c r="G340" i="99"/>
  <c r="G316" i="99"/>
  <c r="G296" i="99"/>
  <c r="G276" i="99"/>
  <c r="G252" i="99"/>
  <c r="G232" i="99"/>
  <c r="G212" i="99"/>
  <c r="G180" i="99"/>
  <c r="G143" i="99"/>
  <c r="G67" i="99"/>
  <c r="G372" i="99"/>
  <c r="G359" i="99"/>
  <c r="G335" i="99"/>
  <c r="G314" i="99"/>
  <c r="G295" i="99"/>
  <c r="G271" i="99"/>
  <c r="G250" i="99"/>
  <c r="G231" i="99"/>
  <c r="G207" i="99"/>
  <c r="G178" i="99"/>
  <c r="G138" i="99"/>
  <c r="G356" i="99"/>
  <c r="G332" i="99"/>
  <c r="G312" i="99"/>
  <c r="G292" i="99"/>
  <c r="G268" i="99"/>
  <c r="G248" i="99"/>
  <c r="G228" i="99"/>
  <c r="G204" i="99"/>
  <c r="G176" i="99"/>
  <c r="G132" i="99"/>
  <c r="G351" i="99"/>
  <c r="G330" i="99"/>
  <c r="G311" i="99"/>
  <c r="G287" i="99"/>
  <c r="G266" i="99"/>
  <c r="G247" i="99"/>
  <c r="G223" i="99"/>
  <c r="G202" i="99"/>
  <c r="G170" i="99"/>
  <c r="G130" i="99"/>
  <c r="G188" i="99"/>
  <c r="G160" i="99"/>
  <c r="G128" i="99"/>
  <c r="G186" i="99"/>
  <c r="G159" i="99"/>
  <c r="G116" i="99"/>
  <c r="G370" i="99"/>
  <c r="G354" i="99"/>
  <c r="G338" i="99"/>
  <c r="G322" i="99"/>
  <c r="G306" i="99"/>
  <c r="G290" i="99"/>
  <c r="G274" i="99"/>
  <c r="G258" i="99"/>
  <c r="G242" i="99"/>
  <c r="G226" i="99"/>
  <c r="G210" i="99"/>
  <c r="G194" i="99"/>
  <c r="G175" i="99"/>
  <c r="G148" i="99"/>
  <c r="G127" i="99"/>
  <c r="G90" i="99"/>
  <c r="G368" i="99"/>
  <c r="G352" i="99"/>
  <c r="G336" i="99"/>
  <c r="G320" i="99"/>
  <c r="G304" i="99"/>
  <c r="G288" i="99"/>
  <c r="G272" i="99"/>
  <c r="G256" i="99"/>
  <c r="G240" i="99"/>
  <c r="G224" i="99"/>
  <c r="G208" i="99"/>
  <c r="G192" i="99"/>
  <c r="G172" i="99"/>
  <c r="G146" i="99"/>
  <c r="G122" i="99"/>
  <c r="G87" i="99"/>
  <c r="G111" i="99"/>
  <c r="G156" i="99"/>
  <c r="G140" i="99"/>
  <c r="G124" i="99"/>
  <c r="G108" i="99"/>
  <c r="G59" i="99"/>
  <c r="G184" i="99"/>
  <c r="G168" i="99"/>
  <c r="G152" i="99"/>
  <c r="G136" i="99"/>
  <c r="G120" i="99"/>
  <c r="G104" i="99"/>
  <c r="G183" i="99"/>
  <c r="G167" i="99"/>
  <c r="G151" i="99"/>
  <c r="G135" i="99"/>
  <c r="G119" i="99"/>
  <c r="G103" i="99"/>
  <c r="I50" i="93"/>
  <c r="I75" i="93"/>
  <c r="BB52" i="103"/>
  <c r="BB141" i="103"/>
  <c r="BB134" i="103"/>
  <c r="BB119" i="103"/>
  <c r="BB125" i="103"/>
  <c r="BB73" i="103"/>
  <c r="BB106" i="103"/>
  <c r="BB135" i="103"/>
  <c r="BB58" i="103"/>
  <c r="BB11" i="103"/>
  <c r="BB45" i="103"/>
  <c r="BB107" i="103"/>
  <c r="BB82" i="103"/>
  <c r="BB112" i="103"/>
  <c r="BB93" i="103"/>
  <c r="BB18" i="103"/>
  <c r="BB21" i="103"/>
  <c r="BB34" i="103"/>
  <c r="BB114" i="103"/>
  <c r="BB129" i="103"/>
  <c r="BB99" i="103"/>
  <c r="BB54" i="103"/>
  <c r="BB16" i="103"/>
  <c r="BB98" i="103"/>
  <c r="BB138" i="103"/>
  <c r="BB27" i="103"/>
  <c r="BB12" i="103"/>
  <c r="BB42" i="103"/>
  <c r="BB151" i="103"/>
  <c r="BB26" i="103"/>
  <c r="BB105" i="103"/>
  <c r="BB110" i="103"/>
  <c r="BB40" i="103"/>
  <c r="BB90" i="103"/>
  <c r="BB65" i="103"/>
  <c r="BB22" i="103"/>
  <c r="BB137" i="103"/>
  <c r="BB49" i="103"/>
  <c r="BB6" i="103"/>
  <c r="BB84" i="103"/>
  <c r="BB67" i="103"/>
  <c r="BB120" i="103"/>
  <c r="BB109" i="103"/>
  <c r="BB136" i="103"/>
  <c r="BB62" i="103"/>
  <c r="BB139" i="103"/>
  <c r="BB33" i="103"/>
  <c r="R110" i="84"/>
  <c r="R96" i="84"/>
  <c r="BO544" i="88"/>
  <c r="J264" i="84" s="1"/>
  <c r="BP544" i="88"/>
  <c r="I264" i="84" s="1"/>
  <c r="BO550" i="88"/>
  <c r="J270" i="84" s="1"/>
  <c r="BP550" i="88"/>
  <c r="I270" i="84" s="1"/>
  <c r="Q270" i="84" s="1"/>
  <c r="R112" i="84"/>
  <c r="R107" i="84"/>
  <c r="R109" i="84"/>
  <c r="BP484" i="88"/>
  <c r="I204" i="84" s="1"/>
  <c r="Q204" i="84" s="1"/>
  <c r="BP436" i="88"/>
  <c r="I156" i="84" s="1"/>
  <c r="BP368" i="88"/>
  <c r="I88" i="84" s="1"/>
  <c r="BP363" i="88"/>
  <c r="I83" i="84" s="1"/>
  <c r="Q83" i="84" s="1"/>
  <c r="BP403" i="88"/>
  <c r="I123" i="84" s="1"/>
  <c r="Q123" i="84" s="1"/>
  <c r="BP443" i="88"/>
  <c r="I163" i="84" s="1"/>
  <c r="Q163" i="84" s="1"/>
  <c r="BO447" i="88"/>
  <c r="J167" i="84" s="1"/>
  <c r="BP470" i="88"/>
  <c r="I190" i="84" s="1"/>
  <c r="Q190" i="84" s="1"/>
  <c r="BO413" i="88"/>
  <c r="J133" i="84" s="1"/>
  <c r="BO361" i="88"/>
  <c r="J81" i="84" s="1"/>
  <c r="BP358" i="88"/>
  <c r="I78" i="84" s="1"/>
  <c r="BO365" i="88"/>
  <c r="J85" i="84" s="1"/>
  <c r="R152" i="84"/>
  <c r="R32" i="84"/>
  <c r="BP428" i="88"/>
  <c r="I148" i="84" s="1"/>
  <c r="Q148" i="84" s="1"/>
  <c r="BP340" i="88"/>
  <c r="I60" i="84" s="1"/>
  <c r="Q60" i="84" s="1"/>
  <c r="BP372" i="88"/>
  <c r="I92" i="84" s="1"/>
  <c r="BP370" i="88"/>
  <c r="I90" i="84" s="1"/>
  <c r="BP450" i="88"/>
  <c r="I170" i="84" s="1"/>
  <c r="Q170" i="84" s="1"/>
  <c r="BP336" i="88"/>
  <c r="I56" i="84" s="1"/>
  <c r="Q56" i="84" s="1"/>
  <c r="BP496" i="88"/>
  <c r="I216" i="84" s="1"/>
  <c r="Q216" i="84" s="1"/>
  <c r="BP411" i="88"/>
  <c r="I131" i="84" s="1"/>
  <c r="Q131" i="84" s="1"/>
  <c r="BP398" i="88"/>
  <c r="I118" i="84" s="1"/>
  <c r="Q118" i="84" s="1"/>
  <c r="BO463" i="88"/>
  <c r="J183" i="84" s="1"/>
  <c r="BP409" i="88"/>
  <c r="I129" i="84" s="1"/>
  <c r="BO481" i="88"/>
  <c r="J201" i="84" s="1"/>
  <c r="BO374" i="88"/>
  <c r="J94" i="84" s="1"/>
  <c r="BO469" i="88"/>
  <c r="J189" i="84" s="1"/>
  <c r="Z64" i="104"/>
  <c r="AB64" i="104" s="1"/>
  <c r="M74" i="84" s="1"/>
  <c r="Z60" i="104"/>
  <c r="AB60" i="104" s="1"/>
  <c r="M71" i="84" s="1"/>
  <c r="BO1088" i="88"/>
  <c r="BO1055" i="88"/>
  <c r="BO937" i="88"/>
  <c r="BQ901" i="88"/>
  <c r="BQ892" i="88"/>
  <c r="BQ889" i="88"/>
  <c r="BQ834" i="88"/>
  <c r="Z119" i="104"/>
  <c r="AB119" i="104" s="1"/>
  <c r="M84" i="84" s="1"/>
  <c r="Z200" i="104"/>
  <c r="AB200" i="104" s="1"/>
  <c r="M269" i="84" s="1"/>
  <c r="Z167" i="104"/>
  <c r="AB167" i="104" s="1"/>
  <c r="M218" i="84" s="1"/>
  <c r="W128" i="104"/>
  <c r="U155" i="104"/>
  <c r="W155" i="104" s="1"/>
  <c r="Z12" i="104"/>
  <c r="AB12" i="104" s="1"/>
  <c r="M9" i="84" s="1"/>
  <c r="Z82" i="104"/>
  <c r="AB82" i="104" s="1"/>
  <c r="M105" i="84" s="1"/>
  <c r="Z46" i="104"/>
  <c r="AB46" i="104" s="1"/>
  <c r="M49" i="84" s="1"/>
  <c r="Z111" i="104"/>
  <c r="AB111" i="104" s="1"/>
  <c r="M174" i="84" s="1"/>
  <c r="Z191" i="104"/>
  <c r="AB191" i="104" s="1"/>
  <c r="M251" i="84" s="1"/>
  <c r="Z134" i="104"/>
  <c r="AB134" i="104" s="1"/>
  <c r="Z130" i="104"/>
  <c r="AB130" i="104" s="1"/>
  <c r="M185" i="84" s="1"/>
  <c r="BO1052" i="88"/>
  <c r="BO999" i="88"/>
  <c r="BO920" i="88"/>
  <c r="Z14" i="104"/>
  <c r="AB14" i="104" s="1"/>
  <c r="M14" i="84" s="1"/>
  <c r="Z132" i="104"/>
  <c r="AB132" i="104" s="1"/>
  <c r="M178" i="84" s="1"/>
  <c r="W162" i="104"/>
  <c r="W45" i="104"/>
  <c r="Z121" i="104"/>
  <c r="AB121" i="104" s="1"/>
  <c r="M168" i="84" s="1"/>
  <c r="Z105" i="104"/>
  <c r="AB105" i="104" s="1"/>
  <c r="M136" i="84" s="1"/>
  <c r="Z101" i="104"/>
  <c r="AB101" i="104" s="1"/>
  <c r="M134" i="84" s="1"/>
  <c r="Z57" i="104"/>
  <c r="AB57" i="104" s="1"/>
  <c r="M61" i="84" s="1"/>
  <c r="Z13" i="104"/>
  <c r="AB13" i="104" s="1"/>
  <c r="M17" i="84" s="1"/>
  <c r="G84" i="99"/>
  <c r="G52" i="99"/>
  <c r="G98" i="99"/>
  <c r="G79" i="99"/>
  <c r="G49" i="99"/>
  <c r="G96" i="99"/>
  <c r="G78" i="99"/>
  <c r="G44" i="99"/>
  <c r="G95" i="99"/>
  <c r="G73" i="99"/>
  <c r="G40" i="99"/>
  <c r="G92" i="99"/>
  <c r="G69" i="99"/>
  <c r="G32" i="99"/>
  <c r="G88" i="99"/>
  <c r="G65" i="99"/>
  <c r="G31" i="99"/>
  <c r="G82" i="99"/>
  <c r="G56" i="99"/>
  <c r="G369" i="99"/>
  <c r="G361" i="99"/>
  <c r="G353" i="99"/>
  <c r="G345" i="99"/>
  <c r="G337" i="99"/>
  <c r="G329" i="99"/>
  <c r="G321" i="99"/>
  <c r="G313" i="99"/>
  <c r="G305" i="99"/>
  <c r="G297" i="99"/>
  <c r="G289" i="99"/>
  <c r="G281" i="99"/>
  <c r="G273" i="99"/>
  <c r="G265" i="99"/>
  <c r="G257" i="99"/>
  <c r="G249" i="99"/>
  <c r="G241" i="99"/>
  <c r="G233" i="99"/>
  <c r="G225" i="99"/>
  <c r="G217" i="99"/>
  <c r="G209" i="99"/>
  <c r="G201" i="99"/>
  <c r="G193" i="99"/>
  <c r="G185" i="99"/>
  <c r="G177" i="99"/>
  <c r="G169" i="99"/>
  <c r="G161" i="99"/>
  <c r="G153" i="99"/>
  <c r="G145" i="99"/>
  <c r="G137" i="99"/>
  <c r="G129" i="99"/>
  <c r="G121" i="99"/>
  <c r="G113" i="99"/>
  <c r="G105" i="99"/>
  <c r="G97" i="99"/>
  <c r="G89" i="99"/>
  <c r="G80" i="99"/>
  <c r="G68" i="99"/>
  <c r="G54" i="99"/>
  <c r="G36" i="99"/>
  <c r="G366" i="99"/>
  <c r="G358" i="99"/>
  <c r="G350" i="99"/>
  <c r="G342" i="99"/>
  <c r="G334" i="99"/>
  <c r="G326" i="99"/>
  <c r="G318" i="99"/>
  <c r="G310" i="99"/>
  <c r="G302" i="99"/>
  <c r="G294" i="99"/>
  <c r="G286" i="99"/>
  <c r="G278" i="99"/>
  <c r="G270" i="99"/>
  <c r="G262" i="99"/>
  <c r="G254" i="99"/>
  <c r="G246" i="99"/>
  <c r="G238" i="99"/>
  <c r="G230" i="99"/>
  <c r="G222" i="99"/>
  <c r="G214" i="99"/>
  <c r="G206" i="99"/>
  <c r="G198" i="99"/>
  <c r="G190" i="99"/>
  <c r="G182" i="99"/>
  <c r="G174" i="99"/>
  <c r="G166" i="99"/>
  <c r="G158" i="99"/>
  <c r="G150" i="99"/>
  <c r="G142" i="99"/>
  <c r="G134" i="99"/>
  <c r="G126" i="99"/>
  <c r="G118" i="99"/>
  <c r="G110" i="99"/>
  <c r="G102" i="99"/>
  <c r="G94" i="99"/>
  <c r="G86" i="99"/>
  <c r="G77" i="99"/>
  <c r="G62" i="99"/>
  <c r="G48" i="99"/>
  <c r="G24" i="99"/>
  <c r="G365" i="99"/>
  <c r="G357" i="99"/>
  <c r="G349" i="99"/>
  <c r="G341" i="99"/>
  <c r="G333" i="99"/>
  <c r="G325" i="99"/>
  <c r="G317" i="99"/>
  <c r="G309" i="99"/>
  <c r="G301" i="99"/>
  <c r="G293" i="99"/>
  <c r="G285" i="99"/>
  <c r="G277" i="99"/>
  <c r="G269" i="99"/>
  <c r="G261" i="99"/>
  <c r="G253" i="99"/>
  <c r="G245" i="99"/>
  <c r="G237" i="99"/>
  <c r="G229" i="99"/>
  <c r="G221" i="99"/>
  <c r="G213" i="99"/>
  <c r="G205" i="99"/>
  <c r="G197" i="99"/>
  <c r="G189" i="99"/>
  <c r="G181" i="99"/>
  <c r="G173" i="99"/>
  <c r="G165" i="99"/>
  <c r="G157" i="99"/>
  <c r="G149" i="99"/>
  <c r="G141" i="99"/>
  <c r="G133" i="99"/>
  <c r="G125" i="99"/>
  <c r="G117" i="99"/>
  <c r="G109" i="99"/>
  <c r="G101" i="99"/>
  <c r="G93" i="99"/>
  <c r="G85" i="99"/>
  <c r="G76" i="99"/>
  <c r="G60" i="99"/>
  <c r="G45" i="99"/>
  <c r="G21" i="99"/>
  <c r="G371" i="99"/>
  <c r="G363" i="99"/>
  <c r="G355" i="99"/>
  <c r="G347" i="99"/>
  <c r="G339" i="99"/>
  <c r="G331" i="99"/>
  <c r="G323" i="99"/>
  <c r="G315" i="99"/>
  <c r="G307" i="99"/>
  <c r="G299" i="99"/>
  <c r="G291" i="99"/>
  <c r="G283" i="99"/>
  <c r="G275" i="99"/>
  <c r="G267" i="99"/>
  <c r="G259" i="99"/>
  <c r="G251" i="99"/>
  <c r="G243" i="99"/>
  <c r="G235" i="99"/>
  <c r="G227" i="99"/>
  <c r="G219" i="99"/>
  <c r="G211" i="99"/>
  <c r="G203" i="99"/>
  <c r="G195" i="99"/>
  <c r="G187" i="99"/>
  <c r="G179" i="99"/>
  <c r="G171" i="99"/>
  <c r="G163" i="99"/>
  <c r="G155" i="99"/>
  <c r="G147" i="99"/>
  <c r="G139" i="99"/>
  <c r="G131" i="99"/>
  <c r="G123" i="99"/>
  <c r="G115" i="99"/>
  <c r="G107" i="99"/>
  <c r="G99" i="99"/>
  <c r="G91" i="99"/>
  <c r="G83" i="99"/>
  <c r="G70" i="99"/>
  <c r="G57" i="99"/>
  <c r="G43" i="99"/>
  <c r="G75" i="99"/>
  <c r="G64" i="99"/>
  <c r="G53" i="99"/>
  <c r="G41" i="99"/>
  <c r="G10" i="99"/>
  <c r="G81" i="99"/>
  <c r="G72" i="99"/>
  <c r="G61" i="99"/>
  <c r="G51" i="99"/>
  <c r="G37" i="99"/>
  <c r="P226" i="84"/>
  <c r="P64" i="84"/>
  <c r="P116" i="84"/>
  <c r="P195" i="84"/>
  <c r="P189" i="84"/>
  <c r="P214" i="84"/>
  <c r="P270" i="84"/>
  <c r="S264" i="84"/>
  <c r="P92" i="84"/>
  <c r="P90" i="84"/>
  <c r="P177" i="84"/>
  <c r="P48" i="84"/>
  <c r="P104" i="84"/>
  <c r="P266" i="84"/>
  <c r="P25" i="84"/>
  <c r="P88" i="84"/>
  <c r="P20" i="84"/>
  <c r="P168" i="84"/>
  <c r="P155" i="84"/>
  <c r="P182" i="84"/>
  <c r="P162" i="84"/>
  <c r="P65" i="84"/>
  <c r="P9" i="84"/>
  <c r="P97" i="84"/>
  <c r="P22" i="84"/>
  <c r="P50" i="84"/>
  <c r="P53" i="84"/>
  <c r="P224" i="84"/>
  <c r="P249" i="84"/>
  <c r="P257" i="84"/>
  <c r="P172" i="84"/>
  <c r="P36" i="84"/>
  <c r="P163" i="84"/>
  <c r="P181" i="84"/>
  <c r="P169" i="84"/>
  <c r="P47" i="84"/>
  <c r="P159" i="84"/>
  <c r="P201" i="84"/>
  <c r="P265" i="84"/>
  <c r="P240" i="84"/>
  <c r="P60" i="84"/>
  <c r="P14" i="84"/>
  <c r="P93" i="84"/>
  <c r="P76" i="84"/>
  <c r="P248" i="84"/>
  <c r="P49" i="84"/>
  <c r="P260" i="84"/>
  <c r="P137" i="84"/>
  <c r="P211" i="84"/>
  <c r="P16" i="84"/>
  <c r="P200" i="84"/>
  <c r="P194" i="84"/>
  <c r="P207" i="84"/>
  <c r="P21" i="84"/>
  <c r="P95" i="84"/>
  <c r="P165" i="84"/>
  <c r="P124" i="84"/>
  <c r="P89" i="84"/>
  <c r="P164" i="84"/>
  <c r="P153" i="84"/>
  <c r="P183" i="84"/>
  <c r="P185" i="84"/>
  <c r="P136" i="84"/>
  <c r="P56" i="84"/>
  <c r="P38" i="84"/>
  <c r="P160" i="84"/>
  <c r="P178" i="84"/>
  <c r="P7" i="84"/>
  <c r="P30" i="84"/>
  <c r="P40" i="84"/>
  <c r="P244" i="84"/>
  <c r="P238" i="84"/>
  <c r="P247" i="84"/>
  <c r="P213" i="84"/>
  <c r="P130" i="84"/>
  <c r="P253" i="84"/>
  <c r="P261" i="84"/>
  <c r="P96" i="84"/>
  <c r="P174" i="84"/>
  <c r="P129" i="84"/>
  <c r="P46" i="84"/>
  <c r="P234" i="84"/>
  <c r="P61" i="84"/>
  <c r="P187" i="84"/>
  <c r="P269" i="84"/>
  <c r="P86" i="84"/>
  <c r="P102" i="84"/>
  <c r="P123" i="84"/>
  <c r="P114" i="84"/>
  <c r="P106" i="84"/>
  <c r="P149" i="84"/>
  <c r="P193" i="84"/>
  <c r="P217" i="84"/>
  <c r="P268" i="84"/>
  <c r="P13" i="84"/>
  <c r="P225" i="84"/>
  <c r="P43" i="84"/>
  <c r="P57" i="84"/>
  <c r="P33" i="84"/>
  <c r="P171" i="84"/>
  <c r="P197" i="84"/>
  <c r="W187" i="104"/>
  <c r="P229" i="84"/>
  <c r="P233" i="84"/>
  <c r="P74" i="84"/>
  <c r="P11" i="84"/>
  <c r="P31" i="84"/>
  <c r="P118" i="84"/>
  <c r="P101" i="84"/>
  <c r="P152" i="84"/>
  <c r="P32" i="84"/>
  <c r="P63" i="84"/>
  <c r="P59" i="84"/>
  <c r="P28" i="84"/>
  <c r="P45" i="84"/>
  <c r="P216" i="84"/>
  <c r="P132" i="84"/>
  <c r="P125" i="84"/>
  <c r="P228" i="84"/>
  <c r="P37" i="84"/>
  <c r="P26" i="84"/>
  <c r="P23" i="84"/>
  <c r="P91" i="84"/>
  <c r="P204" i="84"/>
  <c r="P80" i="84"/>
  <c r="P117" i="84"/>
  <c r="P150" i="84"/>
  <c r="P113" i="84"/>
  <c r="P134" i="84"/>
  <c r="P190" i="84"/>
  <c r="P205" i="84"/>
  <c r="P138" i="84"/>
  <c r="P250" i="84"/>
  <c r="P256" i="84"/>
  <c r="P255" i="84"/>
  <c r="P8" i="84"/>
  <c r="P44" i="84"/>
  <c r="P85" i="84"/>
  <c r="P72" i="84"/>
  <c r="P151" i="84"/>
  <c r="P142" i="84"/>
  <c r="P176" i="84"/>
  <c r="P180" i="84"/>
  <c r="P212" i="84"/>
  <c r="P75" i="84"/>
  <c r="P221" i="84"/>
  <c r="P252" i="84"/>
  <c r="P267" i="84"/>
  <c r="P24" i="84"/>
  <c r="P157" i="84"/>
  <c r="P94" i="84"/>
  <c r="P156" i="84"/>
  <c r="P239" i="84"/>
  <c r="P29" i="84"/>
  <c r="P35" i="84"/>
  <c r="P83" i="84"/>
  <c r="P51" i="84"/>
  <c r="P119" i="84"/>
  <c r="P82" i="84"/>
  <c r="P121" i="84"/>
  <c r="P131" i="84"/>
  <c r="P126" i="84"/>
  <c r="P120" i="84"/>
  <c r="P192" i="84"/>
  <c r="P237" i="84"/>
  <c r="P242" i="84"/>
  <c r="P259" i="84"/>
  <c r="W60" i="104"/>
  <c r="W123" i="104"/>
  <c r="S241" i="84"/>
  <c r="Q9" i="84"/>
  <c r="Q8" i="84"/>
  <c r="Q102" i="84"/>
  <c r="S110" i="84"/>
  <c r="S275" i="84"/>
  <c r="S70" i="84"/>
  <c r="Q149" i="84"/>
  <c r="S109" i="84"/>
  <c r="Q35" i="84"/>
  <c r="S236" i="84"/>
  <c r="Q121" i="84"/>
  <c r="S161" i="84"/>
  <c r="Q172" i="84"/>
  <c r="S203" i="84"/>
  <c r="Q178" i="84"/>
  <c r="S115" i="84"/>
  <c r="S108" i="84"/>
  <c r="S273" i="84"/>
  <c r="Q73" i="84"/>
  <c r="Q156" i="84"/>
  <c r="S166" i="84"/>
  <c r="S243" i="84"/>
  <c r="Q167" i="84"/>
  <c r="S223" i="84"/>
  <c r="S246" i="84"/>
  <c r="S107" i="84"/>
  <c r="S235" i="84"/>
  <c r="Q111" i="84"/>
  <c r="Q195" i="84"/>
  <c r="Q196" i="84"/>
  <c r="S209" i="84"/>
  <c r="Q173" i="84"/>
  <c r="S220" i="84"/>
  <c r="S274" i="84"/>
  <c r="Q71" i="84"/>
  <c r="S186" i="84"/>
  <c r="Q189" i="84"/>
  <c r="S245" i="84"/>
  <c r="S78" i="84"/>
  <c r="S79" i="84"/>
  <c r="Q77" i="84"/>
  <c r="Q231" i="84"/>
  <c r="S66" i="84"/>
  <c r="S112" i="84"/>
  <c r="Q97" i="84"/>
  <c r="W121" i="104"/>
  <c r="S100" i="84"/>
  <c r="S196" i="84"/>
  <c r="Q96" i="84"/>
  <c r="Q201" i="84"/>
  <c r="W87" i="104"/>
  <c r="W101" i="104"/>
  <c r="S141" i="84"/>
  <c r="Q7" i="84"/>
  <c r="S145" i="84"/>
  <c r="Q124" i="84"/>
  <c r="W103" i="104"/>
  <c r="Q238" i="84"/>
  <c r="S188" i="84"/>
  <c r="Q104" i="84"/>
  <c r="Q218" i="84"/>
  <c r="Q273" i="84"/>
  <c r="Q225" i="84"/>
  <c r="Q272" i="84"/>
  <c r="W69" i="104"/>
  <c r="Q186" i="84"/>
  <c r="Q141" i="84"/>
  <c r="S144" i="84"/>
  <c r="S158" i="84"/>
  <c r="S69" i="84"/>
  <c r="Q127" i="84"/>
  <c r="Q262" i="84"/>
  <c r="S175" i="84"/>
  <c r="W141" i="104"/>
  <c r="Q62" i="84"/>
  <c r="Q128" i="84"/>
  <c r="Q31" i="84"/>
  <c r="Q247" i="84"/>
  <c r="S202" i="84"/>
  <c r="Q23" i="84"/>
  <c r="Q205" i="84"/>
  <c r="Q175" i="84"/>
  <c r="Q44" i="84"/>
  <c r="Q260" i="84"/>
  <c r="Q114" i="84"/>
  <c r="Q185" i="84"/>
  <c r="Q263" i="84"/>
  <c r="BQ1052" i="88"/>
  <c r="Q33" i="84"/>
  <c r="Q40" i="84"/>
  <c r="W79" i="104"/>
  <c r="Q140" i="84"/>
  <c r="Q48" i="84"/>
  <c r="Q126" i="84"/>
  <c r="S222" i="84"/>
  <c r="Q15" i="84"/>
  <c r="Q206" i="84"/>
  <c r="Q112" i="84"/>
  <c r="Q113" i="84"/>
  <c r="Q84" i="84"/>
  <c r="Q211" i="84"/>
  <c r="Q152" i="84"/>
  <c r="BO838" i="88"/>
  <c r="W68" i="104"/>
  <c r="Q101" i="84"/>
  <c r="S272" i="84"/>
  <c r="BO878" i="88"/>
  <c r="S53" i="84"/>
  <c r="S160" i="84"/>
  <c r="Q82" i="84"/>
  <c r="Q248" i="84"/>
  <c r="Q207" i="84"/>
  <c r="Q182" i="84"/>
  <c r="Q147" i="84"/>
  <c r="S147" i="84"/>
  <c r="Q264" i="84"/>
  <c r="Q171" i="84"/>
  <c r="Q69" i="84"/>
  <c r="W78" i="104"/>
  <c r="Q129" i="84"/>
  <c r="Q81" i="84"/>
  <c r="Q85" i="84"/>
  <c r="BO964" i="88"/>
  <c r="BO911" i="88"/>
  <c r="Q18" i="84"/>
  <c r="Q275" i="84"/>
  <c r="BQ1088" i="88"/>
  <c r="Q249" i="84"/>
  <c r="Q193" i="84"/>
  <c r="Q16" i="84"/>
  <c r="Q168" i="84"/>
  <c r="Q194" i="84"/>
  <c r="S215" i="84"/>
  <c r="S51" i="84"/>
  <c r="Q179" i="84"/>
  <c r="BO1082" i="88"/>
  <c r="Q219" i="84"/>
  <c r="Q28" i="84"/>
  <c r="BQ937" i="88"/>
  <c r="Q39" i="84"/>
  <c r="Q136" i="84"/>
  <c r="Q237" i="84"/>
  <c r="Q42" i="84"/>
  <c r="BQ920" i="88"/>
  <c r="Q228" i="84"/>
  <c r="Q32" i="84"/>
  <c r="Q10" i="84"/>
  <c r="Q87" i="84"/>
  <c r="Q51" i="84"/>
  <c r="Q274" i="84"/>
  <c r="W66" i="104"/>
  <c r="Q72" i="84"/>
  <c r="Q65" i="84"/>
  <c r="BO991" i="88"/>
  <c r="BQ1055" i="88"/>
  <c r="BO974" i="88"/>
  <c r="W159" i="104"/>
  <c r="W148" i="104"/>
  <c r="S140" i="84"/>
  <c r="Q159" i="84"/>
  <c r="BO1043" i="88"/>
  <c r="W191" i="104"/>
  <c r="W82" i="104"/>
  <c r="S92" i="84"/>
  <c r="Q93" i="84"/>
  <c r="Q232" i="84"/>
  <c r="Q27" i="84"/>
  <c r="Q115" i="84"/>
  <c r="Q233" i="84"/>
  <c r="Q13" i="84"/>
  <c r="Q134" i="84"/>
  <c r="Q187" i="84"/>
  <c r="Q138" i="84"/>
  <c r="S41" i="84"/>
  <c r="Q139" i="84"/>
  <c r="S139" i="84"/>
  <c r="S61" i="84"/>
  <c r="W57" i="104"/>
  <c r="S58" i="84"/>
  <c r="W52" i="104"/>
  <c r="W85" i="104"/>
  <c r="W183" i="104"/>
  <c r="Q198" i="84"/>
  <c r="Q223" i="84"/>
  <c r="S206" i="84"/>
  <c r="Q215" i="84"/>
  <c r="Q269" i="84"/>
  <c r="BQ905" i="88"/>
  <c r="BO905" i="88"/>
  <c r="W13" i="104"/>
  <c r="W62" i="104"/>
  <c r="Q90" i="84"/>
  <c r="Q208" i="84"/>
  <c r="Q49" i="84"/>
  <c r="Q197" i="84"/>
  <c r="Q25" i="84"/>
  <c r="S214" i="84"/>
  <c r="W166" i="104"/>
  <c r="Q88" i="84"/>
  <c r="Q212" i="84"/>
  <c r="Q86" i="84"/>
  <c r="Q66" i="84"/>
  <c r="Q53" i="84"/>
  <c r="Q26" i="84"/>
  <c r="W40" i="104"/>
  <c r="S55" i="84"/>
  <c r="W51" i="104"/>
  <c r="Q188" i="84"/>
  <c r="Q58" i="84"/>
  <c r="Q242" i="84"/>
  <c r="W64" i="104"/>
  <c r="Q34" i="84"/>
  <c r="Q220" i="84"/>
  <c r="Q108" i="84"/>
  <c r="S174" i="84"/>
  <c r="Q183" i="84"/>
  <c r="BO1010" i="88"/>
  <c r="W118" i="104"/>
  <c r="W47" i="104"/>
  <c r="Q92" i="84"/>
  <c r="Q244" i="84"/>
  <c r="G46" i="99"/>
  <c r="G35" i="99"/>
  <c r="G74" i="99"/>
  <c r="G66" i="99"/>
  <c r="G58" i="99"/>
  <c r="G50" i="99"/>
  <c r="G42" i="99"/>
  <c r="G33" i="99"/>
  <c r="G9" i="99"/>
  <c r="G71" i="99"/>
  <c r="G63" i="99"/>
  <c r="G55" i="99"/>
  <c r="G47" i="99"/>
  <c r="G39" i="99"/>
  <c r="G29" i="99"/>
  <c r="G38" i="99"/>
  <c r="G27" i="99"/>
  <c r="C12" i="63"/>
  <c r="E127" i="93"/>
  <c r="I127" i="93" s="1"/>
  <c r="C143" i="63" s="1"/>
  <c r="E125" i="93"/>
  <c r="I125" i="93" s="1"/>
  <c r="D61" i="47"/>
  <c r="F103" i="93"/>
  <c r="U11" i="48"/>
  <c r="E128" i="93"/>
  <c r="I128" i="93" s="1"/>
  <c r="E134" i="93"/>
  <c r="I134" i="93" s="1"/>
  <c r="C146" i="63" s="1"/>
  <c r="C22" i="48"/>
  <c r="E126" i="93"/>
  <c r="I126" i="93" s="1"/>
  <c r="E139" i="93"/>
  <c r="I139" i="93" s="1"/>
  <c r="I173" i="93"/>
  <c r="I172" i="93"/>
  <c r="I65" i="93"/>
  <c r="I105" i="93"/>
  <c r="T107" i="45" s="1"/>
  <c r="D34" i="93"/>
  <c r="I54" i="93"/>
  <c r="I135" i="93"/>
  <c r="C152" i="63" s="1"/>
  <c r="D152" i="63" s="1"/>
  <c r="E152" i="63" s="1"/>
  <c r="G28" i="99"/>
  <c r="G20" i="99"/>
  <c r="G34" i="99"/>
  <c r="G30" i="99"/>
  <c r="G25" i="99"/>
  <c r="G17" i="99"/>
  <c r="G15" i="99"/>
  <c r="G23" i="99"/>
  <c r="G19" i="99"/>
  <c r="G14" i="99"/>
  <c r="G26" i="99"/>
  <c r="G22" i="99"/>
  <c r="G18" i="99"/>
  <c r="BK29" i="48"/>
  <c r="BB32" i="103"/>
  <c r="BB71" i="103"/>
  <c r="T14" i="48" s="1"/>
  <c r="X14" i="48" s="1"/>
  <c r="U15" i="48" s="1"/>
  <c r="BB43" i="103"/>
  <c r="BB83" i="103"/>
  <c r="BB77" i="103"/>
  <c r="BB31" i="103"/>
  <c r="BB51" i="103"/>
  <c r="BB38" i="103"/>
  <c r="BB97" i="103"/>
  <c r="BB132" i="103"/>
  <c r="BB25" i="103"/>
  <c r="BB79" i="103"/>
  <c r="BB35" i="103"/>
  <c r="BB95" i="103"/>
  <c r="BB60" i="103"/>
  <c r="BB113" i="103"/>
  <c r="BB103" i="103"/>
  <c r="BB61" i="103"/>
  <c r="BB140" i="103"/>
  <c r="BB150" i="103"/>
  <c r="BB94" i="103"/>
  <c r="BB50" i="103"/>
  <c r="BB70" i="103"/>
  <c r="BB72" i="103"/>
  <c r="BB13" i="103"/>
  <c r="BB66" i="103"/>
  <c r="BB5" i="103"/>
  <c r="BB17" i="103"/>
  <c r="BB128" i="103"/>
  <c r="BB133" i="103"/>
  <c r="BB91" i="103"/>
  <c r="BB69" i="103"/>
  <c r="BO106" i="88"/>
  <c r="L98" i="84" s="1"/>
  <c r="K98" i="84"/>
  <c r="R98" i="84" s="1"/>
  <c r="BB131" i="103"/>
  <c r="BB53" i="103"/>
  <c r="BB88" i="103"/>
  <c r="BB127" i="103"/>
  <c r="BB41" i="103"/>
  <c r="BB30" i="103"/>
  <c r="BB104" i="103"/>
  <c r="BB29" i="103"/>
  <c r="BB19" i="103"/>
  <c r="BB148" i="103"/>
  <c r="BB142" i="103"/>
  <c r="BB144" i="103"/>
  <c r="BB108" i="103"/>
  <c r="BB48" i="103"/>
  <c r="BB28" i="103"/>
  <c r="BB9" i="103"/>
  <c r="BB57" i="103"/>
  <c r="BB74" i="103"/>
  <c r="BO274" i="88"/>
  <c r="L266" i="84" s="1"/>
  <c r="K266" i="84"/>
  <c r="R266" i="84" s="1"/>
  <c r="BO185" i="88"/>
  <c r="L177" i="84" s="1"/>
  <c r="K177" i="84"/>
  <c r="R177" i="84" s="1"/>
  <c r="BO82" i="88"/>
  <c r="L74" i="84" s="1"/>
  <c r="K74" i="84"/>
  <c r="BO26" i="88"/>
  <c r="L18" i="84" s="1"/>
  <c r="K18" i="84"/>
  <c r="BB86" i="103"/>
  <c r="BB20" i="103"/>
  <c r="BB15" i="103"/>
  <c r="BB126" i="103"/>
  <c r="BB24" i="103"/>
  <c r="BB76" i="103"/>
  <c r="BB7" i="103"/>
  <c r="BB111" i="103"/>
  <c r="BB101" i="103"/>
  <c r="BB123" i="103"/>
  <c r="BB115" i="103"/>
  <c r="BB124" i="103"/>
  <c r="BB117" i="103"/>
  <c r="BB63" i="103"/>
  <c r="BB122" i="103"/>
  <c r="BB146" i="103"/>
  <c r="BB46" i="103"/>
  <c r="BB145" i="103"/>
  <c r="BB55" i="103"/>
  <c r="BB78" i="103"/>
  <c r="BB47" i="103"/>
  <c r="BB147" i="103"/>
  <c r="BB81" i="103"/>
  <c r="BB102" i="103"/>
  <c r="BB64" i="103"/>
  <c r="BB96" i="103"/>
  <c r="BB4" i="103"/>
  <c r="BB130" i="103"/>
  <c r="BB143" i="103"/>
  <c r="BB44" i="103"/>
  <c r="BB80" i="103"/>
  <c r="BB121" i="103"/>
  <c r="BB152" i="103"/>
  <c r="BB10" i="103"/>
  <c r="BB39" i="103"/>
  <c r="Q45" i="84"/>
  <c r="Q19" i="84"/>
  <c r="BB14" i="103"/>
  <c r="BB23" i="103"/>
  <c r="BB75" i="103"/>
  <c r="BB8" i="103"/>
  <c r="BB89" i="103"/>
  <c r="BB100" i="103"/>
  <c r="BB56" i="103"/>
  <c r="BO276" i="88"/>
  <c r="L268" i="84" s="1"/>
  <c r="K268" i="84"/>
  <c r="BO193" i="88"/>
  <c r="L185" i="84" s="1"/>
  <c r="K185" i="84"/>
  <c r="S68" i="84"/>
  <c r="Q47" i="84"/>
  <c r="Q94" i="84"/>
  <c r="Q63" i="84"/>
  <c r="Q24" i="84"/>
  <c r="S12" i="84"/>
  <c r="Q12" i="84"/>
  <c r="S67" i="84"/>
  <c r="BB92" i="103"/>
  <c r="BB116" i="103"/>
  <c r="S54" i="84"/>
  <c r="Q54" i="84"/>
  <c r="S73" i="84"/>
  <c r="S103" i="84"/>
  <c r="Q103" i="84"/>
  <c r="Q229" i="84"/>
  <c r="S133" i="84"/>
  <c r="Q133" i="84"/>
  <c r="Q95" i="84"/>
  <c r="Q151" i="84"/>
  <c r="Q181" i="84"/>
  <c r="Q137" i="84"/>
  <c r="Q146" i="84"/>
  <c r="Q165" i="84"/>
  <c r="BB118" i="103"/>
  <c r="Q143" i="84"/>
  <c r="BB87" i="103"/>
  <c r="Q213" i="84"/>
  <c r="BB59" i="103"/>
  <c r="Q75" i="84"/>
  <c r="Q221" i="84"/>
  <c r="Q130" i="84"/>
  <c r="Q252" i="84"/>
  <c r="Q254" i="84"/>
  <c r="S254" i="84"/>
  <c r="Q257" i="84"/>
  <c r="Q261" i="84"/>
  <c r="BO110" i="88"/>
  <c r="L102" i="84" s="1"/>
  <c r="K102" i="84"/>
  <c r="BO92" i="88"/>
  <c r="L84" i="84" s="1"/>
  <c r="K84" i="84"/>
  <c r="BO272" i="88"/>
  <c r="L264" i="84" s="1"/>
  <c r="K264" i="84"/>
  <c r="R264" i="84" s="1"/>
  <c r="BO146" i="88"/>
  <c r="L138" i="84" s="1"/>
  <c r="K138" i="84"/>
  <c r="BO94" i="88"/>
  <c r="L86" i="84" s="1"/>
  <c r="K86" i="84"/>
  <c r="BO80" i="88"/>
  <c r="L72" i="84" s="1"/>
  <c r="K72" i="84"/>
  <c r="BO42" i="88"/>
  <c r="L34" i="84" s="1"/>
  <c r="K34" i="84"/>
  <c r="BO16" i="88"/>
  <c r="L8" i="84" s="1"/>
  <c r="K8" i="84"/>
  <c r="BO531" i="88"/>
  <c r="J251" i="84" s="1"/>
  <c r="BP531" i="88"/>
  <c r="I251" i="84" s="1"/>
  <c r="Q251" i="84" s="1"/>
  <c r="BO514" i="88"/>
  <c r="J234" i="84" s="1"/>
  <c r="BP514" i="88"/>
  <c r="I234" i="84" s="1"/>
  <c r="Q234" i="84" s="1"/>
  <c r="BP489" i="88"/>
  <c r="I209" i="84" s="1"/>
  <c r="Q209" i="84" s="1"/>
  <c r="BO489" i="88"/>
  <c r="J209" i="84" s="1"/>
  <c r="BO472" i="88"/>
  <c r="J192" i="84" s="1"/>
  <c r="BP472" i="88"/>
  <c r="I192" i="84" s="1"/>
  <c r="Q192" i="84" s="1"/>
  <c r="BO444" i="88"/>
  <c r="J164" i="84" s="1"/>
  <c r="BP444" i="88"/>
  <c r="I164" i="84" s="1"/>
  <c r="Q164" i="84" s="1"/>
  <c r="BO440" i="88"/>
  <c r="J160" i="84" s="1"/>
  <c r="BP440" i="88"/>
  <c r="I160" i="84" s="1"/>
  <c r="Q160" i="84" s="1"/>
  <c r="BP415" i="88"/>
  <c r="I135" i="84" s="1"/>
  <c r="Q135" i="84" s="1"/>
  <c r="BO415" i="88"/>
  <c r="J135" i="84" s="1"/>
  <c r="BO397" i="88"/>
  <c r="J117" i="84" s="1"/>
  <c r="BP397" i="88"/>
  <c r="I117" i="84" s="1"/>
  <c r="Q117" i="84" s="1"/>
  <c r="BO387" i="88"/>
  <c r="J107" i="84" s="1"/>
  <c r="BP387" i="88"/>
  <c r="I107" i="84" s="1"/>
  <c r="Q107" i="84" s="1"/>
  <c r="BO378" i="88"/>
  <c r="J98" i="84" s="1"/>
  <c r="BP378" i="88"/>
  <c r="I98" i="84" s="1"/>
  <c r="Q98" i="84" s="1"/>
  <c r="BO360" i="88"/>
  <c r="J80" i="84" s="1"/>
  <c r="BP360" i="88"/>
  <c r="I80" i="84" s="1"/>
  <c r="Q80" i="84" s="1"/>
  <c r="BO548" i="88"/>
  <c r="J268" i="84" s="1"/>
  <c r="BP548" i="88"/>
  <c r="I268" i="84" s="1"/>
  <c r="Q268" i="84" s="1"/>
  <c r="BO536" i="88"/>
  <c r="J256" i="84" s="1"/>
  <c r="BP536" i="88"/>
  <c r="I256" i="84" s="1"/>
  <c r="Q256" i="84" s="1"/>
  <c r="BP457" i="88"/>
  <c r="I177" i="84" s="1"/>
  <c r="Q177" i="84" s="1"/>
  <c r="BO457" i="88"/>
  <c r="J177" i="84" s="1"/>
  <c r="BP454" i="88"/>
  <c r="I174" i="84" s="1"/>
  <c r="Q174" i="84" s="1"/>
  <c r="BO454" i="88"/>
  <c r="J174" i="84" s="1"/>
  <c r="BO437" i="88"/>
  <c r="J157" i="84" s="1"/>
  <c r="BP437" i="88"/>
  <c r="I157" i="84" s="1"/>
  <c r="Q157" i="84" s="1"/>
  <c r="BO433" i="88"/>
  <c r="J153" i="84" s="1"/>
  <c r="BP433" i="88"/>
  <c r="I153" i="84" s="1"/>
  <c r="Q153" i="84" s="1"/>
  <c r="BO424" i="88"/>
  <c r="J144" i="84" s="1"/>
  <c r="BP424" i="88"/>
  <c r="I144" i="84" s="1"/>
  <c r="Q144" i="84" s="1"/>
  <c r="Q29" i="84"/>
  <c r="Q38" i="84"/>
  <c r="Q78" i="84"/>
  <c r="Q14" i="84"/>
  <c r="BP533" i="88"/>
  <c r="I253" i="84" s="1"/>
  <c r="Q253" i="84" s="1"/>
  <c r="BO533" i="88"/>
  <c r="J253" i="84" s="1"/>
  <c r="BP521" i="88"/>
  <c r="I241" i="84" s="1"/>
  <c r="Q241" i="84" s="1"/>
  <c r="BO521" i="88"/>
  <c r="J241" i="84" s="1"/>
  <c r="BO504" i="88"/>
  <c r="J224" i="84" s="1"/>
  <c r="BP504" i="88"/>
  <c r="I224" i="84" s="1"/>
  <c r="Q224" i="84" s="1"/>
  <c r="BO482" i="88"/>
  <c r="J202" i="84" s="1"/>
  <c r="BP482" i="88"/>
  <c r="I202" i="84" s="1"/>
  <c r="Q202" i="84" s="1"/>
  <c r="BP449" i="88"/>
  <c r="I169" i="84" s="1"/>
  <c r="Q169" i="84" s="1"/>
  <c r="BO449" i="88"/>
  <c r="J169" i="84" s="1"/>
  <c r="BP446" i="88"/>
  <c r="I166" i="84" s="1"/>
  <c r="Q166" i="84" s="1"/>
  <c r="BO446" i="88"/>
  <c r="J166" i="84" s="1"/>
  <c r="BO442" i="88"/>
  <c r="J162" i="84" s="1"/>
  <c r="BP442" i="88"/>
  <c r="I162" i="84" s="1"/>
  <c r="Q162" i="84" s="1"/>
  <c r="BP399" i="88"/>
  <c r="I119" i="84" s="1"/>
  <c r="Q119" i="84" s="1"/>
  <c r="BO399" i="88"/>
  <c r="J119" i="84" s="1"/>
  <c r="BO389" i="88"/>
  <c r="J109" i="84" s="1"/>
  <c r="BP389" i="88"/>
  <c r="I109" i="84" s="1"/>
  <c r="Q109" i="84" s="1"/>
  <c r="BO385" i="88"/>
  <c r="J105" i="84" s="1"/>
  <c r="BP385" i="88"/>
  <c r="I105" i="84" s="1"/>
  <c r="Q105" i="84" s="1"/>
  <c r="BO380" i="88"/>
  <c r="J100" i="84" s="1"/>
  <c r="BP380" i="88"/>
  <c r="I100" i="84" s="1"/>
  <c r="Q100" i="84" s="1"/>
  <c r="BO350" i="88"/>
  <c r="J70" i="84" s="1"/>
  <c r="BP350" i="88"/>
  <c r="I70" i="84" s="1"/>
  <c r="Q70" i="84" s="1"/>
  <c r="Q79" i="84"/>
  <c r="BO74" i="88"/>
  <c r="L66" i="84" s="1"/>
  <c r="K66" i="84"/>
  <c r="R66" i="84" s="1"/>
  <c r="BO63" i="88"/>
  <c r="L55" i="84" s="1"/>
  <c r="K55" i="84"/>
  <c r="BO543" i="88"/>
  <c r="J263" i="84" s="1"/>
  <c r="BO546" i="88"/>
  <c r="J266" i="84" s="1"/>
  <c r="BP546" i="88"/>
  <c r="I266" i="84" s="1"/>
  <c r="Q266" i="84" s="1"/>
  <c r="BP497" i="88"/>
  <c r="I217" i="84" s="1"/>
  <c r="Q217" i="84" s="1"/>
  <c r="BO497" i="88"/>
  <c r="J217" i="84" s="1"/>
  <c r="BP494" i="88"/>
  <c r="I214" i="84" s="1"/>
  <c r="Q214" i="84" s="1"/>
  <c r="BO494" i="88"/>
  <c r="J214" i="84" s="1"/>
  <c r="BP479" i="88"/>
  <c r="I199" i="84" s="1"/>
  <c r="Q199" i="84" s="1"/>
  <c r="BO479" i="88"/>
  <c r="J199" i="84" s="1"/>
  <c r="BO435" i="88"/>
  <c r="J155" i="84" s="1"/>
  <c r="BP435" i="88"/>
  <c r="I155" i="84" s="1"/>
  <c r="Q155" i="84" s="1"/>
  <c r="S157" i="84"/>
  <c r="W112" i="104"/>
  <c r="U154" i="104"/>
  <c r="Z154" i="104"/>
  <c r="AB154" i="104" s="1"/>
  <c r="M258" i="84" s="1"/>
  <c r="U98" i="104"/>
  <c r="S129" i="84" s="1"/>
  <c r="Z98" i="104"/>
  <c r="AB98" i="104" s="1"/>
  <c r="M129" i="84" s="1"/>
  <c r="Z11" i="104"/>
  <c r="Z56" i="104"/>
  <c r="U38" i="104"/>
  <c r="S47" i="84" s="1"/>
  <c r="U72" i="104"/>
  <c r="S91" i="84" s="1"/>
  <c r="Z72" i="104"/>
  <c r="AB72" i="104" s="1"/>
  <c r="M91" i="84" s="1"/>
  <c r="U28" i="104"/>
  <c r="S33" i="84" s="1"/>
  <c r="Z28" i="104"/>
  <c r="AB28" i="104" s="1"/>
  <c r="M33" i="84" s="1"/>
  <c r="Z96" i="104"/>
  <c r="Z21" i="104"/>
  <c r="AB21" i="104" s="1"/>
  <c r="M25" i="84" s="1"/>
  <c r="U21" i="104"/>
  <c r="S25" i="84" s="1"/>
  <c r="Z169" i="104"/>
  <c r="E78" i="93"/>
  <c r="BP515" i="88"/>
  <c r="I235" i="84" s="1"/>
  <c r="Q235" i="84" s="1"/>
  <c r="BO473" i="88"/>
  <c r="J193" i="84" s="1"/>
  <c r="BO537" i="88"/>
  <c r="J257" i="84" s="1"/>
  <c r="BP483" i="88"/>
  <c r="I203" i="84" s="1"/>
  <c r="Q203" i="84" s="1"/>
  <c r="BP547" i="88"/>
  <c r="I267" i="84" s="1"/>
  <c r="Q267" i="84" s="1"/>
  <c r="BO293" i="88"/>
  <c r="J13" i="84" s="1"/>
  <c r="BO407" i="88"/>
  <c r="J127" i="84" s="1"/>
  <c r="BO325" i="88"/>
  <c r="J45" i="84" s="1"/>
  <c r="BO342" i="88"/>
  <c r="J62" i="84" s="1"/>
  <c r="BP441" i="88"/>
  <c r="I161" i="84" s="1"/>
  <c r="Q161" i="84" s="1"/>
  <c r="BO309" i="88"/>
  <c r="J29" i="84" s="1"/>
  <c r="BO381" i="88"/>
  <c r="J101" i="84" s="1"/>
  <c r="BP425" i="88"/>
  <c r="I145" i="84" s="1"/>
  <c r="Q145" i="84" s="1"/>
  <c r="BO322" i="88"/>
  <c r="J42" i="84" s="1"/>
  <c r="BQ829" i="88"/>
  <c r="BO829" i="88"/>
  <c r="W167" i="104"/>
  <c r="W110" i="104"/>
  <c r="S179" i="84"/>
  <c r="W133" i="104"/>
  <c r="Z140" i="104"/>
  <c r="S170" i="84"/>
  <c r="W124" i="104"/>
  <c r="W71" i="104"/>
  <c r="U26" i="104"/>
  <c r="Z26" i="104"/>
  <c r="AB26" i="104" s="1"/>
  <c r="M23" i="84" s="1"/>
  <c r="U157" i="104"/>
  <c r="S224" i="84" s="1"/>
  <c r="U192" i="104"/>
  <c r="S256" i="84" s="1"/>
  <c r="Z192" i="104"/>
  <c r="AB192" i="104" s="1"/>
  <c r="M256" i="84" s="1"/>
  <c r="S210" i="84"/>
  <c r="W158" i="104"/>
  <c r="U67" i="104"/>
  <c r="S77" i="84" s="1"/>
  <c r="Z67" i="104"/>
  <c r="AB67" i="104" s="1"/>
  <c r="M77" i="84" s="1"/>
  <c r="Z33" i="104"/>
  <c r="Z147" i="104"/>
  <c r="AB147" i="104" s="1"/>
  <c r="M131" i="84" s="1"/>
  <c r="W147" i="104"/>
  <c r="S244" i="84"/>
  <c r="W181" i="104"/>
  <c r="S118" i="84"/>
  <c r="W89" i="104"/>
  <c r="S242" i="84"/>
  <c r="W179" i="104"/>
  <c r="U35" i="104"/>
  <c r="Z35" i="104"/>
  <c r="AB35" i="104" s="1"/>
  <c r="M21" i="84" s="1"/>
  <c r="BP332" i="88"/>
  <c r="I52" i="84" s="1"/>
  <c r="Q52" i="84" s="1"/>
  <c r="BP330" i="88"/>
  <c r="I50" i="84" s="1"/>
  <c r="Q50" i="84" s="1"/>
  <c r="BP291" i="88"/>
  <c r="I11" i="84" s="1"/>
  <c r="Q11" i="84" s="1"/>
  <c r="BP323" i="88"/>
  <c r="I43" i="84" s="1"/>
  <c r="Q43" i="84" s="1"/>
  <c r="BP339" i="88"/>
  <c r="I59" i="84" s="1"/>
  <c r="Q59" i="84" s="1"/>
  <c r="BP341" i="88"/>
  <c r="I61" i="84" s="1"/>
  <c r="Q61" i="84" s="1"/>
  <c r="BP321" i="88"/>
  <c r="I41" i="84" s="1"/>
  <c r="Q41" i="84" s="1"/>
  <c r="BP337" i="88"/>
  <c r="I57" i="84" s="1"/>
  <c r="Q57" i="84" s="1"/>
  <c r="BO1026" i="88"/>
  <c r="Z38" i="104"/>
  <c r="AB38" i="104" s="1"/>
  <c r="M47" i="84" s="1"/>
  <c r="U12" i="104"/>
  <c r="S9" i="84" s="1"/>
  <c r="U201" i="104"/>
  <c r="S270" i="84" s="1"/>
  <c r="Z201" i="104"/>
  <c r="AB201" i="104" s="1"/>
  <c r="M270" i="84" s="1"/>
  <c r="U164" i="104"/>
  <c r="S226" i="84" s="1"/>
  <c r="Z164" i="104"/>
  <c r="AB164" i="104" s="1"/>
  <c r="M226" i="84" s="1"/>
  <c r="S84" i="84"/>
  <c r="W119" i="104"/>
  <c r="W138" i="104"/>
  <c r="W130" i="104"/>
  <c r="U61" i="104"/>
  <c r="S72" i="84" s="1"/>
  <c r="U142" i="104"/>
  <c r="S191" i="84" s="1"/>
  <c r="U32" i="104"/>
  <c r="S36" i="84" s="1"/>
  <c r="Z32" i="104"/>
  <c r="AB32" i="104" s="1"/>
  <c r="M36" i="84" s="1"/>
  <c r="W27" i="104"/>
  <c r="U193" i="104"/>
  <c r="S255" i="84" s="1"/>
  <c r="S268" i="84"/>
  <c r="W168" i="104"/>
  <c r="U125" i="104"/>
  <c r="S165" i="84" s="1"/>
  <c r="W81" i="104"/>
  <c r="Z81" i="104"/>
  <c r="AB81" i="104" s="1"/>
  <c r="M99" i="84" s="1"/>
  <c r="BQ999" i="88"/>
  <c r="U43" i="104"/>
  <c r="S45" i="84" s="1"/>
  <c r="Z196" i="104"/>
  <c r="W177" i="104"/>
  <c r="W105" i="104"/>
  <c r="S184" i="84"/>
  <c r="W127" i="104"/>
  <c r="U95" i="104"/>
  <c r="S123" i="84" s="1"/>
  <c r="S205" i="84"/>
  <c r="W146" i="104"/>
  <c r="S117" i="84"/>
  <c r="W88" i="104"/>
  <c r="S14" i="84"/>
  <c r="W14" i="104"/>
  <c r="S183" i="84"/>
  <c r="S94" i="84"/>
  <c r="W76" i="104"/>
  <c r="Z94" i="104"/>
  <c r="W30" i="104"/>
  <c r="U104" i="104"/>
  <c r="Z104" i="104"/>
  <c r="AB104" i="104" s="1"/>
  <c r="M146" i="84" s="1"/>
  <c r="U20" i="104"/>
  <c r="Z20" i="104"/>
  <c r="AB20" i="104" s="1"/>
  <c r="M27" i="84" s="1"/>
  <c r="Z83" i="104"/>
  <c r="Z113" i="104"/>
  <c r="AB113" i="104" s="1"/>
  <c r="M163" i="84" s="1"/>
  <c r="U113" i="104"/>
  <c r="S163" i="84" s="1"/>
  <c r="W42" i="104"/>
  <c r="W10" i="104"/>
  <c r="W195" i="104"/>
  <c r="W137" i="104"/>
  <c r="W132" i="104"/>
  <c r="W34" i="104"/>
  <c r="W171" i="104"/>
  <c r="Z62" i="104"/>
  <c r="AB62" i="104" s="1"/>
  <c r="M216" i="84" s="1"/>
  <c r="W41" i="104"/>
  <c r="Z42" i="104"/>
  <c r="AB42" i="104" s="1"/>
  <c r="M44" i="84" s="1"/>
  <c r="W116" i="104"/>
  <c r="Z117" i="104"/>
  <c r="AB117" i="104" s="1"/>
  <c r="M172" i="84" s="1"/>
  <c r="W77" i="104"/>
  <c r="Z199" i="104"/>
  <c r="AB199" i="104" s="1"/>
  <c r="M267" i="84" s="1"/>
  <c r="U131" i="104"/>
  <c r="S180" i="84" s="1"/>
  <c r="W136" i="104"/>
  <c r="W160" i="104"/>
  <c r="U49" i="104"/>
  <c r="S46" i="84" s="1"/>
  <c r="U97" i="104"/>
  <c r="S126" i="84" s="1"/>
  <c r="Z27" i="104"/>
  <c r="AB27" i="104" s="1"/>
  <c r="M37" i="84" s="1"/>
  <c r="Z29" i="104"/>
  <c r="Z65" i="104"/>
  <c r="I101" i="93"/>
  <c r="W75" i="104"/>
  <c r="W55" i="104"/>
  <c r="W170" i="104"/>
  <c r="W63" i="104"/>
  <c r="W199" i="104"/>
  <c r="Z54" i="104"/>
  <c r="W180" i="104"/>
  <c r="W86" i="104"/>
  <c r="Z118" i="104"/>
  <c r="AB118" i="104" s="1"/>
  <c r="M159" i="84" s="1"/>
  <c r="W46" i="104"/>
  <c r="Z63" i="104"/>
  <c r="AB63" i="104" s="1"/>
  <c r="M93" i="84" s="1"/>
  <c r="Z55" i="104"/>
  <c r="AB55" i="104" s="1"/>
  <c r="W117" i="104"/>
  <c r="Z136" i="104"/>
  <c r="AB136" i="104" s="1"/>
  <c r="M187" i="84" s="1"/>
  <c r="Z170" i="104"/>
  <c r="AB170" i="104" s="1"/>
  <c r="M143" i="84" s="1"/>
  <c r="W200" i="104"/>
  <c r="Z17" i="104"/>
  <c r="Z89" i="104"/>
  <c r="AB89" i="104" s="1"/>
  <c r="M118" i="84" s="1"/>
  <c r="I41" i="93"/>
  <c r="I44" i="93"/>
  <c r="I43" i="93"/>
  <c r="I42" i="93"/>
  <c r="I145" i="93"/>
  <c r="I132" i="93"/>
  <c r="C158" i="63" s="1"/>
  <c r="D158" i="63" s="1"/>
  <c r="I137" i="93"/>
  <c r="C159" i="63" s="1"/>
  <c r="D159" i="63" s="1"/>
  <c r="I142" i="93"/>
  <c r="C160" i="63" s="1"/>
  <c r="D160" i="63" s="1"/>
  <c r="I146" i="93"/>
  <c r="I130" i="93"/>
  <c r="C150" i="63" s="1"/>
  <c r="D150" i="63" s="1"/>
  <c r="I131" i="93"/>
  <c r="I140" i="93"/>
  <c r="C154" i="63" s="1"/>
  <c r="D154" i="63" s="1"/>
  <c r="E154" i="63" s="1"/>
  <c r="I141" i="93"/>
  <c r="I129" i="93"/>
  <c r="I136" i="93"/>
  <c r="G7" i="99"/>
  <c r="G8" i="99"/>
  <c r="G12" i="99"/>
  <c r="G16" i="99"/>
  <c r="G11" i="99"/>
  <c r="W22" i="104" l="1"/>
  <c r="W19" i="104"/>
  <c r="F49" i="63"/>
  <c r="C50" i="63"/>
  <c r="C53" i="63"/>
  <c r="B20" i="93"/>
  <c r="B22" i="93"/>
  <c r="G13" i="90"/>
  <c r="E168" i="93"/>
  <c r="I168" i="93" s="1"/>
  <c r="D103" i="63"/>
  <c r="C23" i="93"/>
  <c r="D105" i="63"/>
  <c r="D102" i="63"/>
  <c r="D104" i="63"/>
  <c r="C111" i="63"/>
  <c r="G271" i="84"/>
  <c r="P271" i="84" s="1"/>
  <c r="E63" i="47"/>
  <c r="D63" i="47"/>
  <c r="D72" i="47" s="1"/>
  <c r="W31" i="104"/>
  <c r="W126" i="104"/>
  <c r="W93" i="104"/>
  <c r="W151" i="104"/>
  <c r="AE13" i="104"/>
  <c r="M56" i="84" s="1"/>
  <c r="W161" i="104"/>
  <c r="S128" i="84"/>
  <c r="W182" i="104"/>
  <c r="P15" i="84"/>
  <c r="E13" i="97"/>
  <c r="H8" i="97" s="1"/>
  <c r="I271" i="84"/>
  <c r="Q271" i="84" s="1"/>
  <c r="S265" i="84"/>
  <c r="C24" i="63"/>
  <c r="C17" i="63"/>
  <c r="C19" i="63" s="1"/>
  <c r="E98" i="93" s="1"/>
  <c r="I98" i="93" s="1"/>
  <c r="D102" i="93" s="1"/>
  <c r="W67" i="104"/>
  <c r="W98" i="104"/>
  <c r="W21" i="104"/>
  <c r="W28" i="104"/>
  <c r="W72" i="104"/>
  <c r="W61" i="104"/>
  <c r="W164" i="104"/>
  <c r="W193" i="104"/>
  <c r="W142" i="104"/>
  <c r="W97" i="104"/>
  <c r="W192" i="104"/>
  <c r="W32" i="104"/>
  <c r="W12" i="104"/>
  <c r="C42" i="63"/>
  <c r="I78" i="93"/>
  <c r="T15" i="48"/>
  <c r="X15" i="48" s="1"/>
  <c r="AM14" i="48" s="1"/>
  <c r="AN14" i="48"/>
  <c r="I103" i="93"/>
  <c r="T62" i="45"/>
  <c r="T108" i="45"/>
  <c r="C41" i="63"/>
  <c r="T103" i="45"/>
  <c r="T65" i="45"/>
  <c r="T51" i="45"/>
  <c r="D60" i="47"/>
  <c r="E60" i="47"/>
  <c r="C8" i="97"/>
  <c r="T102" i="45"/>
  <c r="T105" i="45"/>
  <c r="T104" i="45"/>
  <c r="T63" i="45"/>
  <c r="T64" i="45"/>
  <c r="E165" i="93"/>
  <c r="I165" i="93" s="1"/>
  <c r="C40" i="63"/>
  <c r="D151" i="63"/>
  <c r="C151" i="63"/>
  <c r="C144" i="63"/>
  <c r="C9" i="97"/>
  <c r="S27" i="84"/>
  <c r="W20" i="104"/>
  <c r="S146" i="84"/>
  <c r="W104" i="104"/>
  <c r="AE9" i="104"/>
  <c r="U54" i="104" s="1"/>
  <c r="W54" i="104" s="1"/>
  <c r="S21" i="84"/>
  <c r="W35" i="104"/>
  <c r="W43" i="104"/>
  <c r="K271" i="84"/>
  <c r="D153" i="63"/>
  <c r="I15" i="97" s="1"/>
  <c r="C153" i="63"/>
  <c r="C145" i="63"/>
  <c r="C10" i="97"/>
  <c r="C11" i="97"/>
  <c r="C142" i="63"/>
  <c r="C7" i="97"/>
  <c r="W113" i="104"/>
  <c r="W49" i="104"/>
  <c r="W125" i="104"/>
  <c r="S23" i="84"/>
  <c r="W26" i="104"/>
  <c r="AE11" i="104"/>
  <c r="AB83" i="104" s="1"/>
  <c r="M102" i="84" s="1"/>
  <c r="W38" i="104"/>
  <c r="S258" i="84"/>
  <c r="W154" i="104"/>
  <c r="F114" i="48"/>
  <c r="G275" i="84"/>
  <c r="P275" i="84" s="1"/>
  <c r="AE12" i="104"/>
  <c r="AB196" i="104" s="1"/>
  <c r="M259" i="84" s="1"/>
  <c r="W131" i="104"/>
  <c r="C141" i="63"/>
  <c r="C6" i="97"/>
  <c r="C147" i="63"/>
  <c r="C12" i="97"/>
  <c r="D155" i="63"/>
  <c r="I16" i="97" s="1"/>
  <c r="C155" i="63"/>
  <c r="E150" i="63"/>
  <c r="W95" i="104"/>
  <c r="W201" i="104"/>
  <c r="W157" i="104"/>
  <c r="AB39" i="104" l="1"/>
  <c r="M40" i="84" s="1"/>
  <c r="U16" i="104"/>
  <c r="AB189" i="104"/>
  <c r="M13" i="84" s="1"/>
  <c r="U24" i="104"/>
  <c r="AB152" i="104"/>
  <c r="M130" i="84" s="1"/>
  <c r="U135" i="104"/>
  <c r="U92" i="104"/>
  <c r="AB135" i="104"/>
  <c r="M182" i="84" s="1"/>
  <c r="U189" i="104"/>
  <c r="AB53" i="104"/>
  <c r="M59" i="84" s="1"/>
  <c r="S204" i="84"/>
  <c r="S57" i="84"/>
  <c r="S98" i="84"/>
  <c r="S142" i="84"/>
  <c r="AB90" i="104"/>
  <c r="M116" i="84" s="1"/>
  <c r="U163" i="104"/>
  <c r="S230" i="84"/>
  <c r="M169" i="84"/>
  <c r="M230" i="84"/>
  <c r="M7" i="84"/>
  <c r="U53" i="104"/>
  <c r="M113" i="84"/>
  <c r="U99" i="104"/>
  <c r="M233" i="84"/>
  <c r="U156" i="104"/>
  <c r="M57" i="84"/>
  <c r="AB65" i="104"/>
  <c r="M76" i="84" s="1"/>
  <c r="AB129" i="104"/>
  <c r="M181" i="84" s="1"/>
  <c r="U120" i="104"/>
  <c r="U129" i="104"/>
  <c r="U84" i="104"/>
  <c r="U90" i="104"/>
  <c r="U11" i="104"/>
  <c r="U145" i="104"/>
  <c r="U139" i="104"/>
  <c r="U169" i="104"/>
  <c r="S89" i="84"/>
  <c r="S260" i="84"/>
  <c r="S43" i="84"/>
  <c r="S169" i="84"/>
  <c r="S7" i="84"/>
  <c r="U152" i="104"/>
  <c r="S96" i="84"/>
  <c r="AB144" i="104"/>
  <c r="M195" i="84" s="1"/>
  <c r="U65" i="104"/>
  <c r="S152" i="84"/>
  <c r="U114" i="104"/>
  <c r="M83" i="84"/>
  <c r="AB70" i="104"/>
  <c r="M82" i="84" s="1"/>
  <c r="AB156" i="104"/>
  <c r="M217" i="84" s="1"/>
  <c r="U74" i="104"/>
  <c r="M101" i="84"/>
  <c r="AB169" i="104"/>
  <c r="M75" i="84" s="1"/>
  <c r="AB94" i="104"/>
  <c r="M124" i="84" s="1"/>
  <c r="AB173" i="104"/>
  <c r="M228" i="84" s="1"/>
  <c r="AB91" i="104"/>
  <c r="M120" i="84" s="1"/>
  <c r="AB139" i="104"/>
  <c r="M190" i="84" s="1"/>
  <c r="AB24" i="104"/>
  <c r="M22" i="84" s="1"/>
  <c r="U102" i="104"/>
  <c r="AB163" i="104"/>
  <c r="M213" i="84" s="1"/>
  <c r="AB84" i="104"/>
  <c r="M106" i="84" s="1"/>
  <c r="AB102" i="104"/>
  <c r="M150" i="84" s="1"/>
  <c r="AB92" i="104"/>
  <c r="M121" i="84" s="1"/>
  <c r="U108" i="104"/>
  <c r="S261" i="84"/>
  <c r="S197" i="84"/>
  <c r="S233" i="84"/>
  <c r="S83" i="84"/>
  <c r="AB16" i="104"/>
  <c r="M18" i="84" s="1"/>
  <c r="M260" i="84"/>
  <c r="AB50" i="104"/>
  <c r="M104" i="84" s="1"/>
  <c r="AB99" i="104"/>
  <c r="M132" i="84" s="1"/>
  <c r="M152" i="84"/>
  <c r="U174" i="104"/>
  <c r="M261" i="84"/>
  <c r="M96" i="84"/>
  <c r="U50" i="104"/>
  <c r="M89" i="84"/>
  <c r="M142" i="84"/>
  <c r="M151" i="84"/>
  <c r="AB11" i="104"/>
  <c r="M11" i="84" s="1"/>
  <c r="AB17" i="104"/>
  <c r="M19" i="84" s="1"/>
  <c r="AB56" i="104"/>
  <c r="M63" i="84" s="1"/>
  <c r="AB107" i="104"/>
  <c r="M148" i="84" s="1"/>
  <c r="AB165" i="104"/>
  <c r="M227" i="84" s="1"/>
  <c r="U94" i="104"/>
  <c r="U173" i="104"/>
  <c r="AB114" i="104"/>
  <c r="M164" i="84" s="1"/>
  <c r="AB74" i="104"/>
  <c r="M60" i="84" s="1"/>
  <c r="AB120" i="104"/>
  <c r="M154" i="84" s="1"/>
  <c r="AB145" i="104"/>
  <c r="M199" i="84" s="1"/>
  <c r="U165" i="104"/>
  <c r="S227" i="84" s="1"/>
  <c r="AB174" i="104"/>
  <c r="M42" i="84" s="1"/>
  <c r="S113" i="84"/>
  <c r="S101" i="84"/>
  <c r="S177" i="84"/>
  <c r="S151" i="84"/>
  <c r="AB108" i="104"/>
  <c r="M149" i="84" s="1"/>
  <c r="U56" i="104"/>
  <c r="S32" i="84"/>
  <c r="U107" i="104"/>
  <c r="AB190" i="104"/>
  <c r="M86" i="84" s="1"/>
  <c r="U91" i="104"/>
  <c r="U144" i="104"/>
  <c r="S195" i="84" s="1"/>
  <c r="M204" i="84"/>
  <c r="U190" i="104"/>
  <c r="M43" i="84"/>
  <c r="U70" i="104"/>
  <c r="M98" i="84"/>
  <c r="G273" i="84"/>
  <c r="P273" i="84" s="1"/>
  <c r="U39" i="104"/>
  <c r="M197" i="84"/>
  <c r="M32" i="84"/>
  <c r="U17" i="104"/>
  <c r="M177" i="84"/>
  <c r="G274" i="84"/>
  <c r="P274" i="84" s="1"/>
  <c r="G272" i="84"/>
  <c r="P272" i="84" s="1"/>
  <c r="S56" i="84"/>
  <c r="C110" i="63"/>
  <c r="D205" i="76" s="1"/>
  <c r="D103" i="93"/>
  <c r="D101" i="93"/>
  <c r="L49" i="48"/>
  <c r="L28" i="48"/>
  <c r="L84" i="48"/>
  <c r="D12" i="97"/>
  <c r="E11" i="97"/>
  <c r="H6" i="97" s="1"/>
  <c r="C160" i="93"/>
  <c r="D11" i="97"/>
  <c r="E10" i="97"/>
  <c r="D10" i="97"/>
  <c r="D8" i="97"/>
  <c r="E8" i="97"/>
  <c r="E6" i="97"/>
  <c r="D6" i="97"/>
  <c r="D9" i="97"/>
  <c r="E9" i="97"/>
  <c r="E7" i="97"/>
  <c r="D7" i="97"/>
  <c r="E12" i="97"/>
  <c r="C25" i="63"/>
  <c r="R271" i="84"/>
  <c r="D9" i="47"/>
  <c r="D12" i="47" s="1"/>
  <c r="S198" i="84"/>
  <c r="AB54" i="104"/>
  <c r="M198" i="84" s="1"/>
  <c r="D135" i="99"/>
  <c r="D246" i="99"/>
  <c r="D25" i="99"/>
  <c r="D241" i="99"/>
  <c r="D159" i="99"/>
  <c r="D185" i="99"/>
  <c r="D155" i="99"/>
  <c r="D70" i="99"/>
  <c r="D256" i="99"/>
  <c r="D351" i="99"/>
  <c r="D329" i="99"/>
  <c r="D139" i="99"/>
  <c r="D212" i="99"/>
  <c r="D105" i="99"/>
  <c r="D14" i="99"/>
  <c r="D23" i="99"/>
  <c r="D181" i="99"/>
  <c r="D347" i="99"/>
  <c r="D85" i="99"/>
  <c r="D144" i="99"/>
  <c r="D363" i="99"/>
  <c r="D36" i="99"/>
  <c r="D322" i="99"/>
  <c r="D332" i="99"/>
  <c r="D306" i="99"/>
  <c r="D360" i="99"/>
  <c r="D316" i="99"/>
  <c r="D283" i="99"/>
  <c r="D251" i="99"/>
  <c r="D290" i="99"/>
  <c r="D127" i="99"/>
  <c r="D47" i="99"/>
  <c r="D61" i="99"/>
  <c r="D150" i="99"/>
  <c r="D208" i="99"/>
  <c r="D209" i="99"/>
  <c r="D147" i="99"/>
  <c r="D317" i="99"/>
  <c r="D336" i="99"/>
  <c r="D299" i="99"/>
  <c r="D305" i="99"/>
  <c r="D80" i="99"/>
  <c r="D272" i="99"/>
  <c r="D292" i="99"/>
  <c r="D279" i="99"/>
  <c r="D237" i="99"/>
  <c r="D120" i="99"/>
  <c r="D82" i="99"/>
  <c r="D320" i="99"/>
  <c r="D284" i="99"/>
  <c r="D151" i="99"/>
  <c r="D236" i="99"/>
  <c r="D254" i="99"/>
  <c r="D30" i="99"/>
  <c r="D78" i="99"/>
  <c r="D372" i="99"/>
  <c r="D71" i="99"/>
  <c r="D343" i="99"/>
  <c r="D264" i="99"/>
  <c r="D285" i="99"/>
  <c r="D370" i="99"/>
  <c r="D242" i="99"/>
  <c r="D111" i="99"/>
  <c r="D165" i="99"/>
  <c r="D106" i="99"/>
  <c r="D15" i="99"/>
  <c r="D368" i="99"/>
  <c r="D296" i="99"/>
  <c r="D364" i="99"/>
  <c r="D239" i="99"/>
  <c r="D335" i="99"/>
  <c r="D263" i="99"/>
  <c r="D369" i="99"/>
  <c r="D281" i="99"/>
  <c r="D203" i="99"/>
  <c r="D366" i="99"/>
  <c r="D207" i="99"/>
  <c r="D230" i="99"/>
  <c r="D188" i="99"/>
  <c r="D99" i="99"/>
  <c r="D153" i="99"/>
  <c r="D90" i="99"/>
  <c r="D52" i="99"/>
  <c r="D12" i="99"/>
  <c r="D304" i="99"/>
  <c r="D257" i="99"/>
  <c r="D174" i="99"/>
  <c r="D219" i="99"/>
  <c r="D278" i="99"/>
  <c r="D192" i="99"/>
  <c r="D56" i="99"/>
  <c r="D352" i="99"/>
  <c r="D255" i="99"/>
  <c r="D348" i="99"/>
  <c r="D191" i="99"/>
  <c r="D327" i="99"/>
  <c r="D247" i="99"/>
  <c r="D361" i="99"/>
  <c r="D273" i="99"/>
  <c r="D187" i="99"/>
  <c r="D350" i="99"/>
  <c r="D108" i="99"/>
  <c r="D116" i="99"/>
  <c r="D164" i="99"/>
  <c r="D95" i="99"/>
  <c r="D145" i="99"/>
  <c r="D86" i="99"/>
  <c r="D13" i="99"/>
  <c r="D319" i="99"/>
  <c r="D231" i="99"/>
  <c r="D349" i="99"/>
  <c r="D268" i="99"/>
  <c r="D186" i="99"/>
  <c r="D334" i="99"/>
  <c r="D225" i="99"/>
  <c r="D115" i="99"/>
  <c r="D160" i="99"/>
  <c r="D91" i="99"/>
  <c r="D121" i="99"/>
  <c r="D67" i="99"/>
  <c r="D49" i="99"/>
  <c r="D134" i="99"/>
  <c r="D143" i="99"/>
  <c r="D324" i="99"/>
  <c r="D367" i="99"/>
  <c r="D303" i="99"/>
  <c r="D167" i="99"/>
  <c r="D345" i="99"/>
  <c r="D252" i="99"/>
  <c r="D163" i="99"/>
  <c r="D326" i="99"/>
  <c r="D217" i="99"/>
  <c r="D88" i="99"/>
  <c r="D148" i="99"/>
  <c r="D63" i="99"/>
  <c r="D117" i="99"/>
  <c r="D65" i="99"/>
  <c r="D41" i="99"/>
  <c r="D311" i="99"/>
  <c r="D248" i="99"/>
  <c r="D220" i="99"/>
  <c r="D321" i="99"/>
  <c r="D261" i="99"/>
  <c r="D202" i="99"/>
  <c r="D123" i="99"/>
  <c r="D310" i="99"/>
  <c r="D221" i="99"/>
  <c r="D226" i="99"/>
  <c r="D204" i="99"/>
  <c r="D128" i="99"/>
  <c r="D69" i="99"/>
  <c r="D161" i="99"/>
  <c r="D101" i="99"/>
  <c r="D74" i="99"/>
  <c r="D64" i="99"/>
  <c r="D29" i="99"/>
  <c r="D295" i="99"/>
  <c r="D213" i="99"/>
  <c r="D365" i="99"/>
  <c r="D301" i="99"/>
  <c r="D245" i="99"/>
  <c r="D170" i="99"/>
  <c r="D354" i="99"/>
  <c r="D286" i="99"/>
  <c r="D270" i="99"/>
  <c r="D104" i="99"/>
  <c r="D172" i="99"/>
  <c r="D118" i="99"/>
  <c r="D201" i="99"/>
  <c r="D137" i="99"/>
  <c r="D79" i="99"/>
  <c r="D51" i="99"/>
  <c r="D40" i="99"/>
  <c r="D32" i="99"/>
  <c r="D197" i="99"/>
  <c r="D125" i="99"/>
  <c r="D10" i="99"/>
  <c r="D50" i="99"/>
  <c r="D35" i="99"/>
  <c r="D28" i="99"/>
  <c r="D166" i="99"/>
  <c r="D288" i="99"/>
  <c r="D122" i="99"/>
  <c r="D300" i="99"/>
  <c r="D124" i="99"/>
  <c r="D331" i="99"/>
  <c r="D287" i="99"/>
  <c r="D233" i="99"/>
  <c r="D228" i="99"/>
  <c r="D353" i="99"/>
  <c r="D313" i="99"/>
  <c r="D269" i="99"/>
  <c r="D243" i="99"/>
  <c r="D195" i="99"/>
  <c r="D154" i="99"/>
  <c r="D358" i="99"/>
  <c r="D318" i="99"/>
  <c r="D274" i="99"/>
  <c r="D210" i="99"/>
  <c r="D238" i="99"/>
  <c r="D96" i="99"/>
  <c r="D196" i="99"/>
  <c r="D156" i="99"/>
  <c r="D119" i="99"/>
  <c r="D77" i="99"/>
  <c r="D193" i="99"/>
  <c r="D149" i="99"/>
  <c r="D109" i="99"/>
  <c r="D27" i="99"/>
  <c r="D73" i="99"/>
  <c r="D39" i="99"/>
  <c r="D48" i="99"/>
  <c r="D37" i="99"/>
  <c r="D22" i="99"/>
  <c r="D328" i="99"/>
  <c r="D224" i="99"/>
  <c r="D356" i="99"/>
  <c r="D271" i="99"/>
  <c r="D359" i="99"/>
  <c r="D315" i="99"/>
  <c r="D265" i="99"/>
  <c r="D199" i="99"/>
  <c r="D158" i="99"/>
  <c r="D337" i="99"/>
  <c r="D297" i="99"/>
  <c r="D260" i="99"/>
  <c r="D227" i="99"/>
  <c r="D179" i="99"/>
  <c r="D138" i="99"/>
  <c r="D342" i="99"/>
  <c r="D302" i="99"/>
  <c r="D92" i="99"/>
  <c r="D262" i="99"/>
  <c r="D222" i="99"/>
  <c r="D55" i="99"/>
  <c r="D180" i="99"/>
  <c r="D140" i="99"/>
  <c r="D110" i="99"/>
  <c r="D46" i="99"/>
  <c r="D177" i="99"/>
  <c r="D133" i="99"/>
  <c r="D93" i="99"/>
  <c r="D102" i="99"/>
  <c r="D59" i="99"/>
  <c r="D72" i="99"/>
  <c r="D34" i="99"/>
  <c r="D21" i="99"/>
  <c r="D20" i="99"/>
  <c r="D142" i="99"/>
  <c r="D333" i="99"/>
  <c r="D289" i="99"/>
  <c r="D259" i="99"/>
  <c r="D223" i="99"/>
  <c r="D171" i="99"/>
  <c r="D131" i="99"/>
  <c r="D338" i="99"/>
  <c r="D294" i="99"/>
  <c r="D42" i="99"/>
  <c r="D258" i="99"/>
  <c r="D214" i="99"/>
  <c r="D54" i="99"/>
  <c r="D176" i="99"/>
  <c r="D132" i="99"/>
  <c r="D107" i="99"/>
  <c r="D38" i="99"/>
  <c r="D169" i="99"/>
  <c r="D129" i="99"/>
  <c r="D89" i="99"/>
  <c r="D94" i="99"/>
  <c r="D58" i="99"/>
  <c r="D68" i="99"/>
  <c r="D18" i="99"/>
  <c r="D9" i="99"/>
  <c r="D16" i="99"/>
  <c r="D198" i="99"/>
  <c r="D344" i="99"/>
  <c r="D280" i="99"/>
  <c r="D182" i="99"/>
  <c r="D340" i="99"/>
  <c r="D276" i="99"/>
  <c r="D371" i="99"/>
  <c r="D339" i="99"/>
  <c r="D307" i="99"/>
  <c r="D275" i="99"/>
  <c r="D232" i="99"/>
  <c r="D100" i="99"/>
  <c r="D84" i="99"/>
  <c r="D341" i="99"/>
  <c r="D309" i="99"/>
  <c r="D277" i="99"/>
  <c r="D253" i="99"/>
  <c r="D235" i="99"/>
  <c r="D194" i="99"/>
  <c r="D162" i="99"/>
  <c r="D130" i="99"/>
  <c r="D346" i="99"/>
  <c r="D314" i="99"/>
  <c r="D282" i="99"/>
  <c r="D229" i="99"/>
  <c r="D266" i="99"/>
  <c r="D234" i="99"/>
  <c r="D114" i="99"/>
  <c r="D24" i="99"/>
  <c r="D184" i="99"/>
  <c r="D152" i="99"/>
  <c r="D126" i="99"/>
  <c r="D103" i="99"/>
  <c r="D53" i="99"/>
  <c r="D189" i="99"/>
  <c r="D157" i="99"/>
  <c r="D62" i="99"/>
  <c r="D97" i="99"/>
  <c r="D19" i="99"/>
  <c r="D75" i="99"/>
  <c r="D57" i="99"/>
  <c r="D76" i="99"/>
  <c r="D44" i="99"/>
  <c r="D45" i="99"/>
  <c r="D7" i="99"/>
  <c r="D11" i="99"/>
  <c r="D240" i="99"/>
  <c r="D312" i="99"/>
  <c r="D175" i="99"/>
  <c r="D31" i="99"/>
  <c r="D308" i="99"/>
  <c r="D216" i="99"/>
  <c r="D355" i="99"/>
  <c r="D323" i="99"/>
  <c r="D291" i="99"/>
  <c r="D249" i="99"/>
  <c r="D183" i="99"/>
  <c r="D190" i="99"/>
  <c r="D357" i="99"/>
  <c r="D325" i="99"/>
  <c r="D293" i="99"/>
  <c r="D267" i="99"/>
  <c r="D244" i="99"/>
  <c r="D215" i="99"/>
  <c r="D178" i="99"/>
  <c r="D146" i="99"/>
  <c r="D362" i="99"/>
  <c r="D330" i="99"/>
  <c r="D298" i="99"/>
  <c r="D206" i="99"/>
  <c r="D211" i="99"/>
  <c r="D250" i="99"/>
  <c r="D218" i="99"/>
  <c r="D83" i="99"/>
  <c r="D200" i="99"/>
  <c r="D168" i="99"/>
  <c r="D136" i="99"/>
  <c r="D112" i="99"/>
  <c r="D87" i="99"/>
  <c r="D205" i="99"/>
  <c r="D173" i="99"/>
  <c r="D141" i="99"/>
  <c r="D113" i="99"/>
  <c r="D81" i="99"/>
  <c r="D98" i="99"/>
  <c r="D66" i="99"/>
  <c r="D43" i="99"/>
  <c r="D60" i="99"/>
  <c r="D33" i="99"/>
  <c r="D17" i="99"/>
  <c r="D26" i="99"/>
  <c r="D8" i="99"/>
  <c r="B100" i="93"/>
  <c r="D10" i="47"/>
  <c r="C166" i="63"/>
  <c r="D166" i="63" s="1"/>
  <c r="AB33" i="104"/>
  <c r="M26" i="84" s="1"/>
  <c r="C165" i="63"/>
  <c r="D165" i="63" s="1"/>
  <c r="AB96" i="104"/>
  <c r="M125" i="84" s="1"/>
  <c r="S124" i="84"/>
  <c r="W94" i="104"/>
  <c r="S228" i="84"/>
  <c r="W173" i="104"/>
  <c r="S63" i="84"/>
  <c r="W56" i="104"/>
  <c r="S148" i="84"/>
  <c r="W107" i="104"/>
  <c r="S120" i="84"/>
  <c r="W91" i="104"/>
  <c r="S86" i="84"/>
  <c r="W190" i="104"/>
  <c r="S217" i="84"/>
  <c r="W156" i="104"/>
  <c r="U198" i="104"/>
  <c r="U188" i="104"/>
  <c r="AB194" i="104"/>
  <c r="M257" i="84" s="1"/>
  <c r="U194" i="104"/>
  <c r="AB197" i="104"/>
  <c r="M262" i="84" s="1"/>
  <c r="U100" i="104"/>
  <c r="U140" i="104"/>
  <c r="AB100" i="104"/>
  <c r="M127" i="84" s="1"/>
  <c r="AB36" i="104"/>
  <c r="M52" i="84" s="1"/>
  <c r="U36" i="104"/>
  <c r="U197" i="104"/>
  <c r="AB198" i="104"/>
  <c r="M201" i="84" s="1"/>
  <c r="AB143" i="104"/>
  <c r="M192" i="84" s="1"/>
  <c r="U83" i="104"/>
  <c r="AB188" i="104"/>
  <c r="M253" i="84" s="1"/>
  <c r="U143" i="104"/>
  <c r="K273" i="84"/>
  <c r="R273" i="84" s="1"/>
  <c r="K275" i="84"/>
  <c r="R275" i="84" s="1"/>
  <c r="K272" i="84"/>
  <c r="R272" i="84" s="1"/>
  <c r="K274" i="84"/>
  <c r="R274" i="84" s="1"/>
  <c r="AE10" i="104"/>
  <c r="U109" i="104"/>
  <c r="M48" i="84"/>
  <c r="U176" i="104"/>
  <c r="M221" i="84"/>
  <c r="AB176" i="104"/>
  <c r="M239" i="84" s="1"/>
  <c r="S48" i="84"/>
  <c r="S221" i="84"/>
  <c r="AB109" i="104"/>
  <c r="M156" i="84" s="1"/>
  <c r="AB8" i="104"/>
  <c r="M8" i="84" s="1"/>
  <c r="AB175" i="104"/>
  <c r="M232" i="84" s="1"/>
  <c r="U175" i="104"/>
  <c r="U8" i="104"/>
  <c r="S18" i="84"/>
  <c r="W16" i="104"/>
  <c r="S22" i="84"/>
  <c r="W24" i="104"/>
  <c r="S182" i="84"/>
  <c r="W135" i="104"/>
  <c r="S121" i="84"/>
  <c r="W92" i="104"/>
  <c r="S13" i="84"/>
  <c r="W189" i="104"/>
  <c r="S213" i="84"/>
  <c r="W163" i="104"/>
  <c r="S59" i="84"/>
  <c r="W53" i="104"/>
  <c r="S40" i="84"/>
  <c r="W39" i="104"/>
  <c r="S19" i="84"/>
  <c r="W17" i="104"/>
  <c r="AB140" i="104"/>
  <c r="M194" i="84" s="1"/>
  <c r="S150" i="84"/>
  <c r="W102" i="104"/>
  <c r="S149" i="84"/>
  <c r="W108" i="104"/>
  <c r="S42" i="84"/>
  <c r="W174" i="104"/>
  <c r="S132" i="84"/>
  <c r="W99" i="104"/>
  <c r="S60" i="84"/>
  <c r="W74" i="104"/>
  <c r="C164" i="63"/>
  <c r="D164" i="63" s="1"/>
  <c r="M16" i="84"/>
  <c r="U29" i="104"/>
  <c r="U172" i="104"/>
  <c r="U122" i="104"/>
  <c r="U23" i="104"/>
  <c r="U186" i="104"/>
  <c r="U58" i="104"/>
  <c r="M266" i="84"/>
  <c r="AB150" i="104"/>
  <c r="M207" i="84" s="1"/>
  <c r="U18" i="104"/>
  <c r="U59" i="104"/>
  <c r="U150" i="104"/>
  <c r="U73" i="104"/>
  <c r="AB18" i="104"/>
  <c r="M20" i="84" s="1"/>
  <c r="AB184" i="104"/>
  <c r="M249" i="84" s="1"/>
  <c r="U184" i="104"/>
  <c r="U178" i="104"/>
  <c r="AB186" i="104"/>
  <c r="M250" i="84" s="1"/>
  <c r="U15" i="104"/>
  <c r="AB73" i="104"/>
  <c r="M87" i="84" s="1"/>
  <c r="U196" i="104"/>
  <c r="AB58" i="104"/>
  <c r="M62" i="84" s="1"/>
  <c r="U9" i="104"/>
  <c r="AB122" i="104"/>
  <c r="M167" i="84" s="1"/>
  <c r="AB172" i="104"/>
  <c r="M225" i="84" s="1"/>
  <c r="U96" i="104"/>
  <c r="AB23" i="104"/>
  <c r="M30" i="84" s="1"/>
  <c r="S266" i="84"/>
  <c r="S16" i="84"/>
  <c r="U44" i="104"/>
  <c r="AB15" i="104"/>
  <c r="M15" i="84" s="1"/>
  <c r="U106" i="104"/>
  <c r="U185" i="104"/>
  <c r="U25" i="104"/>
  <c r="AB185" i="104"/>
  <c r="M240" i="84" s="1"/>
  <c r="AB44" i="104"/>
  <c r="M50" i="84" s="1"/>
  <c r="U153" i="104"/>
  <c r="AB106" i="104"/>
  <c r="M137" i="84" s="1"/>
  <c r="U33" i="104"/>
  <c r="AB178" i="104"/>
  <c r="M162" i="84" s="1"/>
  <c r="AB25" i="104"/>
  <c r="M31" i="84" s="1"/>
  <c r="AB153" i="104"/>
  <c r="M138" i="84" s="1"/>
  <c r="AB59" i="104"/>
  <c r="M64" i="84" s="1"/>
  <c r="AB9" i="104"/>
  <c r="M10" i="84" s="1"/>
  <c r="AB29" i="104"/>
  <c r="M29" i="84" s="1"/>
  <c r="S154" i="84"/>
  <c r="W120" i="104"/>
  <c r="S181" i="84"/>
  <c r="W129" i="104"/>
  <c r="S106" i="84"/>
  <c r="W84" i="104"/>
  <c r="S116" i="84"/>
  <c r="W90" i="104"/>
  <c r="S11" i="84"/>
  <c r="W11" i="104"/>
  <c r="S199" i="84"/>
  <c r="W145" i="104"/>
  <c r="S190" i="84"/>
  <c r="W139" i="104"/>
  <c r="S75" i="84"/>
  <c r="W169" i="104"/>
  <c r="S130" i="84"/>
  <c r="W152" i="104"/>
  <c r="S76" i="84"/>
  <c r="W65" i="104"/>
  <c r="S164" i="84"/>
  <c r="W114" i="104"/>
  <c r="S104" i="84"/>
  <c r="W50" i="104"/>
  <c r="S82" i="84"/>
  <c r="W70" i="104"/>
  <c r="W144" i="104" l="1"/>
  <c r="W165" i="104"/>
  <c r="C115" i="63"/>
  <c r="D238" i="76"/>
  <c r="D210" i="76"/>
  <c r="D240" i="76"/>
  <c r="D224" i="76"/>
  <c r="D220" i="76"/>
  <c r="D233" i="76"/>
  <c r="D211" i="76"/>
  <c r="D204" i="76"/>
  <c r="D230" i="76"/>
  <c r="D221" i="76"/>
  <c r="D194" i="76"/>
  <c r="D196" i="76"/>
  <c r="D228" i="76"/>
  <c r="D222" i="76"/>
  <c r="D207" i="76"/>
  <c r="D188" i="76"/>
  <c r="D197" i="76"/>
  <c r="D191" i="76"/>
  <c r="H7" i="99"/>
  <c r="D239" i="76"/>
  <c r="D193" i="76"/>
  <c r="D229" i="76"/>
  <c r="D223" i="76"/>
  <c r="D232" i="76"/>
  <c r="D189" i="76"/>
  <c r="D225" i="76"/>
  <c r="D236" i="76"/>
  <c r="D209" i="76"/>
  <c r="D213" i="76"/>
  <c r="D195" i="76"/>
  <c r="D218" i="76"/>
  <c r="D187" i="76"/>
  <c r="D237" i="76"/>
  <c r="D227" i="76"/>
  <c r="D217" i="76"/>
  <c r="D216" i="76"/>
  <c r="D214" i="76"/>
  <c r="D201" i="76"/>
  <c r="D198" i="76"/>
  <c r="D192" i="76"/>
  <c r="D200" i="76"/>
  <c r="D206" i="76"/>
  <c r="D208" i="76"/>
  <c r="D215" i="76"/>
  <c r="D190" i="76"/>
  <c r="D199" i="76"/>
  <c r="D234" i="76"/>
  <c r="D203" i="76"/>
  <c r="D231" i="76"/>
  <c r="D226" i="76"/>
  <c r="D219" i="76"/>
  <c r="D212" i="76"/>
  <c r="D202" i="76"/>
  <c r="D235" i="76"/>
  <c r="C118" i="63"/>
  <c r="C119" i="63" s="1"/>
  <c r="T13" i="48"/>
  <c r="X13" i="48" s="1"/>
  <c r="J7" i="99" s="1"/>
  <c r="L54" i="48"/>
  <c r="G276" i="84"/>
  <c r="F7" i="97"/>
  <c r="F8" i="97"/>
  <c r="F11" i="97"/>
  <c r="F9" i="97"/>
  <c r="E14" i="97"/>
  <c r="E15" i="97" s="1"/>
  <c r="F6" i="97"/>
  <c r="H7" i="97"/>
  <c r="F12" i="97"/>
  <c r="D11" i="47"/>
  <c r="E162" i="93"/>
  <c r="D14" i="97"/>
  <c r="D15" i="97" s="1"/>
  <c r="W106" i="104"/>
  <c r="S137" i="84"/>
  <c r="S249" i="84"/>
  <c r="W184" i="104"/>
  <c r="S207" i="84"/>
  <c r="W150" i="104"/>
  <c r="W122" i="104"/>
  <c r="S167" i="84"/>
  <c r="S8" i="84"/>
  <c r="C27" i="63" s="1"/>
  <c r="C32" i="63" s="1"/>
  <c r="W8" i="104"/>
  <c r="M271" i="84"/>
  <c r="S271" i="84"/>
  <c r="S192" i="84"/>
  <c r="W143" i="104"/>
  <c r="S257" i="84"/>
  <c r="W194" i="104"/>
  <c r="W33" i="104"/>
  <c r="S26" i="84"/>
  <c r="S10" i="84"/>
  <c r="W9" i="104"/>
  <c r="S15" i="84"/>
  <c r="W15" i="104"/>
  <c r="S64" i="84"/>
  <c r="W59" i="104"/>
  <c r="S62" i="84"/>
  <c r="W58" i="104"/>
  <c r="S225" i="84"/>
  <c r="W172" i="104"/>
  <c r="S232" i="84"/>
  <c r="W175" i="104"/>
  <c r="S239" i="84"/>
  <c r="W176" i="104"/>
  <c r="S262" i="84"/>
  <c r="W197" i="104"/>
  <c r="S194" i="84"/>
  <c r="W140" i="104"/>
  <c r="S31" i="84"/>
  <c r="W25" i="104"/>
  <c r="W44" i="104"/>
  <c r="S50" i="84"/>
  <c r="S125" i="84"/>
  <c r="W96" i="104"/>
  <c r="S20" i="84"/>
  <c r="W18" i="104"/>
  <c r="S250" i="84"/>
  <c r="W186" i="104"/>
  <c r="S29" i="84"/>
  <c r="W29" i="104"/>
  <c r="H5" i="97"/>
  <c r="S102" i="84"/>
  <c r="W83" i="104"/>
  <c r="S52" i="84"/>
  <c r="W36" i="104"/>
  <c r="S127" i="84"/>
  <c r="W100" i="104"/>
  <c r="W188" i="104"/>
  <c r="S253" i="84"/>
  <c r="S138" i="84"/>
  <c r="W153" i="104"/>
  <c r="S240" i="84"/>
  <c r="W185" i="104"/>
  <c r="S259" i="84"/>
  <c r="W196" i="104"/>
  <c r="S162" i="84"/>
  <c r="W178" i="104"/>
  <c r="S87" i="84"/>
  <c r="W73" i="104"/>
  <c r="W23" i="104"/>
  <c r="S30" i="84"/>
  <c r="W109" i="104"/>
  <c r="S156" i="84"/>
  <c r="S201" i="84"/>
  <c r="W198" i="104"/>
  <c r="I7" i="99" l="1"/>
  <c r="K7" i="99" s="1"/>
  <c r="I7" i="97"/>
  <c r="F15" i="97"/>
  <c r="E163" i="93"/>
  <c r="I163" i="93" s="1"/>
  <c r="F162" i="93" s="1"/>
  <c r="I6" i="97"/>
  <c r="I5" i="97"/>
  <c r="I8" i="97"/>
  <c r="J8" i="99" l="1"/>
  <c r="B165" i="93"/>
  <c r="D11" i="62"/>
  <c r="C149" i="93"/>
  <c r="E149" i="93"/>
  <c r="E151" i="93" l="1"/>
  <c r="I151" i="93" s="1"/>
  <c r="F151" i="93"/>
  <c r="G60" i="47" l="1"/>
  <c r="G61" i="47"/>
  <c r="M60" i="47" l="1"/>
  <c r="N61" i="47"/>
  <c r="L60" i="47" l="1"/>
  <c r="I60" i="47" l="1"/>
  <c r="I61" i="47"/>
  <c r="K61" i="47" l="1"/>
  <c r="M61" i="47"/>
  <c r="O61" i="47"/>
  <c r="Q61" i="47"/>
  <c r="S61" i="47"/>
  <c r="U61" i="47"/>
  <c r="W61" i="47"/>
  <c r="Y61" i="47"/>
  <c r="AA61" i="47"/>
  <c r="AC61" i="47"/>
  <c r="AE61" i="47"/>
  <c r="AG61" i="47"/>
  <c r="AI61" i="47"/>
  <c r="AK61" i="47"/>
  <c r="AM61" i="47"/>
  <c r="AO61" i="47"/>
  <c r="AQ61" i="47"/>
  <c r="AS61" i="47"/>
  <c r="AU61" i="47"/>
  <c r="AW61" i="47"/>
  <c r="AY61" i="47"/>
  <c r="BA61" i="47"/>
  <c r="BC61" i="47"/>
  <c r="K60" i="47"/>
  <c r="N60" i="47"/>
  <c r="P60" i="47"/>
  <c r="R60" i="47"/>
  <c r="T60" i="47"/>
  <c r="V60" i="47"/>
  <c r="X60" i="47"/>
  <c r="Z60" i="47"/>
  <c r="AB60" i="47"/>
  <c r="AD60" i="47"/>
  <c r="AF60" i="47"/>
  <c r="AH60" i="47"/>
  <c r="AJ60" i="47"/>
  <c r="AL60" i="47"/>
  <c r="AN60" i="47"/>
  <c r="AP60" i="47"/>
  <c r="AR60" i="47"/>
  <c r="AT60" i="47"/>
  <c r="AV60" i="47"/>
  <c r="AX60" i="47"/>
  <c r="AZ60" i="47"/>
  <c r="BB60" i="47"/>
  <c r="BD60" i="47"/>
  <c r="J61" i="47"/>
  <c r="L61" i="47"/>
  <c r="H61" i="47"/>
  <c r="J60" i="47"/>
  <c r="H60" i="47"/>
  <c r="P61" i="47"/>
  <c r="R61" i="47"/>
  <c r="T61" i="47"/>
  <c r="V61" i="47"/>
  <c r="X61" i="47"/>
  <c r="Z61" i="47"/>
  <c r="AB61" i="47"/>
  <c r="AD61" i="47"/>
  <c r="AF61" i="47"/>
  <c r="AH61" i="47"/>
  <c r="AJ61" i="47"/>
  <c r="AL61" i="47"/>
  <c r="AN61" i="47"/>
  <c r="AP61" i="47"/>
  <c r="AR61" i="47"/>
  <c r="AT61" i="47"/>
  <c r="AV61" i="47"/>
  <c r="AX61" i="47"/>
  <c r="AZ61" i="47"/>
  <c r="BB61" i="47"/>
  <c r="BD61" i="47"/>
  <c r="O60" i="47"/>
  <c r="Q60" i="47"/>
  <c r="S60" i="47"/>
  <c r="U60" i="47"/>
  <c r="W60" i="47"/>
  <c r="Y60" i="47"/>
  <c r="AA60" i="47"/>
  <c r="AC60" i="47"/>
  <c r="AE60" i="47"/>
  <c r="AG60" i="47"/>
  <c r="AI60" i="47"/>
  <c r="AK60" i="47"/>
  <c r="AM60" i="47"/>
  <c r="AO60" i="47"/>
  <c r="AQ60" i="47"/>
  <c r="AS60" i="47"/>
  <c r="AU60" i="47"/>
  <c r="AW60" i="47"/>
  <c r="AY60" i="47"/>
  <c r="BA60" i="47"/>
  <c r="BC60" i="47"/>
  <c r="F61" i="47"/>
  <c r="F60" i="47"/>
  <c r="BF52" i="45" l="1"/>
  <c r="H188" i="48" s="1"/>
  <c r="AM18" i="48"/>
  <c r="AN18" i="48" s="1"/>
  <c r="AM16" i="48"/>
  <c r="AN16" i="48" s="1"/>
  <c r="AM17" i="48"/>
  <c r="AN17" i="48" s="1"/>
  <c r="AM15" i="48"/>
  <c r="AN15" i="48" s="1"/>
  <c r="C78" i="99" l="1"/>
  <c r="C79" i="99"/>
  <c r="C80" i="99"/>
  <c r="C84" i="99"/>
  <c r="C92" i="99"/>
  <c r="C100" i="99"/>
  <c r="C108" i="99"/>
  <c r="C116" i="99"/>
  <c r="C124" i="99"/>
  <c r="C85" i="99"/>
  <c r="C93" i="99"/>
  <c r="C101" i="99"/>
  <c r="C109" i="99"/>
  <c r="C77" i="99"/>
  <c r="C86" i="99"/>
  <c r="C106" i="99"/>
  <c r="C112" i="99"/>
  <c r="C132" i="99"/>
  <c r="C140" i="99"/>
  <c r="C148" i="99"/>
  <c r="C156" i="99"/>
  <c r="C164" i="99"/>
  <c r="C172" i="99"/>
  <c r="C83" i="99"/>
  <c r="C99" i="99"/>
  <c r="C105" i="99"/>
  <c r="C111" i="99"/>
  <c r="C133" i="99"/>
  <c r="C141" i="99"/>
  <c r="C149" i="99"/>
  <c r="C157" i="99"/>
  <c r="C165" i="99"/>
  <c r="C98" i="99"/>
  <c r="C104" i="99"/>
  <c r="C110" i="99"/>
  <c r="C125" i="99"/>
  <c r="C126" i="99"/>
  <c r="C134" i="99"/>
  <c r="C82" i="99"/>
  <c r="C91" i="99"/>
  <c r="C97" i="99"/>
  <c r="C103" i="99"/>
  <c r="C117" i="99"/>
  <c r="C118" i="99"/>
  <c r="C119" i="99"/>
  <c r="C120" i="99"/>
  <c r="C121" i="99"/>
  <c r="C122" i="99"/>
  <c r="C123" i="99"/>
  <c r="C127" i="99"/>
  <c r="C135" i="99"/>
  <c r="C89" i="99"/>
  <c r="C95" i="99"/>
  <c r="C115" i="99"/>
  <c r="C129" i="99"/>
  <c r="C137" i="99"/>
  <c r="C145" i="99"/>
  <c r="C88" i="99"/>
  <c r="C94" i="99"/>
  <c r="C114" i="99"/>
  <c r="C130" i="99"/>
  <c r="C138" i="99"/>
  <c r="C146" i="99"/>
  <c r="C139" i="99"/>
  <c r="C143" i="99"/>
  <c r="C151" i="99"/>
  <c r="C175" i="99"/>
  <c r="C183" i="99"/>
  <c r="C191" i="99"/>
  <c r="C199" i="99"/>
  <c r="C207" i="99"/>
  <c r="C215" i="99"/>
  <c r="C96" i="99"/>
  <c r="C150" i="99"/>
  <c r="C176" i="99"/>
  <c r="C184" i="99"/>
  <c r="C192" i="99"/>
  <c r="C200" i="99"/>
  <c r="C208" i="99"/>
  <c r="C216" i="99"/>
  <c r="C224" i="99"/>
  <c r="C81" i="99"/>
  <c r="C87" i="99"/>
  <c r="C131" i="99"/>
  <c r="C147" i="99"/>
  <c r="C163" i="99"/>
  <c r="C177" i="99"/>
  <c r="C185" i="99"/>
  <c r="C193" i="99"/>
  <c r="C201" i="99"/>
  <c r="C102" i="99"/>
  <c r="C128" i="99"/>
  <c r="C142" i="99"/>
  <c r="C162" i="99"/>
  <c r="C178" i="99"/>
  <c r="C144" i="99"/>
  <c r="C154" i="99"/>
  <c r="C160" i="99"/>
  <c r="C180" i="99"/>
  <c r="C188" i="99"/>
  <c r="C196" i="99"/>
  <c r="C204" i="99"/>
  <c r="C113" i="99"/>
  <c r="C136" i="99"/>
  <c r="C153" i="99"/>
  <c r="C159" i="99"/>
  <c r="C166" i="99"/>
  <c r="C167" i="99"/>
  <c r="C168" i="99"/>
  <c r="C169" i="99"/>
  <c r="C170" i="99"/>
  <c r="C171" i="99"/>
  <c r="C173" i="99"/>
  <c r="C181" i="99"/>
  <c r="C179" i="99"/>
  <c r="C190" i="99"/>
  <c r="C212" i="99"/>
  <c r="C230" i="99"/>
  <c r="C238" i="99"/>
  <c r="C246" i="99"/>
  <c r="C254" i="99"/>
  <c r="C262" i="99"/>
  <c r="C270" i="99"/>
  <c r="C278" i="99"/>
  <c r="C286" i="99"/>
  <c r="C294" i="99"/>
  <c r="C302" i="99"/>
  <c r="C194" i="99"/>
  <c r="C211" i="99"/>
  <c r="C231" i="99"/>
  <c r="C239" i="99"/>
  <c r="C247" i="99"/>
  <c r="C255" i="99"/>
  <c r="C263" i="99"/>
  <c r="C271" i="99"/>
  <c r="C279" i="99"/>
  <c r="C287" i="99"/>
  <c r="C295" i="99"/>
  <c r="C303" i="99"/>
  <c r="C311" i="99"/>
  <c r="C319" i="99"/>
  <c r="C327" i="99"/>
  <c r="C107" i="99"/>
  <c r="C161" i="99"/>
  <c r="C198" i="99"/>
  <c r="C205" i="99"/>
  <c r="C226" i="99"/>
  <c r="C234" i="99"/>
  <c r="C242" i="99"/>
  <c r="C250" i="99"/>
  <c r="C258" i="99"/>
  <c r="C266" i="99"/>
  <c r="C274" i="99"/>
  <c r="C282" i="99"/>
  <c r="C290" i="99"/>
  <c r="C90" i="99"/>
  <c r="C152" i="99"/>
  <c r="C174" i="99"/>
  <c r="C186" i="99"/>
  <c r="C202" i="99"/>
  <c r="C227" i="99"/>
  <c r="C235" i="99"/>
  <c r="C243" i="99"/>
  <c r="C251" i="99"/>
  <c r="C259" i="99"/>
  <c r="C267" i="99"/>
  <c r="C275" i="99"/>
  <c r="C283" i="99"/>
  <c r="C291" i="99"/>
  <c r="C299" i="99"/>
  <c r="C307" i="99"/>
  <c r="C315" i="99"/>
  <c r="C323" i="99"/>
  <c r="C331" i="99"/>
  <c r="C195" i="99"/>
  <c r="C236" i="99"/>
  <c r="C252" i="99"/>
  <c r="C268" i="99"/>
  <c r="C284" i="99"/>
  <c r="C314" i="99"/>
  <c r="C320" i="99"/>
  <c r="C333" i="99"/>
  <c r="C338" i="99"/>
  <c r="C346" i="99"/>
  <c r="C354" i="99"/>
  <c r="C362" i="99"/>
  <c r="C370" i="99"/>
  <c r="C213" i="99"/>
  <c r="C229" i="99"/>
  <c r="C245" i="99"/>
  <c r="C261" i="99"/>
  <c r="C277" i="99"/>
  <c r="C293" i="99"/>
  <c r="C298" i="99"/>
  <c r="C313" i="99"/>
  <c r="C326" i="99"/>
  <c r="C332" i="99"/>
  <c r="C339" i="99"/>
  <c r="C347" i="99"/>
  <c r="C355" i="99"/>
  <c r="C363" i="99"/>
  <c r="C371" i="99"/>
  <c r="C155" i="99"/>
  <c r="C203" i="99"/>
  <c r="C206" i="99"/>
  <c r="C240" i="99"/>
  <c r="C256" i="99"/>
  <c r="C272" i="99"/>
  <c r="C288" i="99"/>
  <c r="C301" i="99"/>
  <c r="C306" i="99"/>
  <c r="C312" i="99"/>
  <c r="C325" i="99"/>
  <c r="C340" i="99"/>
  <c r="C348" i="99"/>
  <c r="C356" i="99"/>
  <c r="C364" i="99"/>
  <c r="C158" i="99"/>
  <c r="C182" i="99"/>
  <c r="C197" i="99"/>
  <c r="C237" i="99"/>
  <c r="C253" i="99"/>
  <c r="C269" i="99"/>
  <c r="C285" i="99"/>
  <c r="C310" i="99"/>
  <c r="C316" i="99"/>
  <c r="C329" i="99"/>
  <c r="C343" i="99"/>
  <c r="C351" i="99"/>
  <c r="C359" i="99"/>
  <c r="C367" i="99"/>
  <c r="C187" i="99"/>
  <c r="C210" i="99"/>
  <c r="C232" i="99"/>
  <c r="C248" i="99"/>
  <c r="C264" i="99"/>
  <c r="C280" i="99"/>
  <c r="C296" i="99"/>
  <c r="C309" i="99"/>
  <c r="C322" i="99"/>
  <c r="C328" i="99"/>
  <c r="C344" i="99"/>
  <c r="C352" i="99"/>
  <c r="C360" i="99"/>
  <c r="C368" i="99"/>
  <c r="C257" i="99"/>
  <c r="C276" i="99"/>
  <c r="C281" i="99"/>
  <c r="C337" i="99"/>
  <c r="C349" i="99"/>
  <c r="C189" i="99"/>
  <c r="C219" i="99"/>
  <c r="C342" i="99"/>
  <c r="C361" i="99"/>
  <c r="C214" i="99"/>
  <c r="C220" i="99"/>
  <c r="C225" i="99"/>
  <c r="C244" i="99"/>
  <c r="C249" i="99"/>
  <c r="C300" i="99"/>
  <c r="C335" i="99"/>
  <c r="C366" i="99"/>
  <c r="C209" i="99"/>
  <c r="C273" i="99"/>
  <c r="C292" i="99"/>
  <c r="C297" i="99"/>
  <c r="C304" i="99"/>
  <c r="C345" i="99"/>
  <c r="C357" i="99"/>
  <c r="C222" i="99"/>
  <c r="C241" i="99"/>
  <c r="C260" i="99"/>
  <c r="C265" i="99"/>
  <c r="C305" i="99"/>
  <c r="C308" i="99"/>
  <c r="C324" i="99"/>
  <c r="C330" i="99"/>
  <c r="C336" i="99"/>
  <c r="C341" i="99"/>
  <c r="C217" i="99"/>
  <c r="C289" i="99"/>
  <c r="C318" i="99"/>
  <c r="C321" i="99"/>
  <c r="C353" i="99"/>
  <c r="C365" i="99"/>
  <c r="C223" i="99"/>
  <c r="C228" i="99"/>
  <c r="C358" i="99"/>
  <c r="C317" i="99"/>
  <c r="C350" i="99"/>
  <c r="C369" i="99"/>
  <c r="C218" i="99"/>
  <c r="C334" i="99"/>
  <c r="C233" i="99"/>
  <c r="C221" i="99"/>
  <c r="C372" i="99"/>
  <c r="C15" i="99"/>
  <c r="C23" i="99"/>
  <c r="C31" i="99"/>
  <c r="C39" i="99"/>
  <c r="C47" i="99"/>
  <c r="C55" i="99"/>
  <c r="C63" i="99"/>
  <c r="C71" i="99"/>
  <c r="C8" i="99"/>
  <c r="C16" i="99"/>
  <c r="C24" i="99"/>
  <c r="C32" i="99"/>
  <c r="C40" i="99"/>
  <c r="C48" i="99"/>
  <c r="C56" i="99"/>
  <c r="C64" i="99"/>
  <c r="C72" i="99"/>
  <c r="C7" i="99"/>
  <c r="E7" i="99" s="1"/>
  <c r="C9" i="99"/>
  <c r="C17" i="99"/>
  <c r="C25" i="99"/>
  <c r="C33" i="99"/>
  <c r="C41" i="99"/>
  <c r="C49" i="99"/>
  <c r="C57" i="99"/>
  <c r="C65" i="99"/>
  <c r="C73" i="99"/>
  <c r="C10" i="99"/>
  <c r="C18" i="99"/>
  <c r="C26" i="99"/>
  <c r="C34" i="99"/>
  <c r="C42" i="99"/>
  <c r="C50" i="99"/>
  <c r="C11" i="99"/>
  <c r="C19" i="99"/>
  <c r="C27" i="99"/>
  <c r="C35" i="99"/>
  <c r="C43" i="99"/>
  <c r="C14" i="99"/>
  <c r="C22" i="99"/>
  <c r="C30" i="99"/>
  <c r="C38" i="99"/>
  <c r="C21" i="99"/>
  <c r="C67" i="99"/>
  <c r="C36" i="99"/>
  <c r="C44" i="99"/>
  <c r="C46" i="99"/>
  <c r="C54" i="99"/>
  <c r="C60" i="99"/>
  <c r="C29" i="99"/>
  <c r="C51" i="99"/>
  <c r="C66" i="99"/>
  <c r="C70" i="99"/>
  <c r="C13" i="99"/>
  <c r="C28" i="99"/>
  <c r="C59" i="99"/>
  <c r="C61" i="99"/>
  <c r="C68" i="99"/>
  <c r="C75" i="99"/>
  <c r="C37" i="99"/>
  <c r="C45" i="99"/>
  <c r="C52" i="99"/>
  <c r="C12" i="99"/>
  <c r="C53" i="99"/>
  <c r="C58" i="99"/>
  <c r="C74" i="99"/>
  <c r="C62" i="99"/>
  <c r="C76" i="99"/>
  <c r="C69" i="99"/>
  <c r="C20" i="99"/>
  <c r="F7" i="99" l="1"/>
  <c r="H8" i="99" l="1"/>
  <c r="I8" i="99"/>
  <c r="E8" i="99" l="1"/>
  <c r="F8" i="99" s="1"/>
  <c r="K8" i="99"/>
  <c r="L8" i="99" s="1"/>
  <c r="A8" i="99" s="1"/>
  <c r="J9" i="99"/>
  <c r="H9" i="99" l="1"/>
  <c r="I9" i="99"/>
  <c r="K9" i="99" l="1"/>
  <c r="L9" i="99" s="1"/>
  <c r="A9" i="99" s="1"/>
  <c r="J10" i="99"/>
  <c r="E9" i="99"/>
  <c r="F9" i="99" l="1"/>
  <c r="H10" i="99" l="1"/>
  <c r="I10" i="99"/>
  <c r="K10" i="99" l="1"/>
  <c r="L10" i="99" s="1"/>
  <c r="A10" i="99" s="1"/>
  <c r="J11" i="99"/>
  <c r="E10" i="99"/>
  <c r="F10" i="99" l="1"/>
  <c r="I11" i="99" l="1"/>
  <c r="H11" i="99"/>
  <c r="E11" i="99" l="1"/>
  <c r="F11" i="99" s="1"/>
  <c r="K11" i="99"/>
  <c r="L11" i="99" s="1"/>
  <c r="A11" i="99" s="1"/>
  <c r="J12" i="99"/>
  <c r="I12" i="99" l="1"/>
  <c r="H12" i="99"/>
  <c r="E12" i="99" l="1"/>
  <c r="F12" i="99"/>
  <c r="K12" i="99"/>
  <c r="L12" i="99" s="1"/>
  <c r="A12" i="99" s="1"/>
  <c r="J13" i="99"/>
  <c r="I13" i="99" l="1"/>
  <c r="H13" i="99"/>
  <c r="E13" i="99" l="1"/>
  <c r="F13" i="99" s="1"/>
  <c r="K13" i="99"/>
  <c r="L13" i="99" s="1"/>
  <c r="A13" i="99" s="1"/>
  <c r="J14" i="99"/>
  <c r="H14" i="99" l="1"/>
  <c r="I14" i="99"/>
  <c r="K14" i="99" l="1"/>
  <c r="L14" i="99" s="1"/>
  <c r="A14" i="99" s="1"/>
  <c r="J15" i="99"/>
  <c r="E14" i="99"/>
  <c r="F14" i="99" l="1"/>
  <c r="H15" i="99" l="1"/>
  <c r="I15" i="99"/>
  <c r="K15" i="99" l="1"/>
  <c r="L15" i="99" s="1"/>
  <c r="A15" i="99" s="1"/>
  <c r="J16" i="99"/>
  <c r="E15" i="99"/>
  <c r="F15" i="99" l="1"/>
  <c r="H16" i="99" l="1"/>
  <c r="I16" i="99"/>
  <c r="E16" i="99" l="1"/>
  <c r="F16" i="99" s="1"/>
  <c r="J17" i="99"/>
  <c r="K16" i="99"/>
  <c r="L16" i="99" s="1"/>
  <c r="A16" i="99" s="1"/>
  <c r="H17" i="99" l="1"/>
  <c r="I17" i="99"/>
  <c r="K17" i="99" l="1"/>
  <c r="L17" i="99" s="1"/>
  <c r="A17" i="99" s="1"/>
  <c r="J18" i="99"/>
  <c r="E17" i="99"/>
  <c r="F17" i="99" l="1"/>
  <c r="H18" i="99" l="1"/>
  <c r="I18" i="99"/>
  <c r="K18" i="99" l="1"/>
  <c r="L18" i="99" s="1"/>
  <c r="A18" i="99" s="1"/>
  <c r="J19" i="99"/>
  <c r="E18" i="99"/>
  <c r="F18" i="99" l="1"/>
  <c r="I19" i="99" l="1"/>
  <c r="H19" i="99"/>
  <c r="E19" i="99" l="1"/>
  <c r="F19" i="99" s="1"/>
  <c r="K19" i="99"/>
  <c r="L19" i="99" s="1"/>
  <c r="A19" i="99" s="1"/>
  <c r="J20" i="99"/>
  <c r="I20" i="99" l="1"/>
  <c r="H20" i="99"/>
  <c r="E20" i="99" l="1"/>
  <c r="F20" i="99" s="1"/>
  <c r="K20" i="99"/>
  <c r="L20" i="99" s="1"/>
  <c r="A20" i="99" s="1"/>
  <c r="J21" i="99"/>
  <c r="I21" i="99" l="1"/>
  <c r="H21" i="99"/>
  <c r="K21" i="99" l="1"/>
  <c r="L21" i="99" s="1"/>
  <c r="A21" i="99" s="1"/>
  <c r="J22" i="99"/>
  <c r="E21" i="99"/>
  <c r="F21" i="99" l="1"/>
  <c r="H22" i="99" l="1"/>
  <c r="I22" i="99"/>
  <c r="K22" i="99" l="1"/>
  <c r="L22" i="99" s="1"/>
  <c r="A22" i="99" s="1"/>
  <c r="J23" i="99"/>
  <c r="E22" i="99"/>
  <c r="F22" i="99" l="1"/>
  <c r="H23" i="99" l="1"/>
  <c r="I23" i="99"/>
  <c r="K23" i="99" l="1"/>
  <c r="L23" i="99" s="1"/>
  <c r="A23" i="99" s="1"/>
  <c r="J24" i="99"/>
  <c r="E23" i="99"/>
  <c r="F23" i="99" l="1"/>
  <c r="H24" i="99" l="1"/>
  <c r="I24" i="99"/>
  <c r="J25" i="99" l="1"/>
  <c r="K24" i="99"/>
  <c r="L24" i="99" s="1"/>
  <c r="A24" i="99" s="1"/>
  <c r="E24" i="99"/>
  <c r="F24" i="99" l="1"/>
  <c r="H25" i="99" l="1"/>
  <c r="I25" i="99"/>
  <c r="K25" i="99" l="1"/>
  <c r="L25" i="99" s="1"/>
  <c r="A25" i="99" s="1"/>
  <c r="J26" i="99"/>
  <c r="E25" i="99"/>
  <c r="F25" i="99" l="1"/>
  <c r="H26" i="99" l="1"/>
  <c r="I26" i="99"/>
  <c r="K26" i="99" l="1"/>
  <c r="L26" i="99" s="1"/>
  <c r="A26" i="99" s="1"/>
  <c r="J27" i="99"/>
  <c r="E26" i="99"/>
  <c r="F26" i="99" l="1"/>
  <c r="I27" i="99" l="1"/>
  <c r="H27" i="99"/>
  <c r="E27" i="99" l="1"/>
  <c r="F27" i="99" s="1"/>
  <c r="K27" i="99"/>
  <c r="L27" i="99" s="1"/>
  <c r="A27" i="99" s="1"/>
  <c r="J28" i="99"/>
  <c r="I28" i="99" l="1"/>
  <c r="H28" i="99"/>
  <c r="E28" i="99" l="1"/>
  <c r="F28" i="99"/>
  <c r="K28" i="99"/>
  <c r="L28" i="99" s="1"/>
  <c r="A28" i="99" s="1"/>
  <c r="J29" i="99"/>
  <c r="I29" i="99" l="1"/>
  <c r="H29" i="99"/>
  <c r="E29" i="99" l="1"/>
  <c r="F29" i="99" s="1"/>
  <c r="K29" i="99"/>
  <c r="L29" i="99" s="1"/>
  <c r="A29" i="99" s="1"/>
  <c r="J30" i="99"/>
  <c r="H30" i="99" l="1"/>
  <c r="I30" i="99"/>
  <c r="E30" i="99" l="1"/>
  <c r="K30" i="99"/>
  <c r="L30" i="99" s="1"/>
  <c r="A30" i="99" s="1"/>
  <c r="J31" i="99"/>
  <c r="F30" i="99" l="1"/>
  <c r="H31" i="99" l="1"/>
  <c r="I31" i="99"/>
  <c r="K31" i="99" l="1"/>
  <c r="L31" i="99" s="1"/>
  <c r="A31" i="99" s="1"/>
  <c r="J32" i="99"/>
  <c r="E31" i="99"/>
  <c r="F31" i="99" l="1"/>
  <c r="H32" i="99" l="1"/>
  <c r="I32" i="99"/>
  <c r="K32" i="99" l="1"/>
  <c r="L32" i="99" s="1"/>
  <c r="A32" i="99" s="1"/>
  <c r="J33" i="99"/>
  <c r="E32" i="99"/>
  <c r="F32" i="99" l="1"/>
  <c r="H33" i="99" l="1"/>
  <c r="I33" i="99"/>
  <c r="K33" i="99" l="1"/>
  <c r="L33" i="99" s="1"/>
  <c r="A33" i="99" s="1"/>
  <c r="J34" i="99"/>
  <c r="E33" i="99"/>
  <c r="F33" i="99" l="1"/>
  <c r="H34" i="99" l="1"/>
  <c r="I34" i="99"/>
  <c r="K34" i="99" l="1"/>
  <c r="L34" i="99" s="1"/>
  <c r="A34" i="99" s="1"/>
  <c r="J35" i="99"/>
  <c r="E34" i="99"/>
  <c r="F34" i="99" l="1"/>
  <c r="I35" i="99" l="1"/>
  <c r="H35" i="99"/>
  <c r="E35" i="99" l="1"/>
  <c r="F35" i="99"/>
  <c r="K35" i="99"/>
  <c r="L35" i="99" s="1"/>
  <c r="A35" i="99" s="1"/>
  <c r="J36" i="99"/>
  <c r="I36" i="99" l="1"/>
  <c r="H36" i="99"/>
  <c r="E36" i="99" s="1"/>
  <c r="F36" i="99" l="1"/>
  <c r="K36" i="99"/>
  <c r="L36" i="99" s="1"/>
  <c r="A36" i="99" s="1"/>
  <c r="J37" i="99"/>
  <c r="I37" i="99" l="1"/>
  <c r="H37" i="99"/>
  <c r="E37" i="99" l="1"/>
  <c r="F37" i="99"/>
  <c r="K37" i="99"/>
  <c r="L37" i="99" s="1"/>
  <c r="A37" i="99" s="1"/>
  <c r="J38" i="99"/>
  <c r="H38" i="99" l="1"/>
  <c r="I38" i="99"/>
  <c r="K38" i="99" l="1"/>
  <c r="L38" i="99" s="1"/>
  <c r="A38" i="99" s="1"/>
  <c r="J39" i="99"/>
  <c r="E38" i="99"/>
  <c r="F38" i="99" l="1"/>
  <c r="H39" i="99" l="1"/>
  <c r="I39" i="99"/>
  <c r="J40" i="99" l="1"/>
  <c r="K39" i="99"/>
  <c r="L39" i="99" s="1"/>
  <c r="A39" i="99" s="1"/>
  <c r="E39" i="99"/>
  <c r="F39" i="99" l="1"/>
  <c r="H40" i="99" l="1"/>
  <c r="I40" i="99"/>
  <c r="J41" i="99" l="1"/>
  <c r="K40" i="99"/>
  <c r="L40" i="99" s="1"/>
  <c r="A40" i="99" s="1"/>
  <c r="E40" i="99"/>
  <c r="F40" i="99" l="1"/>
  <c r="H41" i="99" l="1"/>
  <c r="I41" i="99"/>
  <c r="J42" i="99" l="1"/>
  <c r="K41" i="99"/>
  <c r="L41" i="99" s="1"/>
  <c r="A41" i="99" s="1"/>
  <c r="E41" i="99"/>
  <c r="F41" i="99" l="1"/>
  <c r="H42" i="99" l="1"/>
  <c r="I42" i="99"/>
  <c r="K42" i="99" l="1"/>
  <c r="L42" i="99" s="1"/>
  <c r="A42" i="99" s="1"/>
  <c r="J43" i="99"/>
  <c r="E42" i="99"/>
  <c r="F42" i="99" l="1"/>
  <c r="I43" i="99" l="1"/>
  <c r="H43" i="99"/>
  <c r="E43" i="99" s="1"/>
  <c r="F43" i="99" l="1"/>
  <c r="K43" i="99"/>
  <c r="L43" i="99" s="1"/>
  <c r="A43" i="99" s="1"/>
  <c r="J44" i="99"/>
  <c r="I44" i="99" l="1"/>
  <c r="H44" i="99"/>
  <c r="E44" i="99" l="1"/>
  <c r="F44" i="99" s="1"/>
  <c r="K44" i="99"/>
  <c r="L44" i="99" s="1"/>
  <c r="A44" i="99" s="1"/>
  <c r="J45" i="99"/>
  <c r="I45" i="99" l="1"/>
  <c r="H45" i="99"/>
  <c r="E45" i="99" l="1"/>
  <c r="F45" i="99" s="1"/>
  <c r="K45" i="99"/>
  <c r="L45" i="99" s="1"/>
  <c r="A45" i="99" s="1"/>
  <c r="J46" i="99"/>
  <c r="H46" i="99" l="1"/>
  <c r="I46" i="99"/>
  <c r="K46" i="99" l="1"/>
  <c r="L46" i="99" s="1"/>
  <c r="A46" i="99" s="1"/>
  <c r="J47" i="99"/>
  <c r="E46" i="99"/>
  <c r="F46" i="99" l="1"/>
  <c r="H47" i="99" l="1"/>
  <c r="I47" i="99"/>
  <c r="K47" i="99" l="1"/>
  <c r="L47" i="99" s="1"/>
  <c r="A47" i="99" s="1"/>
  <c r="J48" i="99"/>
  <c r="E47" i="99"/>
  <c r="F47" i="99" l="1"/>
  <c r="H48" i="99" l="1"/>
  <c r="I48" i="99"/>
  <c r="J49" i="99" l="1"/>
  <c r="K48" i="99"/>
  <c r="L48" i="99" s="1"/>
  <c r="A48" i="99" s="1"/>
  <c r="E48" i="99"/>
  <c r="F48" i="99" l="1"/>
  <c r="H49" i="99" l="1"/>
  <c r="I49" i="99"/>
  <c r="K49" i="99" l="1"/>
  <c r="L49" i="99" s="1"/>
  <c r="A49" i="99" s="1"/>
  <c r="J50" i="99"/>
  <c r="E49" i="99"/>
  <c r="F49" i="99" l="1"/>
  <c r="I50" i="99" l="1"/>
  <c r="H50" i="99"/>
  <c r="E50" i="99" l="1"/>
  <c r="F50" i="99"/>
  <c r="K50" i="99"/>
  <c r="L50" i="99" s="1"/>
  <c r="A50" i="99" s="1"/>
  <c r="J51" i="99"/>
  <c r="I51" i="99" l="1"/>
  <c r="H51" i="99"/>
  <c r="E51" i="99" s="1"/>
  <c r="F51" i="99" l="1"/>
  <c r="K51" i="99"/>
  <c r="L51" i="99" s="1"/>
  <c r="A51" i="99" s="1"/>
  <c r="J52" i="99"/>
  <c r="I52" i="99" l="1"/>
  <c r="H52" i="99"/>
  <c r="E52" i="99" l="1"/>
  <c r="F52" i="99"/>
  <c r="K52" i="99"/>
  <c r="L52" i="99" s="1"/>
  <c r="A52" i="99" s="1"/>
  <c r="J53" i="99"/>
  <c r="I53" i="99" l="1"/>
  <c r="H53" i="99"/>
  <c r="K53" i="99" l="1"/>
  <c r="L53" i="99" s="1"/>
  <c r="A53" i="99" s="1"/>
  <c r="J54" i="99"/>
  <c r="E53" i="99"/>
  <c r="F53" i="99" l="1"/>
  <c r="H54" i="99" l="1"/>
  <c r="I54" i="99"/>
  <c r="J55" i="99" l="1"/>
  <c r="K54" i="99"/>
  <c r="L54" i="99" s="1"/>
  <c r="A54" i="99" s="1"/>
  <c r="E54" i="99"/>
  <c r="F54" i="99" l="1"/>
  <c r="H55" i="99" l="1"/>
  <c r="I55" i="99"/>
  <c r="E55" i="99" l="1"/>
  <c r="F55" i="99" s="1"/>
  <c r="J56" i="99"/>
  <c r="K55" i="99"/>
  <c r="L55" i="99" s="1"/>
  <c r="A55" i="99" s="1"/>
  <c r="H56" i="99" l="1"/>
  <c r="I56" i="99"/>
  <c r="K56" i="99" l="1"/>
  <c r="L56" i="99" s="1"/>
  <c r="A56" i="99" s="1"/>
  <c r="J57" i="99"/>
  <c r="E56" i="99"/>
  <c r="F56" i="99" l="1"/>
  <c r="H57" i="99" l="1"/>
  <c r="I57" i="99"/>
  <c r="K57" i="99" l="1"/>
  <c r="L57" i="99" s="1"/>
  <c r="A57" i="99" s="1"/>
  <c r="J58" i="99"/>
  <c r="E57" i="99"/>
  <c r="F57" i="99" l="1"/>
  <c r="I58" i="99" l="1"/>
  <c r="H58" i="99"/>
  <c r="E58" i="99" l="1"/>
  <c r="F58" i="99"/>
  <c r="K58" i="99"/>
  <c r="L58" i="99" s="1"/>
  <c r="A58" i="99" s="1"/>
  <c r="J59" i="99"/>
  <c r="I59" i="99" l="1"/>
  <c r="H59" i="99"/>
  <c r="E59" i="99" s="1"/>
  <c r="K59" i="99" l="1"/>
  <c r="L59" i="99" s="1"/>
  <c r="A59" i="99" s="1"/>
  <c r="J60" i="99"/>
  <c r="F59" i="99"/>
  <c r="I60" i="99" l="1"/>
  <c r="H60" i="99"/>
  <c r="E60" i="99" l="1"/>
  <c r="F60" i="99"/>
  <c r="K60" i="99"/>
  <c r="L60" i="99" s="1"/>
  <c r="A60" i="99" s="1"/>
  <c r="J61" i="99"/>
  <c r="I61" i="99" l="1"/>
  <c r="H61" i="99"/>
  <c r="E61" i="99" s="1"/>
  <c r="F61" i="99" l="1"/>
  <c r="J62" i="99"/>
  <c r="K61" i="99"/>
  <c r="L61" i="99" s="1"/>
  <c r="A61" i="99" s="1"/>
  <c r="H62" i="99" l="1"/>
  <c r="I62" i="99"/>
  <c r="E62" i="99" l="1"/>
  <c r="F62" i="99" s="1"/>
  <c r="K62" i="99"/>
  <c r="L62" i="99" s="1"/>
  <c r="A62" i="99" s="1"/>
  <c r="J63" i="99"/>
  <c r="H63" i="99" l="1"/>
  <c r="I63" i="99"/>
  <c r="E63" i="99" l="1"/>
  <c r="F63" i="99" s="1"/>
  <c r="K63" i="99"/>
  <c r="L63" i="99" s="1"/>
  <c r="A63" i="99" s="1"/>
  <c r="J64" i="99"/>
  <c r="H64" i="99" l="1"/>
  <c r="I64" i="99"/>
  <c r="E64" i="99" l="1"/>
  <c r="F64" i="99" s="1"/>
  <c r="K64" i="99"/>
  <c r="L64" i="99" s="1"/>
  <c r="A64" i="99" s="1"/>
  <c r="J65" i="99"/>
  <c r="I65" i="99" l="1"/>
  <c r="H65" i="99"/>
  <c r="E65" i="99" s="1"/>
  <c r="F65" i="99" l="1"/>
  <c r="J66" i="99"/>
  <c r="K65" i="99"/>
  <c r="L65" i="99" s="1"/>
  <c r="A65" i="99" s="1"/>
  <c r="I66" i="99" l="1"/>
  <c r="H66" i="99"/>
  <c r="K66" i="99" l="1"/>
  <c r="L66" i="99" s="1"/>
  <c r="A66" i="99" s="1"/>
  <c r="J67" i="99"/>
  <c r="E66" i="99"/>
  <c r="F66" i="99" l="1"/>
  <c r="H67" i="99" l="1"/>
  <c r="I67" i="99"/>
  <c r="K67" i="99" l="1"/>
  <c r="L67" i="99" s="1"/>
  <c r="A67" i="99" s="1"/>
  <c r="J68" i="99"/>
  <c r="E67" i="99"/>
  <c r="F67" i="99" l="1"/>
  <c r="I68" i="99" l="1"/>
  <c r="H68" i="99"/>
  <c r="E68" i="99" l="1"/>
  <c r="F68" i="99" s="1"/>
  <c r="K68" i="99"/>
  <c r="L68" i="99" s="1"/>
  <c r="A68" i="99" s="1"/>
  <c r="J69" i="99"/>
  <c r="I69" i="99" l="1"/>
  <c r="H69" i="99"/>
  <c r="E69" i="99" l="1"/>
  <c r="F69" i="99"/>
  <c r="K69" i="99"/>
  <c r="L69" i="99" s="1"/>
  <c r="A69" i="99" s="1"/>
  <c r="J70" i="99"/>
  <c r="H70" i="99" l="1"/>
  <c r="I70" i="99"/>
  <c r="J71" i="99" l="1"/>
  <c r="K70" i="99"/>
  <c r="L70" i="99" s="1"/>
  <c r="A70" i="99" s="1"/>
  <c r="E70" i="99"/>
  <c r="F70" i="99" l="1"/>
  <c r="H71" i="99" l="1"/>
  <c r="I71" i="99"/>
  <c r="J72" i="99" l="1"/>
  <c r="K71" i="99"/>
  <c r="L71" i="99" s="1"/>
  <c r="A71" i="99" s="1"/>
  <c r="E71" i="99"/>
  <c r="F71" i="99" l="1"/>
  <c r="H72" i="99" l="1"/>
  <c r="I72" i="99"/>
  <c r="J73" i="99" l="1"/>
  <c r="K72" i="99"/>
  <c r="L72" i="99" s="1"/>
  <c r="A72" i="99" s="1"/>
  <c r="E72" i="99"/>
  <c r="F72" i="99" l="1"/>
  <c r="H73" i="99" l="1"/>
  <c r="I73" i="99"/>
  <c r="K73" i="99" l="1"/>
  <c r="L73" i="99" s="1"/>
  <c r="A73" i="99" s="1"/>
  <c r="J74" i="99"/>
  <c r="E73" i="99"/>
  <c r="F73" i="99" l="1"/>
  <c r="H74" i="99" l="1"/>
  <c r="I74" i="99"/>
  <c r="K74" i="99" l="1"/>
  <c r="L74" i="99" s="1"/>
  <c r="A74" i="99" s="1"/>
  <c r="J75" i="99"/>
  <c r="E74" i="99"/>
  <c r="F74" i="99" l="1"/>
  <c r="H75" i="99" l="1"/>
  <c r="I75" i="99"/>
  <c r="E75" i="99" l="1"/>
  <c r="F75" i="99" s="1"/>
  <c r="K75" i="99"/>
  <c r="L75" i="99" s="1"/>
  <c r="A75" i="99" s="1"/>
  <c r="J76" i="99"/>
  <c r="I76" i="99" l="1"/>
  <c r="H76" i="99"/>
  <c r="E76" i="99" s="1"/>
  <c r="F76" i="99" l="1"/>
  <c r="K76" i="99"/>
  <c r="L76" i="99" s="1"/>
  <c r="A76" i="99" s="1"/>
  <c r="J77" i="99"/>
  <c r="H77" i="99" l="1"/>
  <c r="I77" i="99"/>
  <c r="J78" i="99" l="1"/>
  <c r="K77" i="99"/>
  <c r="L77" i="99" s="1"/>
  <c r="A77" i="99" s="1"/>
  <c r="E77" i="99"/>
  <c r="F77" i="99" l="1"/>
  <c r="H78" i="99" l="1"/>
  <c r="I78" i="99"/>
  <c r="J79" i="99" l="1"/>
  <c r="K78" i="99"/>
  <c r="L78" i="99" s="1"/>
  <c r="A78" i="99" s="1"/>
  <c r="E78" i="99"/>
  <c r="F78" i="99" l="1"/>
  <c r="H79" i="99" l="1"/>
  <c r="I79" i="99"/>
  <c r="J80" i="99" l="1"/>
  <c r="K79" i="99"/>
  <c r="L79" i="99" s="1"/>
  <c r="A79" i="99" s="1"/>
  <c r="E79" i="99"/>
  <c r="F79" i="99" l="1"/>
  <c r="H80" i="99" l="1"/>
  <c r="I80" i="99"/>
  <c r="K80" i="99" l="1"/>
  <c r="L80" i="99" s="1"/>
  <c r="A80" i="99" s="1"/>
  <c r="J81" i="99"/>
  <c r="E80" i="99"/>
  <c r="F80" i="99" l="1"/>
  <c r="H81" i="99" l="1"/>
  <c r="I81" i="99"/>
  <c r="K81" i="99" l="1"/>
  <c r="L81" i="99" s="1"/>
  <c r="A81" i="99" s="1"/>
  <c r="J82" i="99"/>
  <c r="E81" i="99"/>
  <c r="F81" i="99" l="1"/>
  <c r="I82" i="99" l="1"/>
  <c r="H82" i="99"/>
  <c r="E82" i="99" s="1"/>
  <c r="F82" i="99" l="1"/>
  <c r="K82" i="99"/>
  <c r="L82" i="99" s="1"/>
  <c r="A82" i="99" s="1"/>
  <c r="J83" i="99"/>
  <c r="H83" i="99" l="1"/>
  <c r="I83" i="99"/>
  <c r="J84" i="99" l="1"/>
  <c r="K83" i="99"/>
  <c r="L83" i="99" s="1"/>
  <c r="A83" i="99" s="1"/>
  <c r="E83" i="99"/>
  <c r="F83" i="99" l="1"/>
  <c r="H84" i="99" l="1"/>
  <c r="I84" i="99"/>
  <c r="J85" i="99" l="1"/>
  <c r="K84" i="99"/>
  <c r="L84" i="99" s="1"/>
  <c r="A84" i="99" s="1"/>
  <c r="E84" i="99"/>
  <c r="F84" i="99" l="1"/>
  <c r="H85" i="99" l="1"/>
  <c r="I85" i="99"/>
  <c r="K85" i="99" l="1"/>
  <c r="L85" i="99" s="1"/>
  <c r="A85" i="99" s="1"/>
  <c r="J86" i="99"/>
  <c r="E85" i="99"/>
  <c r="F85" i="99" l="1"/>
  <c r="H86" i="99" l="1"/>
  <c r="I86" i="99"/>
  <c r="K86" i="99" l="1"/>
  <c r="L86" i="99" s="1"/>
  <c r="A86" i="99" s="1"/>
  <c r="J87" i="99"/>
  <c r="E86" i="99"/>
  <c r="F86" i="99" l="1"/>
  <c r="H87" i="99" l="1"/>
  <c r="I87" i="99"/>
  <c r="K87" i="99" l="1"/>
  <c r="L87" i="99" s="1"/>
  <c r="A87" i="99" s="1"/>
  <c r="J88" i="99"/>
  <c r="E87" i="99"/>
  <c r="F87" i="99" l="1"/>
  <c r="I88" i="99" l="1"/>
  <c r="H88" i="99"/>
  <c r="E88" i="99" l="1"/>
  <c r="F88" i="99"/>
  <c r="K88" i="99"/>
  <c r="L88" i="99" s="1"/>
  <c r="A88" i="99" s="1"/>
  <c r="J89" i="99"/>
  <c r="I89" i="99" l="1"/>
  <c r="H89" i="99"/>
  <c r="E89" i="99" l="1"/>
  <c r="F89" i="99" s="1"/>
  <c r="J90" i="99"/>
  <c r="K89" i="99"/>
  <c r="L89" i="99" s="1"/>
  <c r="A89" i="99" s="1"/>
  <c r="I90" i="99" l="1"/>
  <c r="H90" i="99"/>
  <c r="E90" i="99" l="1"/>
  <c r="F90" i="99"/>
  <c r="K90" i="99"/>
  <c r="L90" i="99" s="1"/>
  <c r="A90" i="99" s="1"/>
  <c r="J91" i="99"/>
  <c r="H91" i="99" l="1"/>
  <c r="I91" i="99"/>
  <c r="K91" i="99" l="1"/>
  <c r="L91" i="99" s="1"/>
  <c r="A91" i="99" s="1"/>
  <c r="J92" i="99"/>
  <c r="E91" i="99"/>
  <c r="F91" i="99" l="1"/>
  <c r="H92" i="99" l="1"/>
  <c r="I92" i="99"/>
  <c r="J93" i="99" l="1"/>
  <c r="K92" i="99"/>
  <c r="L92" i="99" s="1"/>
  <c r="A92" i="99" s="1"/>
  <c r="E92" i="99"/>
  <c r="F92" i="99" l="1"/>
  <c r="H93" i="99" l="1"/>
  <c r="I93" i="99"/>
  <c r="E93" i="99" l="1"/>
  <c r="F93" i="99"/>
  <c r="K93" i="99"/>
  <c r="L93" i="99" s="1"/>
  <c r="A93" i="99" s="1"/>
  <c r="J94" i="99"/>
  <c r="I94" i="99" l="1"/>
  <c r="H94" i="99"/>
  <c r="E94" i="99" l="1"/>
  <c r="F94" i="99"/>
  <c r="J95" i="99"/>
  <c r="K94" i="99"/>
  <c r="L94" i="99" s="1"/>
  <c r="A94" i="99" s="1"/>
  <c r="I95" i="99" l="1"/>
  <c r="H95" i="99"/>
  <c r="E95" i="99" s="1"/>
  <c r="F95" i="99" l="1"/>
  <c r="K95" i="99"/>
  <c r="L95" i="99" s="1"/>
  <c r="A95" i="99" s="1"/>
  <c r="J96" i="99"/>
  <c r="I96" i="99" l="1"/>
  <c r="H96" i="99"/>
  <c r="E96" i="99" l="1"/>
  <c r="F96" i="99" s="1"/>
  <c r="K96" i="99"/>
  <c r="L96" i="99" s="1"/>
  <c r="A96" i="99" s="1"/>
  <c r="J97" i="99"/>
  <c r="I97" i="99" l="1"/>
  <c r="H97" i="99"/>
  <c r="E97" i="99" l="1"/>
  <c r="F97" i="99"/>
  <c r="K97" i="99"/>
  <c r="L97" i="99" s="1"/>
  <c r="A97" i="99" s="1"/>
  <c r="J98" i="99"/>
  <c r="I98" i="99" l="1"/>
  <c r="H98" i="99"/>
  <c r="E98" i="99" s="1"/>
  <c r="F98" i="99" l="1"/>
  <c r="J99" i="99"/>
  <c r="K98" i="99"/>
  <c r="L98" i="99" s="1"/>
  <c r="A98" i="99" s="1"/>
  <c r="H99" i="99" l="1"/>
  <c r="I99" i="99"/>
  <c r="K99" i="99" l="1"/>
  <c r="L99" i="99" s="1"/>
  <c r="A99" i="99" s="1"/>
  <c r="J100" i="99"/>
  <c r="E99" i="99"/>
  <c r="F99" i="99" l="1"/>
  <c r="H100" i="99" l="1"/>
  <c r="I100" i="99"/>
  <c r="J101" i="99" l="1"/>
  <c r="K100" i="99"/>
  <c r="L100" i="99" s="1"/>
  <c r="A100" i="99" s="1"/>
  <c r="E100" i="99"/>
  <c r="F100" i="99" l="1"/>
  <c r="I101" i="99" l="1"/>
  <c r="H101" i="99"/>
  <c r="E101" i="99" l="1"/>
  <c r="F101" i="99" s="1"/>
  <c r="J102" i="99"/>
  <c r="K101" i="99"/>
  <c r="L101" i="99" s="1"/>
  <c r="A101" i="99" s="1"/>
  <c r="I102" i="99" l="1"/>
  <c r="H102" i="99"/>
  <c r="E102" i="99" s="1"/>
  <c r="F102" i="99" l="1"/>
  <c r="J103" i="99"/>
  <c r="K102" i="99"/>
  <c r="L102" i="99" s="1"/>
  <c r="A102" i="99" s="1"/>
  <c r="I103" i="99" l="1"/>
  <c r="H103" i="99"/>
  <c r="E103" i="99" l="1"/>
  <c r="F103" i="99"/>
  <c r="K103" i="99"/>
  <c r="L103" i="99" s="1"/>
  <c r="A103" i="99" s="1"/>
  <c r="J104" i="99"/>
  <c r="H104" i="99" l="1"/>
  <c r="I104" i="99"/>
  <c r="K104" i="99" l="1"/>
  <c r="L104" i="99" s="1"/>
  <c r="A104" i="99" s="1"/>
  <c r="J105" i="99"/>
  <c r="E104" i="99"/>
  <c r="F104" i="99" l="1"/>
  <c r="I105" i="99" l="1"/>
  <c r="H105" i="99"/>
  <c r="E105" i="99" l="1"/>
  <c r="F105" i="99" s="1"/>
  <c r="K105" i="99"/>
  <c r="L105" i="99" s="1"/>
  <c r="A105" i="99" s="1"/>
  <c r="J106" i="99"/>
  <c r="I106" i="99" l="1"/>
  <c r="H106" i="99"/>
  <c r="E106" i="99" l="1"/>
  <c r="F106" i="99"/>
  <c r="J107" i="99"/>
  <c r="K106" i="99"/>
  <c r="L106" i="99" s="1"/>
  <c r="A106" i="99" s="1"/>
  <c r="H107" i="99" l="1"/>
  <c r="I107" i="99"/>
  <c r="J108" i="99" l="1"/>
  <c r="K107" i="99"/>
  <c r="L107" i="99" s="1"/>
  <c r="A107" i="99" s="1"/>
  <c r="E107" i="99"/>
  <c r="F107" i="99" l="1"/>
  <c r="H108" i="99" l="1"/>
  <c r="I108" i="99"/>
  <c r="J109" i="99" l="1"/>
  <c r="K108" i="99"/>
  <c r="L108" i="99" s="1"/>
  <c r="A108" i="99" s="1"/>
  <c r="E108" i="99"/>
  <c r="F108" i="99" l="1"/>
  <c r="I109" i="99" l="1"/>
  <c r="H109" i="99"/>
  <c r="E109" i="99" l="1"/>
  <c r="F109" i="99"/>
  <c r="J110" i="99"/>
  <c r="K109" i="99"/>
  <c r="L109" i="99" s="1"/>
  <c r="A109" i="99" s="1"/>
  <c r="H110" i="99" l="1"/>
  <c r="I110" i="99"/>
  <c r="K110" i="99" l="1"/>
  <c r="L110" i="99" s="1"/>
  <c r="A110" i="99" s="1"/>
  <c r="J111" i="99"/>
  <c r="E110" i="99"/>
  <c r="F110" i="99" l="1"/>
  <c r="H111" i="99" l="1"/>
  <c r="I111" i="99"/>
  <c r="K111" i="99" l="1"/>
  <c r="L111" i="99" s="1"/>
  <c r="A111" i="99" s="1"/>
  <c r="J112" i="99"/>
  <c r="E111" i="99"/>
  <c r="F111" i="99" l="1"/>
  <c r="H112" i="99" l="1"/>
  <c r="I112" i="99"/>
  <c r="K112" i="99" l="1"/>
  <c r="L112" i="99" s="1"/>
  <c r="A112" i="99" s="1"/>
  <c r="J113" i="99"/>
  <c r="E112" i="99"/>
  <c r="F112" i="99" l="1"/>
  <c r="I113" i="99" l="1"/>
  <c r="H113" i="99"/>
  <c r="E113" i="99" s="1"/>
  <c r="F113" i="99" l="1"/>
  <c r="J114" i="99"/>
  <c r="K113" i="99"/>
  <c r="L113" i="99" s="1"/>
  <c r="A113" i="99" s="1"/>
  <c r="I114" i="99" l="1"/>
  <c r="H114" i="99"/>
  <c r="E114" i="99" s="1"/>
  <c r="F114" i="99" l="1"/>
  <c r="J115" i="99"/>
  <c r="K114" i="99"/>
  <c r="L114" i="99" s="1"/>
  <c r="A114" i="99" s="1"/>
  <c r="H115" i="99" l="1"/>
  <c r="I115" i="99"/>
  <c r="J116" i="99" l="1"/>
  <c r="K115" i="99"/>
  <c r="L115" i="99" s="1"/>
  <c r="A115" i="99" s="1"/>
  <c r="E115" i="99"/>
  <c r="F115" i="99" l="1"/>
  <c r="I116" i="99" l="1"/>
  <c r="H116" i="99"/>
  <c r="E116" i="99" s="1"/>
  <c r="F116" i="99" l="1"/>
  <c r="J117" i="99"/>
  <c r="K116" i="99"/>
  <c r="L116" i="99" s="1"/>
  <c r="A116" i="99" s="1"/>
  <c r="H117" i="99" l="1"/>
  <c r="I117" i="99"/>
  <c r="J118" i="99" l="1"/>
  <c r="K117" i="99"/>
  <c r="L117" i="99" s="1"/>
  <c r="A117" i="99" s="1"/>
  <c r="E117" i="99"/>
  <c r="F117" i="99" l="1"/>
  <c r="I118" i="99" l="1"/>
  <c r="H118" i="99"/>
  <c r="E118" i="99" l="1"/>
  <c r="F118" i="99" s="1"/>
  <c r="J119" i="99"/>
  <c r="K118" i="99"/>
  <c r="L118" i="99" s="1"/>
  <c r="A118" i="99" s="1"/>
  <c r="I119" i="99" l="1"/>
  <c r="H119" i="99"/>
  <c r="E119" i="99" s="1"/>
  <c r="F119" i="99" l="1"/>
  <c r="K119" i="99"/>
  <c r="L119" i="99" s="1"/>
  <c r="A119" i="99" s="1"/>
  <c r="J120" i="99"/>
  <c r="I120" i="99" l="1"/>
  <c r="H120" i="99"/>
  <c r="E120" i="99" l="1"/>
  <c r="F120" i="99" s="1"/>
  <c r="K120" i="99"/>
  <c r="L120" i="99" s="1"/>
  <c r="A120" i="99" s="1"/>
  <c r="J121" i="99"/>
  <c r="I121" i="99" l="1"/>
  <c r="H121" i="99"/>
  <c r="E121" i="99" l="1"/>
  <c r="F121" i="99" s="1"/>
  <c r="K121" i="99"/>
  <c r="L121" i="99" s="1"/>
  <c r="A121" i="99" s="1"/>
  <c r="J122" i="99"/>
  <c r="I122" i="99" l="1"/>
  <c r="H122" i="99"/>
  <c r="E122" i="99" s="1"/>
  <c r="F122" i="99" l="1"/>
  <c r="K122" i="99"/>
  <c r="L122" i="99" s="1"/>
  <c r="A122" i="99" s="1"/>
  <c r="J123" i="99"/>
  <c r="H123" i="99" l="1"/>
  <c r="I123" i="99"/>
  <c r="K123" i="99" l="1"/>
  <c r="L123" i="99" s="1"/>
  <c r="A123" i="99" s="1"/>
  <c r="J124" i="99"/>
  <c r="E123" i="99"/>
  <c r="F123" i="99" l="1"/>
  <c r="H124" i="99" l="1"/>
  <c r="I124" i="99"/>
  <c r="K124" i="99" l="1"/>
  <c r="L124" i="99" s="1"/>
  <c r="A124" i="99" s="1"/>
  <c r="J125" i="99"/>
  <c r="E124" i="99"/>
  <c r="F124" i="99" l="1"/>
  <c r="H125" i="99" l="1"/>
  <c r="I125" i="99"/>
  <c r="E125" i="99" l="1"/>
  <c r="F125" i="99" s="1"/>
  <c r="K125" i="99"/>
  <c r="L125" i="99" s="1"/>
  <c r="A125" i="99" s="1"/>
  <c r="J126" i="99"/>
  <c r="H126" i="99" l="1"/>
  <c r="I126" i="99"/>
  <c r="K126" i="99" l="1"/>
  <c r="L126" i="99" s="1"/>
  <c r="A126" i="99" s="1"/>
  <c r="J127" i="99"/>
  <c r="E126" i="99"/>
  <c r="F126" i="99" l="1"/>
  <c r="I127" i="99" l="1"/>
  <c r="H127" i="99"/>
  <c r="E127" i="99" l="1"/>
  <c r="F127" i="99"/>
  <c r="K127" i="99"/>
  <c r="L127" i="99" s="1"/>
  <c r="A127" i="99" s="1"/>
  <c r="J128" i="99"/>
  <c r="H128" i="99" l="1"/>
  <c r="I128" i="99"/>
  <c r="K128" i="99" l="1"/>
  <c r="L128" i="99" s="1"/>
  <c r="A128" i="99" s="1"/>
  <c r="J129" i="99"/>
  <c r="E128" i="99"/>
  <c r="F128" i="99" l="1"/>
  <c r="I129" i="99" l="1"/>
  <c r="H129" i="99"/>
  <c r="E129" i="99" l="1"/>
  <c r="F129" i="99"/>
  <c r="K129" i="99"/>
  <c r="L129" i="99" s="1"/>
  <c r="A129" i="99" s="1"/>
  <c r="J130" i="99"/>
  <c r="I130" i="99" l="1"/>
  <c r="H130" i="99"/>
  <c r="E130" i="99" l="1"/>
  <c r="F130" i="99" s="1"/>
  <c r="K130" i="99"/>
  <c r="L130" i="99" s="1"/>
  <c r="A130" i="99" s="1"/>
  <c r="J131" i="99"/>
  <c r="H131" i="99" l="1"/>
  <c r="I131" i="99"/>
  <c r="K131" i="99" l="1"/>
  <c r="L131" i="99" s="1"/>
  <c r="A131" i="99" s="1"/>
  <c r="J132" i="99"/>
  <c r="E131" i="99"/>
  <c r="F131" i="99" l="1"/>
  <c r="H132" i="99" l="1"/>
  <c r="I132" i="99"/>
  <c r="K132" i="99" l="1"/>
  <c r="L132" i="99" s="1"/>
  <c r="A132" i="99" s="1"/>
  <c r="J133" i="99"/>
  <c r="E132" i="99"/>
  <c r="F132" i="99" l="1"/>
  <c r="H133" i="99" l="1"/>
  <c r="I133" i="99"/>
  <c r="K133" i="99" l="1"/>
  <c r="L133" i="99" s="1"/>
  <c r="A133" i="99" s="1"/>
  <c r="J134" i="99"/>
  <c r="E133" i="99"/>
  <c r="F133" i="99" l="1"/>
  <c r="H134" i="99" l="1"/>
  <c r="I134" i="99"/>
  <c r="K134" i="99" l="1"/>
  <c r="L134" i="99" s="1"/>
  <c r="A134" i="99" s="1"/>
  <c r="J135" i="99"/>
  <c r="E134" i="99"/>
  <c r="F134" i="99" l="1"/>
  <c r="I135" i="99" l="1"/>
  <c r="H135" i="99"/>
  <c r="E135" i="99" l="1"/>
  <c r="F135" i="99" s="1"/>
  <c r="K135" i="99"/>
  <c r="L135" i="99" s="1"/>
  <c r="A135" i="99" s="1"/>
  <c r="J136" i="99"/>
  <c r="H136" i="99" l="1"/>
  <c r="I136" i="99"/>
  <c r="K136" i="99" l="1"/>
  <c r="L136" i="99" s="1"/>
  <c r="A136" i="99" s="1"/>
  <c r="J137" i="99"/>
  <c r="E136" i="99"/>
  <c r="F136" i="99" l="1"/>
  <c r="I137" i="99" l="1"/>
  <c r="H137" i="99"/>
  <c r="E137" i="99" l="1"/>
  <c r="F137" i="99" s="1"/>
  <c r="K137" i="99"/>
  <c r="L137" i="99" s="1"/>
  <c r="A137" i="99" s="1"/>
  <c r="J138" i="99"/>
  <c r="I138" i="99" l="1"/>
  <c r="H138" i="99"/>
  <c r="E138" i="99" l="1"/>
  <c r="F138" i="99"/>
  <c r="K138" i="99"/>
  <c r="L138" i="99" s="1"/>
  <c r="A138" i="99" s="1"/>
  <c r="J139" i="99"/>
  <c r="H139" i="99" l="1"/>
  <c r="I139" i="99"/>
  <c r="E139" i="99" l="1"/>
  <c r="F139" i="99" s="1"/>
  <c r="J140" i="99"/>
  <c r="K139" i="99"/>
  <c r="L139" i="99" s="1"/>
  <c r="A139" i="99" s="1"/>
  <c r="H140" i="99" l="1"/>
  <c r="I140" i="99"/>
  <c r="E140" i="99" l="1"/>
  <c r="K140" i="99"/>
  <c r="L140" i="99" s="1"/>
  <c r="A140" i="99" s="1"/>
  <c r="J141" i="99"/>
  <c r="F140" i="99"/>
  <c r="I141" i="99" l="1"/>
  <c r="H141" i="99"/>
  <c r="E141" i="99" l="1"/>
  <c r="F141" i="99"/>
  <c r="K141" i="99"/>
  <c r="L141" i="99" s="1"/>
  <c r="A141" i="99" s="1"/>
  <c r="J142" i="99"/>
  <c r="I142" i="99" l="1"/>
  <c r="H142" i="99"/>
  <c r="E142" i="99" s="1"/>
  <c r="F142" i="99" l="1"/>
  <c r="K142" i="99"/>
  <c r="L142" i="99" s="1"/>
  <c r="A142" i="99" s="1"/>
  <c r="J143" i="99"/>
  <c r="I143" i="99" l="1"/>
  <c r="H143" i="99"/>
  <c r="E143" i="99" l="1"/>
  <c r="F143" i="99" s="1"/>
  <c r="K143" i="99"/>
  <c r="L143" i="99" s="1"/>
  <c r="A143" i="99" s="1"/>
  <c r="J144" i="99"/>
  <c r="H144" i="99" l="1"/>
  <c r="I144" i="99"/>
  <c r="K144" i="99" l="1"/>
  <c r="L144" i="99" s="1"/>
  <c r="A144" i="99" s="1"/>
  <c r="J145" i="99"/>
  <c r="E144" i="99"/>
  <c r="F144" i="99" l="1"/>
  <c r="I145" i="99" l="1"/>
  <c r="H145" i="99"/>
  <c r="E145" i="99" l="1"/>
  <c r="F145" i="99" s="1"/>
  <c r="J146" i="99"/>
  <c r="K145" i="99"/>
  <c r="L145" i="99" s="1"/>
  <c r="A145" i="99" s="1"/>
  <c r="I146" i="99" l="1"/>
  <c r="H146" i="99"/>
  <c r="E146" i="99" s="1"/>
  <c r="F146" i="99" l="1"/>
  <c r="J147" i="99"/>
  <c r="K146" i="99"/>
  <c r="L146" i="99" s="1"/>
  <c r="A146" i="99" s="1"/>
  <c r="H147" i="99" l="1"/>
  <c r="I147" i="99"/>
  <c r="K147" i="99" l="1"/>
  <c r="L147" i="99" s="1"/>
  <c r="A147" i="99" s="1"/>
  <c r="J148" i="99"/>
  <c r="E147" i="99"/>
  <c r="F147" i="99" l="1"/>
  <c r="H148" i="99" l="1"/>
  <c r="I148" i="99"/>
  <c r="K148" i="99" l="1"/>
  <c r="L148" i="99" s="1"/>
  <c r="A148" i="99" s="1"/>
  <c r="J149" i="99"/>
  <c r="E148" i="99"/>
  <c r="F148" i="99" l="1"/>
  <c r="I149" i="99" l="1"/>
  <c r="H149" i="99"/>
  <c r="E149" i="99" l="1"/>
  <c r="F149" i="99"/>
  <c r="K149" i="99"/>
  <c r="L149" i="99" s="1"/>
  <c r="A149" i="99" s="1"/>
  <c r="J150" i="99"/>
  <c r="H150" i="99" l="1"/>
  <c r="I150" i="99"/>
  <c r="E150" i="99" l="1"/>
  <c r="F150" i="99" s="1"/>
  <c r="K150" i="99"/>
  <c r="L150" i="99" s="1"/>
  <c r="A150" i="99" s="1"/>
  <c r="J151" i="99"/>
  <c r="H151" i="99" l="1"/>
  <c r="I151" i="99"/>
  <c r="K151" i="99" l="1"/>
  <c r="L151" i="99" s="1"/>
  <c r="A151" i="99" s="1"/>
  <c r="J152" i="99"/>
  <c r="E151" i="99"/>
  <c r="F151" i="99" l="1"/>
  <c r="H152" i="99" l="1"/>
  <c r="I152" i="99"/>
  <c r="K152" i="99" l="1"/>
  <c r="L152" i="99" s="1"/>
  <c r="A152" i="99" s="1"/>
  <c r="J153" i="99"/>
  <c r="E152" i="99"/>
  <c r="F152" i="99" l="1"/>
  <c r="I153" i="99" l="1"/>
  <c r="H153" i="99"/>
  <c r="E153" i="99" l="1"/>
  <c r="F153" i="99"/>
  <c r="J154" i="99"/>
  <c r="K153" i="99"/>
  <c r="L153" i="99" s="1"/>
  <c r="A153" i="99" s="1"/>
  <c r="I154" i="99" l="1"/>
  <c r="H154" i="99"/>
  <c r="E154" i="99" s="1"/>
  <c r="F154" i="99" l="1"/>
  <c r="J155" i="99"/>
  <c r="K154" i="99"/>
  <c r="L154" i="99" s="1"/>
  <c r="A154" i="99" s="1"/>
  <c r="H155" i="99" l="1"/>
  <c r="I155" i="99"/>
  <c r="K155" i="99" l="1"/>
  <c r="L155" i="99" s="1"/>
  <c r="A155" i="99" s="1"/>
  <c r="J156" i="99"/>
  <c r="E155" i="99"/>
  <c r="F155" i="99" l="1"/>
  <c r="H156" i="99" l="1"/>
  <c r="I156" i="99"/>
  <c r="K156" i="99" l="1"/>
  <c r="L156" i="99" s="1"/>
  <c r="A156" i="99" s="1"/>
  <c r="J157" i="99"/>
  <c r="E156" i="99"/>
  <c r="F156" i="99" l="1"/>
  <c r="H157" i="99" l="1"/>
  <c r="I157" i="99"/>
  <c r="J158" i="99" l="1"/>
  <c r="K157" i="99"/>
  <c r="L157" i="99" s="1"/>
  <c r="A157" i="99" s="1"/>
  <c r="E157" i="99"/>
  <c r="F157" i="99" l="1"/>
  <c r="H158" i="99" l="1"/>
  <c r="I158" i="99"/>
  <c r="K158" i="99" l="1"/>
  <c r="L158" i="99" s="1"/>
  <c r="A158" i="99" s="1"/>
  <c r="J159" i="99"/>
  <c r="E158" i="99"/>
  <c r="F158" i="99" l="1"/>
  <c r="I159" i="99" l="1"/>
  <c r="H159" i="99"/>
  <c r="E159" i="99" l="1"/>
  <c r="K159" i="99"/>
  <c r="L159" i="99" s="1"/>
  <c r="A159" i="99" s="1"/>
  <c r="J160" i="99"/>
  <c r="F159" i="99" l="1"/>
  <c r="I160" i="99" l="1"/>
  <c r="H160" i="99"/>
  <c r="E160" i="99" l="1"/>
  <c r="F160" i="99"/>
  <c r="K160" i="99"/>
  <c r="L160" i="99" s="1"/>
  <c r="A160" i="99" s="1"/>
  <c r="J161" i="99"/>
  <c r="I161" i="99" l="1"/>
  <c r="H161" i="99"/>
  <c r="E161" i="99" l="1"/>
  <c r="F161" i="99" s="1"/>
  <c r="K161" i="99"/>
  <c r="L161" i="99" s="1"/>
  <c r="A161" i="99" s="1"/>
  <c r="J162" i="99"/>
  <c r="I162" i="99" l="1"/>
  <c r="H162" i="99"/>
  <c r="E162" i="99" s="1"/>
  <c r="F162" i="99" l="1"/>
  <c r="K162" i="99"/>
  <c r="L162" i="99" s="1"/>
  <c r="A162" i="99" s="1"/>
  <c r="J163" i="99"/>
  <c r="H163" i="99" l="1"/>
  <c r="I163" i="99"/>
  <c r="J164" i="99" l="1"/>
  <c r="K163" i="99"/>
  <c r="L163" i="99" s="1"/>
  <c r="A163" i="99" s="1"/>
  <c r="E163" i="99"/>
  <c r="F163" i="99" l="1"/>
  <c r="H164" i="99" l="1"/>
  <c r="I164" i="99"/>
  <c r="E164" i="99" l="1"/>
  <c r="F164" i="99" s="1"/>
  <c r="K164" i="99"/>
  <c r="L164" i="99" s="1"/>
  <c r="A164" i="99" s="1"/>
  <c r="J165" i="99"/>
  <c r="I165" i="99" l="1"/>
  <c r="H165" i="99"/>
  <c r="E165" i="99" l="1"/>
  <c r="J166" i="99"/>
  <c r="K165" i="99"/>
  <c r="L165" i="99" s="1"/>
  <c r="A165" i="99" s="1"/>
  <c r="F165" i="99" l="1"/>
  <c r="I166" i="99" l="1"/>
  <c r="H166" i="99"/>
  <c r="E166" i="99" l="1"/>
  <c r="F166" i="99" s="1"/>
  <c r="J167" i="99"/>
  <c r="K166" i="99"/>
  <c r="L166" i="99" s="1"/>
  <c r="A166" i="99" s="1"/>
  <c r="I167" i="99" l="1"/>
  <c r="H167" i="99"/>
  <c r="E167" i="99" l="1"/>
  <c r="F167" i="99" s="1"/>
  <c r="K167" i="99"/>
  <c r="L167" i="99" s="1"/>
  <c r="A167" i="99" s="1"/>
  <c r="J168" i="99"/>
  <c r="I168" i="99" l="1"/>
  <c r="H168" i="99"/>
  <c r="E168" i="99" l="1"/>
  <c r="F168" i="99" s="1"/>
  <c r="J169" i="99"/>
  <c r="K168" i="99"/>
  <c r="L168" i="99" s="1"/>
  <c r="A168" i="99" s="1"/>
  <c r="I169" i="99" l="1"/>
  <c r="H169" i="99"/>
  <c r="E169" i="99" l="1"/>
  <c r="F169" i="99" s="1"/>
  <c r="J170" i="99"/>
  <c r="K169" i="99"/>
  <c r="L169" i="99" s="1"/>
  <c r="A169" i="99" s="1"/>
  <c r="I170" i="99" l="1"/>
  <c r="H170" i="99"/>
  <c r="E170" i="99" s="1"/>
  <c r="F170" i="99" l="1"/>
  <c r="J171" i="99"/>
  <c r="K170" i="99"/>
  <c r="L170" i="99" s="1"/>
  <c r="A170" i="99" s="1"/>
  <c r="H171" i="99" l="1"/>
  <c r="I171" i="99"/>
  <c r="E171" i="99" l="1"/>
  <c r="F171" i="99" s="1"/>
  <c r="J172" i="99"/>
  <c r="K171" i="99"/>
  <c r="L171" i="99" s="1"/>
  <c r="A171" i="99" s="1"/>
  <c r="I172" i="99" l="1"/>
  <c r="H172" i="99"/>
  <c r="E172" i="99" l="1"/>
  <c r="F172" i="99"/>
  <c r="J173" i="99"/>
  <c r="K172" i="99"/>
  <c r="L172" i="99" s="1"/>
  <c r="A172" i="99" s="1"/>
  <c r="I173" i="99" l="1"/>
  <c r="H173" i="99"/>
  <c r="E173" i="99" l="1"/>
  <c r="F173" i="99"/>
  <c r="K173" i="99"/>
  <c r="L173" i="99" s="1"/>
  <c r="A173" i="99" s="1"/>
  <c r="J174" i="99"/>
  <c r="H174" i="99" l="1"/>
  <c r="I174" i="99"/>
  <c r="K174" i="99" l="1"/>
  <c r="L174" i="99" s="1"/>
  <c r="A174" i="99" s="1"/>
  <c r="J175" i="99"/>
  <c r="E174" i="99"/>
  <c r="F174" i="99" l="1"/>
  <c r="H175" i="99" l="1"/>
  <c r="I175" i="99"/>
  <c r="K175" i="99" l="1"/>
  <c r="L175" i="99" s="1"/>
  <c r="A175" i="99" s="1"/>
  <c r="J176" i="99"/>
  <c r="E175" i="99"/>
  <c r="F175" i="99" l="1"/>
  <c r="H176" i="99" l="1"/>
  <c r="I176" i="99"/>
  <c r="K176" i="99" l="1"/>
  <c r="L176" i="99" s="1"/>
  <c r="A176" i="99" s="1"/>
  <c r="J177" i="99"/>
  <c r="E176" i="99"/>
  <c r="F176" i="99" l="1"/>
  <c r="H177" i="99" l="1"/>
  <c r="I177" i="99"/>
  <c r="J178" i="99" l="1"/>
  <c r="K177" i="99"/>
  <c r="L177" i="99" s="1"/>
  <c r="A177" i="99" s="1"/>
  <c r="E177" i="99"/>
  <c r="F177" i="99" l="1"/>
  <c r="I178" i="99" l="1"/>
  <c r="H178" i="99"/>
  <c r="E178" i="99" s="1"/>
  <c r="F178" i="99" l="1"/>
  <c r="K178" i="99"/>
  <c r="L178" i="99" s="1"/>
  <c r="A178" i="99" s="1"/>
  <c r="J179" i="99"/>
  <c r="H179" i="99" l="1"/>
  <c r="I179" i="99"/>
  <c r="K179" i="99" l="1"/>
  <c r="L179" i="99" s="1"/>
  <c r="A179" i="99" s="1"/>
  <c r="J180" i="99"/>
  <c r="E179" i="99"/>
  <c r="F179" i="99" l="1"/>
  <c r="I180" i="99" l="1"/>
  <c r="H180" i="99"/>
  <c r="E180" i="99" l="1"/>
  <c r="F180" i="99" s="1"/>
  <c r="K180" i="99"/>
  <c r="L180" i="99" s="1"/>
  <c r="A180" i="99" s="1"/>
  <c r="J181" i="99"/>
  <c r="I181" i="99" l="1"/>
  <c r="H181" i="99"/>
  <c r="E181" i="99" s="1"/>
  <c r="F181" i="99" l="1"/>
  <c r="K181" i="99"/>
  <c r="L181" i="99" s="1"/>
  <c r="A181" i="99" s="1"/>
  <c r="J182" i="99"/>
  <c r="H182" i="99" l="1"/>
  <c r="I182" i="99"/>
  <c r="J183" i="99" l="1"/>
  <c r="K182" i="99"/>
  <c r="L182" i="99" s="1"/>
  <c r="A182" i="99" s="1"/>
  <c r="E182" i="99"/>
  <c r="F182" i="99" l="1"/>
  <c r="H183" i="99" l="1"/>
  <c r="I183" i="99"/>
  <c r="E183" i="99" l="1"/>
  <c r="F183" i="99" s="1"/>
  <c r="K183" i="99"/>
  <c r="L183" i="99" s="1"/>
  <c r="A183" i="99" s="1"/>
  <c r="J184" i="99"/>
  <c r="H184" i="99" l="1"/>
  <c r="I184" i="99"/>
  <c r="K184" i="99" l="1"/>
  <c r="L184" i="99" s="1"/>
  <c r="A184" i="99" s="1"/>
  <c r="J185" i="99"/>
  <c r="E184" i="99"/>
  <c r="F184" i="99" l="1"/>
  <c r="I185" i="99" l="1"/>
  <c r="H185" i="99"/>
  <c r="E185" i="99" l="1"/>
  <c r="F185" i="99" s="1"/>
  <c r="K185" i="99"/>
  <c r="L185" i="99" s="1"/>
  <c r="A185" i="99" s="1"/>
  <c r="J186" i="99"/>
  <c r="I186" i="99" l="1"/>
  <c r="H186" i="99"/>
  <c r="E186" i="99" l="1"/>
  <c r="F186" i="99"/>
  <c r="K186" i="99"/>
  <c r="L186" i="99" s="1"/>
  <c r="A186" i="99" s="1"/>
  <c r="J187" i="99"/>
  <c r="H187" i="99" l="1"/>
  <c r="I187" i="99"/>
  <c r="K187" i="99" l="1"/>
  <c r="L187" i="99" s="1"/>
  <c r="A187" i="99" s="1"/>
  <c r="J188" i="99"/>
  <c r="E187" i="99"/>
  <c r="F187" i="99" l="1"/>
  <c r="I188" i="99" l="1"/>
  <c r="H188" i="99"/>
  <c r="E188" i="99" s="1"/>
  <c r="F188" i="99" l="1"/>
  <c r="K188" i="99"/>
  <c r="L188" i="99" s="1"/>
  <c r="A188" i="99" s="1"/>
  <c r="J189" i="99"/>
  <c r="I189" i="99" l="1"/>
  <c r="H189" i="99"/>
  <c r="E189" i="99" l="1"/>
  <c r="F189" i="99" s="1"/>
  <c r="K189" i="99"/>
  <c r="L189" i="99" s="1"/>
  <c r="A189" i="99" s="1"/>
  <c r="J190" i="99"/>
  <c r="H190" i="99" l="1"/>
  <c r="I190" i="99"/>
  <c r="J191" i="99" l="1"/>
  <c r="K190" i="99"/>
  <c r="L190" i="99" s="1"/>
  <c r="A190" i="99" s="1"/>
  <c r="E190" i="99"/>
  <c r="F190" i="99" l="1"/>
  <c r="H191" i="99" l="1"/>
  <c r="I191" i="99"/>
  <c r="K191" i="99" l="1"/>
  <c r="L191" i="99" s="1"/>
  <c r="A191" i="99" s="1"/>
  <c r="J192" i="99"/>
  <c r="E191" i="99"/>
  <c r="F191" i="99" l="1"/>
  <c r="H192" i="99" l="1"/>
  <c r="I192" i="99"/>
  <c r="K192" i="99" l="1"/>
  <c r="L192" i="99" s="1"/>
  <c r="A192" i="99" s="1"/>
  <c r="J193" i="99"/>
  <c r="E192" i="99"/>
  <c r="F192" i="99" l="1"/>
  <c r="I193" i="99" l="1"/>
  <c r="H193" i="99"/>
  <c r="E193" i="99" s="1"/>
  <c r="F193" i="99" l="1"/>
  <c r="J194" i="99"/>
  <c r="K193" i="99"/>
  <c r="L193" i="99" s="1"/>
  <c r="A193" i="99" s="1"/>
  <c r="I194" i="99" l="1"/>
  <c r="H194" i="99"/>
  <c r="E194" i="99" s="1"/>
  <c r="F194" i="99" l="1"/>
  <c r="K194" i="99"/>
  <c r="L194" i="99" s="1"/>
  <c r="A194" i="99" s="1"/>
  <c r="J195" i="99"/>
  <c r="H195" i="99" l="1"/>
  <c r="I195" i="99"/>
  <c r="K195" i="99" l="1"/>
  <c r="L195" i="99" s="1"/>
  <c r="A195" i="99" s="1"/>
  <c r="J196" i="99"/>
  <c r="E195" i="99"/>
  <c r="F195" i="99" l="1"/>
  <c r="I196" i="99" l="1"/>
  <c r="H196" i="99"/>
  <c r="K196" i="99" l="1"/>
  <c r="L196" i="99" s="1"/>
  <c r="A196" i="99" s="1"/>
  <c r="J197" i="99"/>
  <c r="E196" i="99"/>
  <c r="F196" i="99" l="1"/>
  <c r="I197" i="99" l="1"/>
  <c r="H197" i="99"/>
  <c r="E197" i="99" s="1"/>
  <c r="F197" i="99" l="1"/>
  <c r="J198" i="99"/>
  <c r="K197" i="99"/>
  <c r="L197" i="99" s="1"/>
  <c r="A197" i="99" s="1"/>
  <c r="H198" i="99" l="1"/>
  <c r="I198" i="99"/>
  <c r="E198" i="99" l="1"/>
  <c r="F198" i="99" s="1"/>
  <c r="J199" i="99"/>
  <c r="K198" i="99"/>
  <c r="L198" i="99" s="1"/>
  <c r="A198" i="99" s="1"/>
  <c r="H199" i="99" l="1"/>
  <c r="I199" i="99"/>
  <c r="E199" i="99" l="1"/>
  <c r="K199" i="99"/>
  <c r="L199" i="99" s="1"/>
  <c r="A199" i="99" s="1"/>
  <c r="J200" i="99"/>
  <c r="F199" i="99"/>
  <c r="H200" i="99" l="1"/>
  <c r="I200" i="99"/>
  <c r="J201" i="99" l="1"/>
  <c r="K200" i="99"/>
  <c r="L200" i="99" s="1"/>
  <c r="A200" i="99" s="1"/>
  <c r="E200" i="99"/>
  <c r="F200" i="99" l="1"/>
  <c r="I201" i="99" l="1"/>
  <c r="H201" i="99"/>
  <c r="E201" i="99" s="1"/>
  <c r="F201" i="99" l="1"/>
  <c r="K201" i="99"/>
  <c r="L201" i="99" s="1"/>
  <c r="A201" i="99" s="1"/>
  <c r="J202" i="99"/>
  <c r="H202" i="99" l="1"/>
  <c r="I202" i="99"/>
  <c r="K202" i="99" l="1"/>
  <c r="L202" i="99" s="1"/>
  <c r="A202" i="99" s="1"/>
  <c r="J203" i="99"/>
  <c r="E202" i="99"/>
  <c r="F202" i="99" l="1"/>
  <c r="H203" i="99" l="1"/>
  <c r="I203" i="99"/>
  <c r="E203" i="99" l="1"/>
  <c r="F203" i="99" s="1"/>
  <c r="K203" i="99"/>
  <c r="L203" i="99" s="1"/>
  <c r="A203" i="99" s="1"/>
  <c r="J204" i="99"/>
  <c r="I204" i="99" l="1"/>
  <c r="H204" i="99"/>
  <c r="K204" i="99" l="1"/>
  <c r="L204" i="99" s="1"/>
  <c r="A204" i="99" s="1"/>
  <c r="J205" i="99"/>
  <c r="E204" i="99"/>
  <c r="F204" i="99" l="1"/>
  <c r="I205" i="99" l="1"/>
  <c r="H205" i="99"/>
  <c r="J206" i="99" l="1"/>
  <c r="K205" i="99"/>
  <c r="L205" i="99" s="1"/>
  <c r="A205" i="99" s="1"/>
  <c r="E205" i="99"/>
  <c r="F205" i="99" l="1"/>
  <c r="H206" i="99" l="1"/>
  <c r="I206" i="99"/>
  <c r="K206" i="99" l="1"/>
  <c r="L206" i="99" s="1"/>
  <c r="A206" i="99" s="1"/>
  <c r="J207" i="99"/>
  <c r="E206" i="99"/>
  <c r="F206" i="99" l="1"/>
  <c r="H207" i="99" l="1"/>
  <c r="I207" i="99"/>
  <c r="K207" i="99" l="1"/>
  <c r="L207" i="99" s="1"/>
  <c r="A207" i="99" s="1"/>
  <c r="J208" i="99"/>
  <c r="E207" i="99"/>
  <c r="F207" i="99" l="1"/>
  <c r="H208" i="99" l="1"/>
  <c r="I208" i="99"/>
  <c r="E208" i="99" l="1"/>
  <c r="F208" i="99" s="1"/>
  <c r="J209" i="99"/>
  <c r="K208" i="99"/>
  <c r="L208" i="99" s="1"/>
  <c r="A208" i="99" s="1"/>
  <c r="I209" i="99" l="1"/>
  <c r="H209" i="99"/>
  <c r="J210" i="99" l="1"/>
  <c r="K209" i="99"/>
  <c r="L209" i="99" s="1"/>
  <c r="A209" i="99" s="1"/>
  <c r="E209" i="99"/>
  <c r="F209" i="99" l="1"/>
  <c r="I210" i="99" l="1"/>
  <c r="H210" i="99"/>
  <c r="E210" i="99" s="1"/>
  <c r="F210" i="99" l="1"/>
  <c r="K210" i="99"/>
  <c r="L210" i="99" s="1"/>
  <c r="A210" i="99" s="1"/>
  <c r="J211" i="99"/>
  <c r="I211" i="99" l="1"/>
  <c r="H211" i="99"/>
  <c r="E211" i="99" l="1"/>
  <c r="F211" i="99"/>
  <c r="K211" i="99"/>
  <c r="L211" i="99" s="1"/>
  <c r="A211" i="99" s="1"/>
  <c r="J212" i="99"/>
  <c r="I212" i="99" l="1"/>
  <c r="H212" i="99"/>
  <c r="E212" i="99" s="1"/>
  <c r="F212" i="99" l="1"/>
  <c r="K212" i="99"/>
  <c r="L212" i="99" s="1"/>
  <c r="A212" i="99" s="1"/>
  <c r="J213" i="99"/>
  <c r="I213" i="99" l="1"/>
  <c r="H213" i="99"/>
  <c r="K213" i="99" l="1"/>
  <c r="L213" i="99" s="1"/>
  <c r="A213" i="99" s="1"/>
  <c r="J214" i="99"/>
  <c r="E213" i="99"/>
  <c r="F213" i="99" l="1"/>
  <c r="H214" i="99" l="1"/>
  <c r="I214" i="99"/>
  <c r="J215" i="99" l="1"/>
  <c r="K214" i="99"/>
  <c r="L214" i="99" s="1"/>
  <c r="A214" i="99" s="1"/>
  <c r="E214" i="99"/>
  <c r="F214" i="99" l="1"/>
  <c r="H215" i="99" l="1"/>
  <c r="I215" i="99"/>
  <c r="E215" i="99" l="1"/>
  <c r="F215" i="99" s="1"/>
  <c r="J216" i="99"/>
  <c r="K215" i="99"/>
  <c r="L215" i="99" s="1"/>
  <c r="A215" i="99" s="1"/>
  <c r="H216" i="99" l="1"/>
  <c r="I216" i="99"/>
  <c r="J217" i="99" l="1"/>
  <c r="K216" i="99"/>
  <c r="L216" i="99" s="1"/>
  <c r="A216" i="99" s="1"/>
  <c r="E216" i="99"/>
  <c r="F216" i="99" l="1"/>
  <c r="H217" i="99" l="1"/>
  <c r="I217" i="99"/>
  <c r="J218" i="99" l="1"/>
  <c r="K217" i="99"/>
  <c r="L217" i="99" s="1"/>
  <c r="A217" i="99" s="1"/>
  <c r="E217" i="99"/>
  <c r="F217" i="99" l="1"/>
  <c r="H218" i="99" l="1"/>
  <c r="I218" i="99"/>
  <c r="J219" i="99" l="1"/>
  <c r="K218" i="99"/>
  <c r="L218" i="99" s="1"/>
  <c r="A218" i="99" s="1"/>
  <c r="E218" i="99"/>
  <c r="F218" i="99" l="1"/>
  <c r="H219" i="99" l="1"/>
  <c r="I219" i="99"/>
  <c r="K219" i="99" l="1"/>
  <c r="L219" i="99" s="1"/>
  <c r="A219" i="99" s="1"/>
  <c r="J220" i="99"/>
  <c r="E219" i="99"/>
  <c r="F219" i="99" l="1"/>
  <c r="H220" i="99" l="1"/>
  <c r="I220" i="99"/>
  <c r="K220" i="99" l="1"/>
  <c r="L220" i="99" s="1"/>
  <c r="A220" i="99" s="1"/>
  <c r="J221" i="99"/>
  <c r="E220" i="99"/>
  <c r="F220" i="99" l="1"/>
  <c r="I221" i="99" l="1"/>
  <c r="H221" i="99"/>
  <c r="E221" i="99" l="1"/>
  <c r="F221" i="99" s="1"/>
  <c r="K221" i="99"/>
  <c r="L221" i="99" s="1"/>
  <c r="A221" i="99" s="1"/>
  <c r="J222" i="99"/>
  <c r="H222" i="99" l="1"/>
  <c r="I222" i="99"/>
  <c r="E222" i="99" l="1"/>
  <c r="F222" i="99"/>
  <c r="K222" i="99"/>
  <c r="L222" i="99" s="1"/>
  <c r="A222" i="99" s="1"/>
  <c r="J223" i="99"/>
  <c r="H223" i="99" l="1"/>
  <c r="I223" i="99"/>
  <c r="K223" i="99" l="1"/>
  <c r="L223" i="99" s="1"/>
  <c r="A223" i="99" s="1"/>
  <c r="J224" i="99"/>
  <c r="E223" i="99"/>
  <c r="F223" i="99" l="1"/>
  <c r="I224" i="99" l="1"/>
  <c r="H224" i="99"/>
  <c r="E224" i="99" s="1"/>
  <c r="F224" i="99" l="1"/>
  <c r="K224" i="99"/>
  <c r="L224" i="99" s="1"/>
  <c r="A224" i="99" s="1"/>
  <c r="J225" i="99"/>
  <c r="H225" i="99" l="1"/>
  <c r="I225" i="99"/>
  <c r="K225" i="99" l="1"/>
  <c r="L225" i="99" s="1"/>
  <c r="A225" i="99" s="1"/>
  <c r="J226" i="99"/>
  <c r="E225" i="99"/>
  <c r="F225" i="99" l="1"/>
  <c r="H226" i="99" l="1"/>
  <c r="I226" i="99"/>
  <c r="K226" i="99" l="1"/>
  <c r="L226" i="99" s="1"/>
  <c r="A226" i="99" s="1"/>
  <c r="J227" i="99"/>
  <c r="E226" i="99"/>
  <c r="F226" i="99" l="1"/>
  <c r="I227" i="99" l="1"/>
  <c r="H227" i="99"/>
  <c r="E227" i="99" s="1"/>
  <c r="F227" i="99" l="1"/>
  <c r="J228" i="99"/>
  <c r="K227" i="99"/>
  <c r="L227" i="99" s="1"/>
  <c r="A227" i="99" s="1"/>
  <c r="I228" i="99" l="1"/>
  <c r="H228" i="99"/>
  <c r="E228" i="99" s="1"/>
  <c r="F228" i="99" l="1"/>
  <c r="J229" i="99"/>
  <c r="K228" i="99"/>
  <c r="L228" i="99" s="1"/>
  <c r="A228" i="99" s="1"/>
  <c r="H229" i="99" l="1"/>
  <c r="I229" i="99"/>
  <c r="K229" i="99" l="1"/>
  <c r="L229" i="99" s="1"/>
  <c r="A229" i="99" s="1"/>
  <c r="J230" i="99"/>
  <c r="E229" i="99"/>
  <c r="F229" i="99" l="1"/>
  <c r="H230" i="99" l="1"/>
  <c r="I230" i="99"/>
  <c r="K230" i="99" l="1"/>
  <c r="L230" i="99" s="1"/>
  <c r="A230" i="99" s="1"/>
  <c r="J231" i="99"/>
  <c r="E230" i="99"/>
  <c r="F230" i="99" l="1"/>
  <c r="I231" i="99" l="1"/>
  <c r="H231" i="99"/>
  <c r="E231" i="99" l="1"/>
  <c r="F231" i="99"/>
  <c r="K231" i="99"/>
  <c r="L231" i="99" s="1"/>
  <c r="A231" i="99" s="1"/>
  <c r="J232" i="99"/>
  <c r="I232" i="99" l="1"/>
  <c r="H232" i="99"/>
  <c r="E232" i="99" l="1"/>
  <c r="F232" i="99" s="1"/>
  <c r="J233" i="99"/>
  <c r="K232" i="99"/>
  <c r="L232" i="99" s="1"/>
  <c r="A232" i="99" s="1"/>
  <c r="H233" i="99" l="1"/>
  <c r="I233" i="99"/>
  <c r="K233" i="99" l="1"/>
  <c r="L233" i="99" s="1"/>
  <c r="A233" i="99" s="1"/>
  <c r="J234" i="99"/>
  <c r="E233" i="99"/>
  <c r="F233" i="99" l="1"/>
  <c r="H234" i="99" l="1"/>
  <c r="I234" i="99"/>
  <c r="K234" i="99" l="1"/>
  <c r="L234" i="99" s="1"/>
  <c r="A234" i="99" s="1"/>
  <c r="J235" i="99"/>
  <c r="E234" i="99"/>
  <c r="F234" i="99" l="1"/>
  <c r="I235" i="99" l="1"/>
  <c r="H235" i="99"/>
  <c r="E235" i="99" s="1"/>
  <c r="F235" i="99" l="1"/>
  <c r="K235" i="99"/>
  <c r="L235" i="99" s="1"/>
  <c r="A235" i="99" s="1"/>
  <c r="J236" i="99"/>
  <c r="I236" i="99" l="1"/>
  <c r="H236" i="99"/>
  <c r="E236" i="99" l="1"/>
  <c r="F236" i="99"/>
  <c r="J237" i="99"/>
  <c r="K236" i="99"/>
  <c r="L236" i="99" s="1"/>
  <c r="A236" i="99" s="1"/>
  <c r="H237" i="99" l="1"/>
  <c r="I237" i="99"/>
  <c r="K237" i="99" l="1"/>
  <c r="L237" i="99" s="1"/>
  <c r="A237" i="99" s="1"/>
  <c r="J238" i="99"/>
  <c r="E237" i="99"/>
  <c r="F237" i="99" l="1"/>
  <c r="H238" i="99" l="1"/>
  <c r="I238" i="99"/>
  <c r="K238" i="99" l="1"/>
  <c r="L238" i="99" s="1"/>
  <c r="A238" i="99" s="1"/>
  <c r="J239" i="99"/>
  <c r="E238" i="99"/>
  <c r="F238" i="99" l="1"/>
  <c r="I239" i="99" l="1"/>
  <c r="H239" i="99"/>
  <c r="E239" i="99" s="1"/>
  <c r="F239" i="99" l="1"/>
  <c r="J240" i="99"/>
  <c r="K239" i="99"/>
  <c r="L239" i="99" s="1"/>
  <c r="A239" i="99" s="1"/>
  <c r="I240" i="99" l="1"/>
  <c r="H240" i="99"/>
  <c r="E240" i="99" s="1"/>
  <c r="F240" i="99" l="1"/>
  <c r="K240" i="99"/>
  <c r="L240" i="99" s="1"/>
  <c r="A240" i="99" s="1"/>
  <c r="J241" i="99"/>
  <c r="H241" i="99" l="1"/>
  <c r="I241" i="99"/>
  <c r="K241" i="99" l="1"/>
  <c r="L241" i="99" s="1"/>
  <c r="A241" i="99" s="1"/>
  <c r="J242" i="99"/>
  <c r="E241" i="99"/>
  <c r="F241" i="99" l="1"/>
  <c r="H242" i="99" l="1"/>
  <c r="I242" i="99"/>
  <c r="K242" i="99" l="1"/>
  <c r="L242" i="99" s="1"/>
  <c r="A242" i="99" s="1"/>
  <c r="J243" i="99"/>
  <c r="E242" i="99"/>
  <c r="F242" i="99" l="1"/>
  <c r="I243" i="99" l="1"/>
  <c r="H243" i="99"/>
  <c r="E243" i="99" l="1"/>
  <c r="F243" i="99" s="1"/>
  <c r="J244" i="99"/>
  <c r="K243" i="99"/>
  <c r="L243" i="99" s="1"/>
  <c r="A243" i="99" s="1"/>
  <c r="I244" i="99" l="1"/>
  <c r="H244" i="99"/>
  <c r="E244" i="99" l="1"/>
  <c r="F244" i="99" s="1"/>
  <c r="K244" i="99"/>
  <c r="L244" i="99" s="1"/>
  <c r="A244" i="99" s="1"/>
  <c r="J245" i="99"/>
  <c r="H245" i="99" l="1"/>
  <c r="I245" i="99"/>
  <c r="K245" i="99" l="1"/>
  <c r="L245" i="99" s="1"/>
  <c r="A245" i="99" s="1"/>
  <c r="J246" i="99"/>
  <c r="E245" i="99"/>
  <c r="F245" i="99" l="1"/>
  <c r="H246" i="99" l="1"/>
  <c r="I246" i="99"/>
  <c r="K246" i="99" l="1"/>
  <c r="L246" i="99" s="1"/>
  <c r="A246" i="99" s="1"/>
  <c r="J247" i="99"/>
  <c r="E246" i="99"/>
  <c r="F246" i="99" l="1"/>
  <c r="I247" i="99" l="1"/>
  <c r="H247" i="99"/>
  <c r="E247" i="99" l="1"/>
  <c r="F247" i="99" s="1"/>
  <c r="K247" i="99"/>
  <c r="L247" i="99" s="1"/>
  <c r="A247" i="99" s="1"/>
  <c r="J248" i="99"/>
  <c r="I248" i="99" l="1"/>
  <c r="H248" i="99"/>
  <c r="E248" i="99" s="1"/>
  <c r="F248" i="99" l="1"/>
  <c r="J249" i="99"/>
  <c r="K248" i="99"/>
  <c r="L248" i="99" s="1"/>
  <c r="A248" i="99" s="1"/>
  <c r="H249" i="99" l="1"/>
  <c r="I249" i="99"/>
  <c r="K249" i="99" l="1"/>
  <c r="L249" i="99" s="1"/>
  <c r="A249" i="99" s="1"/>
  <c r="J250" i="99"/>
  <c r="E249" i="99"/>
  <c r="F249" i="99" l="1"/>
  <c r="H250" i="99" l="1"/>
  <c r="I250" i="99"/>
  <c r="K250" i="99" l="1"/>
  <c r="L250" i="99" s="1"/>
  <c r="A250" i="99" s="1"/>
  <c r="J251" i="99"/>
  <c r="E250" i="99"/>
  <c r="F250" i="99" l="1"/>
  <c r="I251" i="99" l="1"/>
  <c r="H251" i="99"/>
  <c r="E251" i="99" l="1"/>
  <c r="F251" i="99"/>
  <c r="K251" i="99"/>
  <c r="L251" i="99" s="1"/>
  <c r="A251" i="99" s="1"/>
  <c r="J252" i="99"/>
  <c r="I252" i="99" l="1"/>
  <c r="H252" i="99"/>
  <c r="E252" i="99" s="1"/>
  <c r="F252" i="99" l="1"/>
  <c r="J253" i="99"/>
  <c r="K252" i="99"/>
  <c r="L252" i="99" s="1"/>
  <c r="A252" i="99" s="1"/>
  <c r="H253" i="99" l="1"/>
  <c r="I253" i="99"/>
  <c r="K253" i="99" l="1"/>
  <c r="L253" i="99" s="1"/>
  <c r="A253" i="99" s="1"/>
  <c r="J254" i="99"/>
  <c r="E253" i="99"/>
  <c r="F253" i="99" l="1"/>
  <c r="H254" i="99" l="1"/>
  <c r="I254" i="99"/>
  <c r="K254" i="99" l="1"/>
  <c r="L254" i="99" s="1"/>
  <c r="A254" i="99" s="1"/>
  <c r="J255" i="99"/>
  <c r="E254" i="99"/>
  <c r="F254" i="99" l="1"/>
  <c r="I255" i="99" l="1"/>
  <c r="H255" i="99"/>
  <c r="E255" i="99" s="1"/>
  <c r="F255" i="99" l="1"/>
  <c r="J256" i="99"/>
  <c r="K255" i="99"/>
  <c r="L255" i="99" s="1"/>
  <c r="A255" i="99" s="1"/>
  <c r="I256" i="99" l="1"/>
  <c r="H256" i="99"/>
  <c r="E256" i="99" s="1"/>
  <c r="F256" i="99" l="1"/>
  <c r="K256" i="99"/>
  <c r="L256" i="99" s="1"/>
  <c r="A256" i="99" s="1"/>
  <c r="J257" i="99"/>
  <c r="H257" i="99" l="1"/>
  <c r="I257" i="99"/>
  <c r="K257" i="99" l="1"/>
  <c r="L257" i="99" s="1"/>
  <c r="A257" i="99" s="1"/>
  <c r="J258" i="99"/>
  <c r="E257" i="99"/>
  <c r="F257" i="99" l="1"/>
  <c r="H258" i="99" l="1"/>
  <c r="I258" i="99"/>
  <c r="K258" i="99" l="1"/>
  <c r="L258" i="99" s="1"/>
  <c r="A258" i="99" s="1"/>
  <c r="J259" i="99"/>
  <c r="E258" i="99"/>
  <c r="F258" i="99" l="1"/>
  <c r="I259" i="99" l="1"/>
  <c r="H259" i="99"/>
  <c r="E259" i="99" s="1"/>
  <c r="F259" i="99" l="1"/>
  <c r="J260" i="99"/>
  <c r="K259" i="99"/>
  <c r="L259" i="99" s="1"/>
  <c r="A259" i="99" s="1"/>
  <c r="I260" i="99" l="1"/>
  <c r="H260" i="99"/>
  <c r="E260" i="99" l="1"/>
  <c r="F260" i="99"/>
  <c r="J261" i="99"/>
  <c r="K260" i="99"/>
  <c r="L260" i="99" s="1"/>
  <c r="A260" i="99" s="1"/>
  <c r="H261" i="99" l="1"/>
  <c r="I261" i="99"/>
  <c r="K261" i="99" l="1"/>
  <c r="L261" i="99" s="1"/>
  <c r="A261" i="99" s="1"/>
  <c r="J262" i="99"/>
  <c r="E261" i="99"/>
  <c r="F261" i="99" l="1"/>
  <c r="H262" i="99" l="1"/>
  <c r="I262" i="99"/>
  <c r="K262" i="99" l="1"/>
  <c r="L262" i="99" s="1"/>
  <c r="A262" i="99" s="1"/>
  <c r="J263" i="99"/>
  <c r="E262" i="99"/>
  <c r="F262" i="99" l="1"/>
  <c r="I263" i="99" l="1"/>
  <c r="H263" i="99"/>
  <c r="E263" i="99" l="1"/>
  <c r="F263" i="99"/>
  <c r="K263" i="99"/>
  <c r="L263" i="99" s="1"/>
  <c r="A263" i="99" s="1"/>
  <c r="J264" i="99"/>
  <c r="I264" i="99" l="1"/>
  <c r="H264" i="99"/>
  <c r="E264" i="99" l="1"/>
  <c r="F264" i="99" s="1"/>
  <c r="J265" i="99"/>
  <c r="K264" i="99"/>
  <c r="L264" i="99" s="1"/>
  <c r="A264" i="99" s="1"/>
  <c r="H265" i="99" l="1"/>
  <c r="I265" i="99"/>
  <c r="K265" i="99" l="1"/>
  <c r="L265" i="99" s="1"/>
  <c r="A265" i="99" s="1"/>
  <c r="J266" i="99"/>
  <c r="E265" i="99"/>
  <c r="F265" i="99" l="1"/>
  <c r="H266" i="99" l="1"/>
  <c r="I266" i="99"/>
  <c r="K266" i="99" l="1"/>
  <c r="L266" i="99" s="1"/>
  <c r="A266" i="99" s="1"/>
  <c r="J267" i="99"/>
  <c r="E266" i="99"/>
  <c r="F266" i="99" l="1"/>
  <c r="I267" i="99" l="1"/>
  <c r="H267" i="99"/>
  <c r="E267" i="99" l="1"/>
  <c r="F267" i="99"/>
  <c r="K267" i="99"/>
  <c r="L267" i="99" s="1"/>
  <c r="A267" i="99" s="1"/>
  <c r="J268" i="99"/>
  <c r="I268" i="99" l="1"/>
  <c r="H268" i="99"/>
  <c r="E268" i="99" l="1"/>
  <c r="F268" i="99"/>
  <c r="K268" i="99"/>
  <c r="L268" i="99" s="1"/>
  <c r="A268" i="99" s="1"/>
  <c r="J269" i="99"/>
  <c r="H269" i="99" l="1"/>
  <c r="I269" i="99"/>
  <c r="K269" i="99" l="1"/>
  <c r="L269" i="99" s="1"/>
  <c r="A269" i="99" s="1"/>
  <c r="J270" i="99"/>
  <c r="E269" i="99"/>
  <c r="F269" i="99" l="1"/>
  <c r="H270" i="99" l="1"/>
  <c r="I270" i="99"/>
  <c r="K270" i="99" l="1"/>
  <c r="L270" i="99" s="1"/>
  <c r="A270" i="99" s="1"/>
  <c r="J271" i="99"/>
  <c r="E270" i="99"/>
  <c r="F270" i="99" l="1"/>
  <c r="I271" i="99" l="1"/>
  <c r="H271" i="99"/>
  <c r="E271" i="99" s="1"/>
  <c r="F271" i="99" l="1"/>
  <c r="J272" i="99"/>
  <c r="K271" i="99"/>
  <c r="L271" i="99" s="1"/>
  <c r="A271" i="99" s="1"/>
  <c r="I272" i="99" l="1"/>
  <c r="H272" i="99"/>
  <c r="E272" i="99" s="1"/>
  <c r="F272" i="99" l="1"/>
  <c r="K272" i="99"/>
  <c r="L272" i="99" s="1"/>
  <c r="A272" i="99" s="1"/>
  <c r="J273" i="99"/>
  <c r="H273" i="99" l="1"/>
  <c r="I273" i="99"/>
  <c r="K273" i="99" l="1"/>
  <c r="L273" i="99" s="1"/>
  <c r="A273" i="99" s="1"/>
  <c r="J274" i="99"/>
  <c r="E273" i="99"/>
  <c r="F273" i="99" l="1"/>
  <c r="H274" i="99" l="1"/>
  <c r="I274" i="99"/>
  <c r="K274" i="99" l="1"/>
  <c r="L274" i="99" s="1"/>
  <c r="A274" i="99" s="1"/>
  <c r="J275" i="99"/>
  <c r="E274" i="99"/>
  <c r="F274" i="99" l="1"/>
  <c r="I275" i="99" l="1"/>
  <c r="H275" i="99"/>
  <c r="E275" i="99" l="1"/>
  <c r="F275" i="99" s="1"/>
  <c r="J276" i="99"/>
  <c r="K275" i="99"/>
  <c r="L275" i="99" s="1"/>
  <c r="A275" i="99" s="1"/>
  <c r="I276" i="99" l="1"/>
  <c r="H276" i="99"/>
  <c r="E276" i="99" l="1"/>
  <c r="F276" i="99" s="1"/>
  <c r="J277" i="99"/>
  <c r="K276" i="99"/>
  <c r="L276" i="99" s="1"/>
  <c r="A276" i="99" s="1"/>
  <c r="H277" i="99" l="1"/>
  <c r="I277" i="99"/>
  <c r="K277" i="99" l="1"/>
  <c r="L277" i="99" s="1"/>
  <c r="A277" i="99" s="1"/>
  <c r="J278" i="99"/>
  <c r="E277" i="99"/>
  <c r="F277" i="99" l="1"/>
  <c r="H278" i="99" l="1"/>
  <c r="I278" i="99"/>
  <c r="K278" i="99" l="1"/>
  <c r="L278" i="99" s="1"/>
  <c r="A278" i="99" s="1"/>
  <c r="J279" i="99"/>
  <c r="E278" i="99"/>
  <c r="F278" i="99" l="1"/>
  <c r="I279" i="99" l="1"/>
  <c r="H279" i="99"/>
  <c r="E279" i="99" l="1"/>
  <c r="F279" i="99"/>
  <c r="K279" i="99"/>
  <c r="L279" i="99" s="1"/>
  <c r="A279" i="99" s="1"/>
  <c r="J280" i="99"/>
  <c r="I280" i="99" l="1"/>
  <c r="H280" i="99"/>
  <c r="E280" i="99" l="1"/>
  <c r="F280" i="99" s="1"/>
  <c r="J281" i="99"/>
  <c r="K280" i="99"/>
  <c r="L280" i="99" s="1"/>
  <c r="A280" i="99" s="1"/>
  <c r="H281" i="99" l="1"/>
  <c r="I281" i="99"/>
  <c r="K281" i="99" l="1"/>
  <c r="L281" i="99" s="1"/>
  <c r="A281" i="99" s="1"/>
  <c r="J282" i="99"/>
  <c r="E281" i="99"/>
  <c r="F281" i="99" l="1"/>
  <c r="H282" i="99" l="1"/>
  <c r="I282" i="99"/>
  <c r="K282" i="99" l="1"/>
  <c r="L282" i="99" s="1"/>
  <c r="A282" i="99" s="1"/>
  <c r="J283" i="99"/>
  <c r="E282" i="99"/>
  <c r="F282" i="99" l="1"/>
  <c r="I283" i="99" l="1"/>
  <c r="H283" i="99"/>
  <c r="E283" i="99" l="1"/>
  <c r="F283" i="99"/>
  <c r="K283" i="99"/>
  <c r="L283" i="99" s="1"/>
  <c r="A283" i="99" s="1"/>
  <c r="J284" i="99"/>
  <c r="I284" i="99" l="1"/>
  <c r="H284" i="99"/>
  <c r="E284" i="99" l="1"/>
  <c r="F284" i="99"/>
  <c r="K284" i="99"/>
  <c r="L284" i="99" s="1"/>
  <c r="A284" i="99" s="1"/>
  <c r="J285" i="99"/>
  <c r="H285" i="99" l="1"/>
  <c r="I285" i="99"/>
  <c r="K285" i="99" l="1"/>
  <c r="L285" i="99" s="1"/>
  <c r="A285" i="99" s="1"/>
  <c r="J286" i="99"/>
  <c r="E285" i="99"/>
  <c r="F285" i="99" l="1"/>
  <c r="H286" i="99" l="1"/>
  <c r="I286" i="99"/>
  <c r="K286" i="99" l="1"/>
  <c r="L286" i="99" s="1"/>
  <c r="A286" i="99" s="1"/>
  <c r="J287" i="99"/>
  <c r="E286" i="99"/>
  <c r="F286" i="99" l="1"/>
  <c r="I287" i="99" l="1"/>
  <c r="H287" i="99"/>
  <c r="E287" i="99" s="1"/>
  <c r="F287" i="99" l="1"/>
  <c r="J288" i="99"/>
  <c r="K287" i="99"/>
  <c r="L287" i="99" s="1"/>
  <c r="A287" i="99" s="1"/>
  <c r="I288" i="99" l="1"/>
  <c r="H288" i="99"/>
  <c r="E288" i="99" s="1"/>
  <c r="F288" i="99" l="1"/>
  <c r="K288" i="99"/>
  <c r="L288" i="99" s="1"/>
  <c r="A288" i="99" s="1"/>
  <c r="J289" i="99"/>
  <c r="H289" i="99" l="1"/>
  <c r="I289" i="99"/>
  <c r="K289" i="99" l="1"/>
  <c r="L289" i="99" s="1"/>
  <c r="A289" i="99" s="1"/>
  <c r="J290" i="99"/>
  <c r="E289" i="99"/>
  <c r="F289" i="99" l="1"/>
  <c r="H290" i="99" l="1"/>
  <c r="I290" i="99"/>
  <c r="K290" i="99" l="1"/>
  <c r="L290" i="99" s="1"/>
  <c r="A290" i="99" s="1"/>
  <c r="J291" i="99"/>
  <c r="E290" i="99"/>
  <c r="F290" i="99" l="1"/>
  <c r="I291" i="99" l="1"/>
  <c r="H291" i="99"/>
  <c r="E291" i="99" l="1"/>
  <c r="F291" i="99" s="1"/>
  <c r="J292" i="99"/>
  <c r="K291" i="99"/>
  <c r="L291" i="99" s="1"/>
  <c r="A291" i="99" s="1"/>
  <c r="I292" i="99" l="1"/>
  <c r="H292" i="99"/>
  <c r="E292" i="99" l="1"/>
  <c r="F292" i="99"/>
  <c r="K292" i="99"/>
  <c r="L292" i="99" s="1"/>
  <c r="A292" i="99" s="1"/>
  <c r="J293" i="99"/>
  <c r="H293" i="99" l="1"/>
  <c r="I293" i="99"/>
  <c r="K293" i="99" l="1"/>
  <c r="L293" i="99" s="1"/>
  <c r="A293" i="99" s="1"/>
  <c r="J294" i="99"/>
  <c r="E293" i="99"/>
  <c r="F293" i="99" l="1"/>
  <c r="H294" i="99" l="1"/>
  <c r="I294" i="99"/>
  <c r="K294" i="99" l="1"/>
  <c r="L294" i="99" s="1"/>
  <c r="A294" i="99" s="1"/>
  <c r="J295" i="99"/>
  <c r="E294" i="99"/>
  <c r="F294" i="99" l="1"/>
  <c r="I295" i="99" l="1"/>
  <c r="H295" i="99"/>
  <c r="E295" i="99" s="1"/>
  <c r="F295" i="99" l="1"/>
  <c r="K295" i="99"/>
  <c r="L295" i="99" s="1"/>
  <c r="A295" i="99" s="1"/>
  <c r="J296" i="99"/>
  <c r="I296" i="99" l="1"/>
  <c r="H296" i="99"/>
  <c r="E296" i="99" l="1"/>
  <c r="F296" i="99"/>
  <c r="J297" i="99"/>
  <c r="K296" i="99"/>
  <c r="L296" i="99" s="1"/>
  <c r="A296" i="99" s="1"/>
  <c r="I297" i="99" l="1"/>
  <c r="H297" i="99"/>
  <c r="E297" i="99" l="1"/>
  <c r="F297" i="99"/>
  <c r="K297" i="99"/>
  <c r="L297" i="99" s="1"/>
  <c r="A297" i="99" s="1"/>
  <c r="J298" i="99"/>
  <c r="H298" i="99" l="1"/>
  <c r="I298" i="99"/>
  <c r="E298" i="99" l="1"/>
  <c r="K298" i="99"/>
  <c r="L298" i="99" s="1"/>
  <c r="A298" i="99" s="1"/>
  <c r="J299" i="99"/>
  <c r="F298" i="99"/>
  <c r="I299" i="99" l="1"/>
  <c r="H299" i="99"/>
  <c r="E299" i="99" s="1"/>
  <c r="F299" i="99" l="1"/>
  <c r="J300" i="99"/>
  <c r="K299" i="99"/>
  <c r="L299" i="99" s="1"/>
  <c r="A299" i="99" s="1"/>
  <c r="I300" i="99" l="1"/>
  <c r="H300" i="99"/>
  <c r="E300" i="99" l="1"/>
  <c r="F300" i="99" s="1"/>
  <c r="K300" i="99"/>
  <c r="L300" i="99" s="1"/>
  <c r="A300" i="99" s="1"/>
  <c r="J301" i="99"/>
  <c r="H301" i="99" l="1"/>
  <c r="I301" i="99"/>
  <c r="K301" i="99" l="1"/>
  <c r="L301" i="99" s="1"/>
  <c r="A301" i="99" s="1"/>
  <c r="J302" i="99"/>
  <c r="E301" i="99"/>
  <c r="F301" i="99" l="1"/>
  <c r="H302" i="99" l="1"/>
  <c r="I302" i="99"/>
  <c r="K302" i="99" l="1"/>
  <c r="L302" i="99" s="1"/>
  <c r="A302" i="99" s="1"/>
  <c r="J303" i="99"/>
  <c r="E302" i="99"/>
  <c r="F302" i="99" l="1"/>
  <c r="I303" i="99" l="1"/>
  <c r="H303" i="99"/>
  <c r="E303" i="99" s="1"/>
  <c r="F303" i="99" l="1"/>
  <c r="J304" i="99"/>
  <c r="K303" i="99"/>
  <c r="L303" i="99" s="1"/>
  <c r="A303" i="99" s="1"/>
  <c r="I304" i="99" l="1"/>
  <c r="H304" i="99"/>
  <c r="E304" i="99" s="1"/>
  <c r="F304" i="99" l="1"/>
  <c r="J305" i="99"/>
  <c r="K304" i="99"/>
  <c r="L304" i="99" s="1"/>
  <c r="A304" i="99" s="1"/>
  <c r="H305" i="99" l="1"/>
  <c r="I305" i="99"/>
  <c r="K305" i="99" l="1"/>
  <c r="L305" i="99" s="1"/>
  <c r="A305" i="99" s="1"/>
  <c r="J306" i="99"/>
  <c r="E305" i="99"/>
  <c r="F305" i="99" l="1"/>
  <c r="H306" i="99" l="1"/>
  <c r="I306" i="99"/>
  <c r="K306" i="99" l="1"/>
  <c r="L306" i="99" s="1"/>
  <c r="A306" i="99" s="1"/>
  <c r="J307" i="99"/>
  <c r="E306" i="99"/>
  <c r="F306" i="99" l="1"/>
  <c r="H307" i="99" l="1"/>
  <c r="I307" i="99"/>
  <c r="K307" i="99" l="1"/>
  <c r="L307" i="99" s="1"/>
  <c r="A307" i="99" s="1"/>
  <c r="J308" i="99"/>
  <c r="E307" i="99"/>
  <c r="F307" i="99" l="1"/>
  <c r="I308" i="99" l="1"/>
  <c r="H308" i="99"/>
  <c r="E308" i="99" s="1"/>
  <c r="F308" i="99" l="1"/>
  <c r="K308" i="99"/>
  <c r="L308" i="99" s="1"/>
  <c r="A308" i="99" s="1"/>
  <c r="J309" i="99"/>
  <c r="I309" i="99" l="1"/>
  <c r="H309" i="99"/>
  <c r="E309" i="99" s="1"/>
  <c r="F309" i="99" l="1"/>
  <c r="J310" i="99"/>
  <c r="K309" i="99"/>
  <c r="L309" i="99" s="1"/>
  <c r="A309" i="99" s="1"/>
  <c r="H310" i="99" l="1"/>
  <c r="I310" i="99"/>
  <c r="K310" i="99" l="1"/>
  <c r="L310" i="99" s="1"/>
  <c r="A310" i="99" s="1"/>
  <c r="J311" i="99"/>
  <c r="E310" i="99"/>
  <c r="F310" i="99" l="1"/>
  <c r="I311" i="99" l="1"/>
  <c r="H311" i="99"/>
  <c r="E311" i="99" s="1"/>
  <c r="F311" i="99" l="1"/>
  <c r="K311" i="99"/>
  <c r="L311" i="99" s="1"/>
  <c r="A311" i="99" s="1"/>
  <c r="J312" i="99"/>
  <c r="I312" i="99" l="1"/>
  <c r="H312" i="99"/>
  <c r="E312" i="99" s="1"/>
  <c r="F312" i="99" l="1"/>
  <c r="K312" i="99"/>
  <c r="L312" i="99" s="1"/>
  <c r="A312" i="99" s="1"/>
  <c r="J313" i="99"/>
  <c r="H313" i="99" l="1"/>
  <c r="I313" i="99"/>
  <c r="J314" i="99" l="1"/>
  <c r="K313" i="99"/>
  <c r="L313" i="99" s="1"/>
  <c r="A313" i="99" s="1"/>
  <c r="E313" i="99"/>
  <c r="F313" i="99" l="1"/>
  <c r="H314" i="99" l="1"/>
  <c r="I314" i="99"/>
  <c r="K314" i="99" l="1"/>
  <c r="L314" i="99" s="1"/>
  <c r="A314" i="99" s="1"/>
  <c r="J315" i="99"/>
  <c r="E314" i="99"/>
  <c r="F314" i="99" l="1"/>
  <c r="I315" i="99" l="1"/>
  <c r="H315" i="99"/>
  <c r="E315" i="99" s="1"/>
  <c r="F315" i="99" l="1"/>
  <c r="J316" i="99"/>
  <c r="K315" i="99"/>
  <c r="L315" i="99" s="1"/>
  <c r="A315" i="99" s="1"/>
  <c r="I316" i="99" l="1"/>
  <c r="H316" i="99"/>
  <c r="E316" i="99" s="1"/>
  <c r="F316" i="99" l="1"/>
  <c r="J317" i="99"/>
  <c r="K316" i="99"/>
  <c r="L316" i="99" s="1"/>
  <c r="A316" i="99" s="1"/>
  <c r="I317" i="99" l="1"/>
  <c r="H317" i="99"/>
  <c r="E317" i="99" s="1"/>
  <c r="F317" i="99" l="1"/>
  <c r="J318" i="99"/>
  <c r="K317" i="99"/>
  <c r="L317" i="99" s="1"/>
  <c r="A317" i="99" s="1"/>
  <c r="H318" i="99" l="1"/>
  <c r="I318" i="99"/>
  <c r="K318" i="99" l="1"/>
  <c r="L318" i="99" s="1"/>
  <c r="A318" i="99" s="1"/>
  <c r="J319" i="99"/>
  <c r="E318" i="99"/>
  <c r="F318" i="99" l="1"/>
  <c r="H319" i="99" l="1"/>
  <c r="I319" i="99"/>
  <c r="J320" i="99" l="1"/>
  <c r="K319" i="99"/>
  <c r="L319" i="99" s="1"/>
  <c r="A319" i="99" s="1"/>
  <c r="E319" i="99"/>
  <c r="F319" i="99" l="1"/>
  <c r="I320" i="99" l="1"/>
  <c r="H320" i="99"/>
  <c r="E320" i="99" l="1"/>
  <c r="F320" i="99" s="1"/>
  <c r="K320" i="99"/>
  <c r="L320" i="99" s="1"/>
  <c r="A320" i="99" s="1"/>
  <c r="J321" i="99"/>
  <c r="H321" i="99" l="1"/>
  <c r="I321" i="99"/>
  <c r="K321" i="99" l="1"/>
  <c r="L321" i="99" s="1"/>
  <c r="A321" i="99" s="1"/>
  <c r="J322" i="99"/>
  <c r="E321" i="99"/>
  <c r="F321" i="99" l="1"/>
  <c r="H322" i="99" l="1"/>
  <c r="I322" i="99"/>
  <c r="K322" i="99" l="1"/>
  <c r="L322" i="99" s="1"/>
  <c r="A322" i="99" s="1"/>
  <c r="J323" i="99"/>
  <c r="E322" i="99"/>
  <c r="F322" i="99" l="1"/>
  <c r="I323" i="99" l="1"/>
  <c r="H323" i="99"/>
  <c r="E323" i="99" s="1"/>
  <c r="F323" i="99" l="1"/>
  <c r="J324" i="99"/>
  <c r="K323" i="99"/>
  <c r="L323" i="99" s="1"/>
  <c r="A323" i="99" s="1"/>
  <c r="I324" i="99" l="1"/>
  <c r="H324" i="99"/>
  <c r="E324" i="99" s="1"/>
  <c r="F324" i="99" l="1"/>
  <c r="K324" i="99"/>
  <c r="L324" i="99" s="1"/>
  <c r="A324" i="99" s="1"/>
  <c r="J325" i="99"/>
  <c r="I325" i="99" l="1"/>
  <c r="H325" i="99"/>
  <c r="E325" i="99" s="1"/>
  <c r="F325" i="99" l="1"/>
  <c r="K325" i="99"/>
  <c r="L325" i="99" s="1"/>
  <c r="A325" i="99" s="1"/>
  <c r="J326" i="99"/>
  <c r="H326" i="99" l="1"/>
  <c r="I326" i="99"/>
  <c r="E326" i="99" l="1"/>
  <c r="F326" i="99" s="1"/>
  <c r="K326" i="99"/>
  <c r="L326" i="99" s="1"/>
  <c r="A326" i="99" s="1"/>
  <c r="J327" i="99"/>
  <c r="H327" i="99" l="1"/>
  <c r="I327" i="99"/>
  <c r="K327" i="99" l="1"/>
  <c r="L327" i="99" s="1"/>
  <c r="A327" i="99" s="1"/>
  <c r="J328" i="99"/>
  <c r="E327" i="99"/>
  <c r="F327" i="99" l="1"/>
  <c r="I328" i="99" l="1"/>
  <c r="H328" i="99"/>
  <c r="E328" i="99" l="1"/>
  <c r="F328" i="99"/>
  <c r="J329" i="99"/>
  <c r="K328" i="99"/>
  <c r="L328" i="99" s="1"/>
  <c r="A328" i="99" s="1"/>
  <c r="I329" i="99" l="1"/>
  <c r="H329" i="99"/>
  <c r="E329" i="99" s="1"/>
  <c r="F329" i="99" l="1"/>
  <c r="J330" i="99"/>
  <c r="K329" i="99"/>
  <c r="L329" i="99" s="1"/>
  <c r="A329" i="99" s="1"/>
  <c r="H330" i="99" l="1"/>
  <c r="I330" i="99"/>
  <c r="K330" i="99" l="1"/>
  <c r="L330" i="99" s="1"/>
  <c r="A330" i="99" s="1"/>
  <c r="J331" i="99"/>
  <c r="E330" i="99"/>
  <c r="F330" i="99" l="1"/>
  <c r="I331" i="99" l="1"/>
  <c r="H331" i="99"/>
  <c r="K331" i="99" l="1"/>
  <c r="L331" i="99" s="1"/>
  <c r="A331" i="99" s="1"/>
  <c r="J332" i="99"/>
  <c r="E331" i="99"/>
  <c r="F331" i="99" l="1"/>
  <c r="I332" i="99" l="1"/>
  <c r="H332" i="99"/>
  <c r="E332" i="99" s="1"/>
  <c r="F332" i="99" l="1"/>
  <c r="J333" i="99"/>
  <c r="K332" i="99"/>
  <c r="L332" i="99" s="1"/>
  <c r="A332" i="99" s="1"/>
  <c r="H333" i="99" l="1"/>
  <c r="I333" i="99"/>
  <c r="E333" i="99" l="1"/>
  <c r="K333" i="99"/>
  <c r="L333" i="99" s="1"/>
  <c r="A333" i="99" s="1"/>
  <c r="J334" i="99"/>
  <c r="F333" i="99"/>
  <c r="H334" i="99" l="1"/>
  <c r="I334" i="99"/>
  <c r="E334" i="99" l="1"/>
  <c r="K334" i="99"/>
  <c r="L334" i="99" s="1"/>
  <c r="A334" i="99" s="1"/>
  <c r="J335" i="99"/>
  <c r="F334" i="99"/>
  <c r="H335" i="99" l="1"/>
  <c r="I335" i="99"/>
  <c r="K335" i="99" l="1"/>
  <c r="L335" i="99" s="1"/>
  <c r="A335" i="99" s="1"/>
  <c r="J336" i="99"/>
  <c r="E335" i="99"/>
  <c r="F335" i="99" l="1"/>
  <c r="I336" i="99" l="1"/>
  <c r="H336" i="99"/>
  <c r="E336" i="99" s="1"/>
  <c r="F336" i="99" l="1"/>
  <c r="J337" i="99"/>
  <c r="K336" i="99"/>
  <c r="L336" i="99" s="1"/>
  <c r="A336" i="99" s="1"/>
  <c r="H337" i="99" l="1"/>
  <c r="I337" i="99"/>
  <c r="E337" i="99" l="1"/>
  <c r="J338" i="99"/>
  <c r="K337" i="99"/>
  <c r="L337" i="99" s="1"/>
  <c r="A337" i="99" s="1"/>
  <c r="F337" i="99"/>
  <c r="H338" i="99" l="1"/>
  <c r="I338" i="99"/>
  <c r="K338" i="99" l="1"/>
  <c r="L338" i="99" s="1"/>
  <c r="A338" i="99" s="1"/>
  <c r="J339" i="99"/>
  <c r="E338" i="99"/>
  <c r="F338" i="99" l="1"/>
  <c r="H339" i="99" l="1"/>
  <c r="I339" i="99"/>
  <c r="K339" i="99" l="1"/>
  <c r="L339" i="99" s="1"/>
  <c r="A339" i="99" s="1"/>
  <c r="J340" i="99"/>
  <c r="E339" i="99"/>
  <c r="F339" i="99" l="1"/>
  <c r="I340" i="99" l="1"/>
  <c r="H340" i="99"/>
  <c r="E340" i="99" l="1"/>
  <c r="F340" i="99"/>
  <c r="K340" i="99"/>
  <c r="L340" i="99" s="1"/>
  <c r="A340" i="99" s="1"/>
  <c r="J341" i="99"/>
  <c r="I341" i="99" l="1"/>
  <c r="H341" i="99"/>
  <c r="E341" i="99" l="1"/>
  <c r="F341" i="99"/>
  <c r="K341" i="99"/>
  <c r="L341" i="99" s="1"/>
  <c r="A341" i="99" s="1"/>
  <c r="J342" i="99"/>
  <c r="H342" i="99" l="1"/>
  <c r="I342" i="99"/>
  <c r="E342" i="99" l="1"/>
  <c r="F342" i="99" s="1"/>
  <c r="K342" i="99"/>
  <c r="L342" i="99" s="1"/>
  <c r="A342" i="99" s="1"/>
  <c r="J343" i="99"/>
  <c r="I343" i="99" l="1"/>
  <c r="H343" i="99"/>
  <c r="K343" i="99" l="1"/>
  <c r="L343" i="99" s="1"/>
  <c r="A343" i="99" s="1"/>
  <c r="J344" i="99"/>
  <c r="E343" i="99"/>
  <c r="F343" i="99" l="1"/>
  <c r="I344" i="99" l="1"/>
  <c r="H344" i="99"/>
  <c r="J345" i="99" l="1"/>
  <c r="K344" i="99"/>
  <c r="L344" i="99" s="1"/>
  <c r="A344" i="99" s="1"/>
  <c r="E344" i="99"/>
  <c r="F344" i="99" l="1"/>
  <c r="H345" i="99" l="1"/>
  <c r="I345" i="99"/>
  <c r="E345" i="99" l="1"/>
  <c r="F345" i="99" s="1"/>
  <c r="K345" i="99"/>
  <c r="L345" i="99" s="1"/>
  <c r="A345" i="99" s="1"/>
  <c r="J346" i="99"/>
  <c r="H346" i="99" l="1"/>
  <c r="I346" i="99"/>
  <c r="K346" i="99" l="1"/>
  <c r="L346" i="99" s="1"/>
  <c r="A346" i="99" s="1"/>
  <c r="J347" i="99"/>
  <c r="E346" i="99"/>
  <c r="F346" i="99" l="1"/>
  <c r="H347" i="99" l="1"/>
  <c r="I347" i="99"/>
  <c r="K347" i="99" l="1"/>
  <c r="L347" i="99" s="1"/>
  <c r="A347" i="99" s="1"/>
  <c r="J348" i="99"/>
  <c r="E347" i="99"/>
  <c r="F347" i="99" l="1"/>
  <c r="I348" i="99" l="1"/>
  <c r="H348" i="99"/>
  <c r="E348" i="99" s="1"/>
  <c r="F348" i="99" l="1"/>
  <c r="K348" i="99"/>
  <c r="L348" i="99" s="1"/>
  <c r="A348" i="99" s="1"/>
  <c r="J349" i="99"/>
  <c r="I349" i="99" l="1"/>
  <c r="H349" i="99"/>
  <c r="K349" i="99" l="1"/>
  <c r="L349" i="99" s="1"/>
  <c r="A349" i="99" s="1"/>
  <c r="J350" i="99"/>
  <c r="E349" i="99"/>
  <c r="F349" i="99" l="1"/>
  <c r="H350" i="99" l="1"/>
  <c r="I350" i="99"/>
  <c r="E350" i="99" l="1"/>
  <c r="F350" i="99"/>
  <c r="K350" i="99"/>
  <c r="L350" i="99" s="1"/>
  <c r="A350" i="99" s="1"/>
  <c r="J351" i="99"/>
  <c r="I351" i="99" l="1"/>
  <c r="H351" i="99"/>
  <c r="E351" i="99" s="1"/>
  <c r="F351" i="99" l="1"/>
  <c r="K351" i="99"/>
  <c r="L351" i="99" s="1"/>
  <c r="A351" i="99" s="1"/>
  <c r="J352" i="99"/>
  <c r="I352" i="99" l="1"/>
  <c r="H352" i="99"/>
  <c r="K352" i="99" l="1"/>
  <c r="L352" i="99" s="1"/>
  <c r="A352" i="99" s="1"/>
  <c r="J353" i="99"/>
  <c r="E352" i="99"/>
  <c r="F352" i="99" l="1"/>
  <c r="H353" i="99" l="1"/>
  <c r="I353" i="99"/>
  <c r="E353" i="99" l="1"/>
  <c r="F353" i="99"/>
  <c r="J354" i="99"/>
  <c r="K353" i="99"/>
  <c r="L353" i="99" s="1"/>
  <c r="A353" i="99" s="1"/>
  <c r="H354" i="99" l="1"/>
  <c r="I354" i="99"/>
  <c r="K354" i="99" l="1"/>
  <c r="L354" i="99" s="1"/>
  <c r="A354" i="99" s="1"/>
  <c r="J355" i="99"/>
  <c r="E354" i="99"/>
  <c r="F354" i="99" l="1"/>
  <c r="H355" i="99" l="1"/>
  <c r="I355" i="99"/>
  <c r="E355" i="99" l="1"/>
  <c r="F355" i="99" s="1"/>
  <c r="K355" i="99"/>
  <c r="L355" i="99" s="1"/>
  <c r="A355" i="99" s="1"/>
  <c r="J356" i="99"/>
  <c r="I356" i="99" l="1"/>
  <c r="H356" i="99"/>
  <c r="E356" i="99" s="1"/>
  <c r="F356" i="99" l="1"/>
  <c r="J357" i="99"/>
  <c r="K356" i="99"/>
  <c r="L356" i="99" s="1"/>
  <c r="A356" i="99" s="1"/>
  <c r="I357" i="99" l="1"/>
  <c r="H357" i="99"/>
  <c r="E357" i="99" l="1"/>
  <c r="F357" i="99"/>
  <c r="K357" i="99"/>
  <c r="L357" i="99" s="1"/>
  <c r="A357" i="99" s="1"/>
  <c r="J358" i="99"/>
  <c r="H358" i="99" l="1"/>
  <c r="I358" i="99"/>
  <c r="K358" i="99" l="1"/>
  <c r="L358" i="99" s="1"/>
  <c r="A358" i="99" s="1"/>
  <c r="J359" i="99"/>
  <c r="E358" i="99"/>
  <c r="F358" i="99" l="1"/>
  <c r="I359" i="99" l="1"/>
  <c r="H359" i="99"/>
  <c r="K359" i="99" l="1"/>
  <c r="L359" i="99" s="1"/>
  <c r="A359" i="99" s="1"/>
  <c r="J360" i="99"/>
  <c r="E359" i="99"/>
  <c r="F359" i="99" l="1"/>
  <c r="I360" i="99" l="1"/>
  <c r="H360" i="99"/>
  <c r="K360" i="99" l="1"/>
  <c r="L360" i="99" s="1"/>
  <c r="A360" i="99" s="1"/>
  <c r="J361" i="99"/>
  <c r="E360" i="99"/>
  <c r="F360" i="99" l="1"/>
  <c r="H361" i="99" l="1"/>
  <c r="I361" i="99"/>
  <c r="K361" i="99" l="1"/>
  <c r="L361" i="99" s="1"/>
  <c r="A361" i="99" s="1"/>
  <c r="J362" i="99"/>
  <c r="E361" i="99"/>
  <c r="F361" i="99" l="1"/>
  <c r="H362" i="99" l="1"/>
  <c r="I362" i="99"/>
  <c r="K362" i="99" l="1"/>
  <c r="L362" i="99" s="1"/>
  <c r="A362" i="99" s="1"/>
  <c r="J363" i="99"/>
  <c r="E362" i="99"/>
  <c r="F362" i="99" l="1"/>
  <c r="H363" i="99" l="1"/>
  <c r="I363" i="99"/>
  <c r="K363" i="99" l="1"/>
  <c r="L363" i="99" s="1"/>
  <c r="A363" i="99" s="1"/>
  <c r="J364" i="99"/>
  <c r="E363" i="99"/>
  <c r="F363" i="99" l="1"/>
  <c r="I364" i="99" l="1"/>
  <c r="H364" i="99"/>
  <c r="E364" i="99" l="1"/>
  <c r="F364" i="99"/>
  <c r="K364" i="99"/>
  <c r="L364" i="99" s="1"/>
  <c r="A364" i="99" s="1"/>
  <c r="J365" i="99"/>
  <c r="I365" i="99" l="1"/>
  <c r="H365" i="99"/>
  <c r="K365" i="99" l="1"/>
  <c r="L365" i="99" s="1"/>
  <c r="A365" i="99" s="1"/>
  <c r="J366" i="99"/>
  <c r="E365" i="99"/>
  <c r="F365" i="99" l="1"/>
  <c r="H366" i="99" l="1"/>
  <c r="I366" i="99"/>
  <c r="K366" i="99" l="1"/>
  <c r="L366" i="99" s="1"/>
  <c r="A366" i="99" s="1"/>
  <c r="J367" i="99"/>
  <c r="E366" i="99"/>
  <c r="F366" i="99" l="1"/>
  <c r="I367" i="99" l="1"/>
  <c r="H367" i="99"/>
  <c r="E367" i="99" s="1"/>
  <c r="F367" i="99" l="1"/>
  <c r="K367" i="99"/>
  <c r="L367" i="99" s="1"/>
  <c r="A367" i="99" s="1"/>
  <c r="J368" i="99"/>
  <c r="I368" i="99" l="1"/>
  <c r="H368" i="99"/>
  <c r="E368" i="99" s="1"/>
  <c r="F368" i="99" s="1"/>
  <c r="H369" i="99" l="1"/>
  <c r="I369" i="99"/>
  <c r="J369" i="99"/>
  <c r="K368" i="99"/>
  <c r="L368" i="99" s="1"/>
  <c r="A368" i="99" s="1"/>
  <c r="K369" i="99" l="1"/>
  <c r="L369" i="99" s="1"/>
  <c r="A369" i="99" s="1"/>
  <c r="J370" i="99"/>
  <c r="E369" i="99"/>
  <c r="F369" i="99" s="1"/>
  <c r="H370" i="99" l="1"/>
  <c r="I370" i="99"/>
  <c r="K370" i="99" l="1"/>
  <c r="L370" i="99" s="1"/>
  <c r="A370" i="99" s="1"/>
  <c r="J371" i="99"/>
  <c r="E370" i="99"/>
  <c r="F370" i="99" s="1"/>
  <c r="H371" i="99" l="1"/>
  <c r="I371" i="99"/>
  <c r="K371" i="99" l="1"/>
  <c r="L371" i="99" s="1"/>
  <c r="A371" i="99" s="1"/>
  <c r="J372" i="99"/>
  <c r="E371" i="99"/>
  <c r="F371" i="99" s="1"/>
  <c r="I372" i="99" l="1"/>
  <c r="K372" i="99" s="1"/>
  <c r="L372" i="99" s="1"/>
  <c r="A372" i="99" s="1"/>
  <c r="N7" i="99" s="1"/>
  <c r="H372" i="99"/>
  <c r="E372" i="99" l="1"/>
  <c r="F372" i="99" s="1"/>
  <c r="N8" i="99"/>
  <c r="O7" i="99" a="1"/>
  <c r="O7" i="99" s="1"/>
  <c r="N9" i="99" l="1"/>
  <c r="O8" i="99" a="1"/>
  <c r="O8" i="99" s="1"/>
  <c r="N10" i="99" l="1"/>
  <c r="O9" i="99" a="1"/>
  <c r="O9" i="99" s="1"/>
  <c r="N11" i="99" l="1"/>
  <c r="O10" i="99" a="1"/>
  <c r="O10" i="99" s="1"/>
  <c r="N12" i="99" l="1"/>
  <c r="O11" i="99" a="1"/>
  <c r="O11" i="99" s="1"/>
  <c r="N13" i="99" l="1"/>
  <c r="O12" i="99" a="1"/>
  <c r="O12" i="99" s="1"/>
  <c r="N14" i="99" l="1"/>
  <c r="O13" i="99" a="1"/>
  <c r="O13" i="99" s="1"/>
  <c r="N15" i="99" l="1"/>
  <c r="O14" i="99" a="1"/>
  <c r="O14" i="99" s="1"/>
  <c r="N16" i="99" l="1"/>
  <c r="O15" i="99" a="1"/>
  <c r="O15" i="99" s="1"/>
  <c r="N17" i="99" l="1"/>
  <c r="O16" i="99" a="1"/>
  <c r="O16" i="99" s="1"/>
  <c r="N18" i="99" l="1"/>
  <c r="O17" i="99" a="1"/>
  <c r="O17" i="99" s="1"/>
  <c r="N19" i="99" l="1"/>
  <c r="O18" i="99" a="1"/>
  <c r="O18" i="99" s="1"/>
  <c r="N20" i="99" l="1"/>
  <c r="O19" i="99" a="1"/>
  <c r="O19" i="99" s="1"/>
  <c r="N21" i="99" l="1"/>
  <c r="O20" i="99" a="1"/>
  <c r="O20" i="99" s="1"/>
  <c r="N22" i="99" l="1"/>
  <c r="O21" i="99" a="1"/>
  <c r="O21" i="99" s="1"/>
  <c r="N23" i="99" l="1"/>
  <c r="O22" i="99" a="1"/>
  <c r="O22" i="99" s="1"/>
  <c r="N24" i="99" l="1"/>
  <c r="O23" i="99" a="1"/>
  <c r="O23" i="99" s="1"/>
  <c r="N25" i="99" l="1"/>
  <c r="O24" i="99" a="1"/>
  <c r="O24" i="99" s="1"/>
  <c r="N26" i="99" l="1"/>
  <c r="O25" i="99" a="1"/>
  <c r="O25" i="99" s="1"/>
  <c r="N27" i="99" l="1"/>
  <c r="O26" i="99" a="1"/>
  <c r="O26" i="99" s="1"/>
  <c r="N28" i="99" l="1"/>
  <c r="O27" i="99" a="1"/>
  <c r="O27" i="99" s="1"/>
  <c r="N29" i="99" l="1"/>
  <c r="O28" i="99" a="1"/>
  <c r="O28" i="99" s="1"/>
  <c r="N30" i="99" l="1"/>
  <c r="O29" i="99" a="1"/>
  <c r="O29" i="99" s="1"/>
  <c r="N31" i="99" l="1"/>
  <c r="O30" i="99" a="1"/>
  <c r="O30" i="99" s="1"/>
  <c r="N32" i="99" l="1"/>
  <c r="O31" i="99" a="1"/>
  <c r="O31" i="99" s="1"/>
  <c r="N33" i="99" l="1"/>
  <c r="O32" i="99" a="1"/>
  <c r="O32" i="99" s="1"/>
  <c r="N34" i="99" l="1"/>
  <c r="O33" i="99" a="1"/>
  <c r="O33" i="99" s="1"/>
  <c r="N35" i="99" l="1"/>
  <c r="O34" i="99" a="1"/>
  <c r="O34" i="99" s="1"/>
  <c r="N36" i="99" l="1"/>
  <c r="O35" i="99" a="1"/>
  <c r="O35" i="99" s="1"/>
  <c r="N37" i="99" l="1"/>
  <c r="O36" i="99" a="1"/>
  <c r="O36" i="99" s="1"/>
  <c r="N38" i="99" l="1"/>
  <c r="O37" i="99" a="1"/>
  <c r="O37" i="99" s="1"/>
  <c r="N39" i="99" l="1"/>
  <c r="O38" i="99" a="1"/>
  <c r="O38" i="99" s="1"/>
  <c r="N40" i="99" l="1"/>
  <c r="O39" i="99" a="1"/>
  <c r="O39" i="99" s="1"/>
  <c r="O40" i="99" l="1" a="1"/>
  <c r="O40" i="99" s="1"/>
  <c r="N41" i="99"/>
  <c r="N42" i="99" l="1"/>
  <c r="O41" i="99" a="1"/>
  <c r="O41" i="99" s="1"/>
  <c r="N43" i="99" l="1"/>
  <c r="O42" i="99" a="1"/>
  <c r="O42" i="99" s="1"/>
  <c r="N44" i="99" l="1"/>
  <c r="O43" i="99" a="1"/>
  <c r="O43" i="99" s="1"/>
  <c r="N45" i="99" l="1"/>
  <c r="O44" i="99" a="1"/>
  <c r="O44" i="99" s="1"/>
  <c r="N46" i="99" l="1"/>
  <c r="O45" i="99" a="1"/>
  <c r="O45" i="99" s="1"/>
  <c r="N47" i="99" l="1"/>
  <c r="O46" i="99" a="1"/>
  <c r="O46" i="99" s="1"/>
  <c r="N48" i="99" l="1"/>
  <c r="O47" i="99" a="1"/>
  <c r="O47" i="99" s="1"/>
  <c r="O48" i="99" l="1" a="1"/>
  <c r="O48" i="99" s="1"/>
  <c r="N49" i="99"/>
  <c r="N50" i="99" l="1"/>
  <c r="O49" i="99" a="1"/>
  <c r="O49" i="99" s="1"/>
  <c r="N51" i="99" l="1"/>
  <c r="O50" i="99" a="1"/>
  <c r="O50" i="99" s="1"/>
  <c r="N52" i="99" l="1"/>
  <c r="O51" i="99" a="1"/>
  <c r="O51" i="99" s="1"/>
  <c r="N53" i="99" l="1"/>
  <c r="O52" i="99" a="1"/>
  <c r="O52" i="99" s="1"/>
  <c r="N54" i="99" l="1"/>
  <c r="O53" i="99" a="1"/>
  <c r="O53" i="99" s="1"/>
  <c r="N55" i="99" l="1"/>
  <c r="O54" i="99" a="1"/>
  <c r="O54" i="99" s="1"/>
  <c r="N56" i="99" l="1"/>
  <c r="O55" i="99" a="1"/>
  <c r="O55" i="99" s="1"/>
  <c r="O56" i="99" l="1" a="1"/>
  <c r="O56" i="99" s="1"/>
  <c r="N57" i="99"/>
  <c r="N58" i="99" l="1"/>
  <c r="O57" i="99" a="1"/>
  <c r="O57" i="99" s="1"/>
  <c r="N59" i="99" l="1"/>
  <c r="O58" i="99" a="1"/>
  <c r="O58" i="99" s="1"/>
  <c r="N60" i="99" l="1"/>
  <c r="O59" i="99" a="1"/>
  <c r="O59" i="99" s="1"/>
  <c r="N61" i="99" l="1"/>
  <c r="O60" i="99" a="1"/>
  <c r="O60" i="99" s="1"/>
  <c r="N62" i="99" l="1"/>
  <c r="O61" i="99" a="1"/>
  <c r="O61" i="99" s="1"/>
  <c r="N63" i="99" l="1"/>
  <c r="O62" i="99" a="1"/>
  <c r="O62" i="99" s="1"/>
  <c r="N64" i="99" l="1"/>
  <c r="O63" i="99" a="1"/>
  <c r="O63" i="99" s="1"/>
  <c r="N65" i="99" l="1"/>
  <c r="O64" i="99" a="1"/>
  <c r="O64" i="99" s="1"/>
  <c r="N66" i="99" l="1"/>
  <c r="O65" i="99" a="1"/>
  <c r="O65" i="99" s="1"/>
  <c r="N67" i="99" l="1"/>
  <c r="O66" i="99" a="1"/>
  <c r="O66" i="99" s="1"/>
  <c r="N68" i="99" l="1"/>
  <c r="O67" i="99" a="1"/>
  <c r="O67" i="99" s="1"/>
  <c r="N69" i="99" l="1"/>
  <c r="O68" i="99" a="1"/>
  <c r="O68" i="99" s="1"/>
  <c r="N70" i="99" l="1"/>
  <c r="O69" i="99" a="1"/>
  <c r="O69" i="99" s="1"/>
  <c r="N71" i="99" l="1"/>
  <c r="O70" i="99" a="1"/>
  <c r="O70" i="99" s="1"/>
  <c r="N72" i="99" l="1"/>
  <c r="O71" i="99" a="1"/>
  <c r="O71" i="99" s="1"/>
  <c r="N73" i="99" l="1"/>
  <c r="O72" i="99" a="1"/>
  <c r="O72" i="99" s="1"/>
  <c r="N74" i="99" l="1"/>
  <c r="O73" i="99" a="1"/>
  <c r="O73" i="99" s="1"/>
  <c r="N75" i="99" l="1"/>
  <c r="O74" i="99" a="1"/>
  <c r="O74" i="99" s="1"/>
  <c r="N76" i="99" l="1"/>
  <c r="O75" i="99" a="1"/>
  <c r="O75" i="99" s="1"/>
  <c r="N77" i="99" l="1"/>
  <c r="O76" i="99" a="1"/>
  <c r="O76" i="99" s="1"/>
  <c r="N78" i="99" l="1"/>
  <c r="O77" i="99" a="1"/>
  <c r="O77" i="99" s="1"/>
  <c r="N79" i="99" l="1"/>
  <c r="O78" i="99" a="1"/>
  <c r="O78" i="99" s="1"/>
  <c r="N80" i="99" l="1"/>
  <c r="O79" i="99" a="1"/>
  <c r="O79" i="99" s="1"/>
  <c r="N81" i="99" l="1"/>
  <c r="O80" i="99" a="1"/>
  <c r="O80" i="99" s="1"/>
  <c r="N82" i="99" l="1"/>
  <c r="O81" i="99" a="1"/>
  <c r="O81" i="99" s="1"/>
  <c r="N83" i="99" l="1"/>
  <c r="O82" i="99" a="1"/>
  <c r="O82" i="99" s="1"/>
  <c r="N84" i="99" l="1"/>
  <c r="O83" i="99" a="1"/>
  <c r="O83" i="99" s="1"/>
  <c r="N85" i="99" l="1"/>
  <c r="O84" i="99" a="1"/>
  <c r="O84" i="99" s="1"/>
  <c r="N86" i="99" l="1"/>
  <c r="O85" i="99" a="1"/>
  <c r="O85" i="99" s="1"/>
  <c r="N87" i="99" l="1"/>
  <c r="O86" i="99" a="1"/>
  <c r="O86" i="99" s="1"/>
  <c r="N88" i="99" l="1"/>
  <c r="O87" i="99" a="1"/>
  <c r="O87" i="99" s="1"/>
  <c r="N89" i="99" l="1"/>
  <c r="O88" i="99" a="1"/>
  <c r="O88" i="99" s="1"/>
  <c r="N90" i="99" l="1"/>
  <c r="O89" i="99" a="1"/>
  <c r="O89" i="99" s="1"/>
  <c r="N91" i="99" l="1"/>
  <c r="O90" i="99" a="1"/>
  <c r="O90" i="99" s="1"/>
  <c r="N92" i="99" l="1"/>
  <c r="O91" i="99" a="1"/>
  <c r="O91" i="99" s="1"/>
  <c r="N93" i="99" l="1"/>
  <c r="O92" i="99" a="1"/>
  <c r="O92" i="99" s="1"/>
  <c r="N94" i="99" l="1"/>
  <c r="O93" i="99" a="1"/>
  <c r="O93" i="99" s="1"/>
  <c r="N95" i="99" l="1"/>
  <c r="O94" i="99" a="1"/>
  <c r="O94" i="99" s="1"/>
  <c r="N96" i="99" l="1"/>
  <c r="O95" i="99" a="1"/>
  <c r="O95" i="99" s="1"/>
  <c r="N97" i="99" l="1"/>
  <c r="O96" i="99" a="1"/>
  <c r="O96" i="99" s="1"/>
  <c r="N98" i="99" l="1"/>
  <c r="O97" i="99" a="1"/>
  <c r="O97" i="99" s="1"/>
  <c r="N99" i="99" l="1"/>
  <c r="O98" i="99" a="1"/>
  <c r="O98" i="99" s="1"/>
  <c r="N100" i="99" l="1"/>
  <c r="O99" i="99" a="1"/>
  <c r="O99" i="99" s="1"/>
  <c r="N101" i="99" l="1"/>
  <c r="O100" i="99" a="1"/>
  <c r="O100" i="99" s="1"/>
  <c r="N102" i="99" l="1"/>
  <c r="O101" i="99" a="1"/>
  <c r="O101" i="99" s="1"/>
  <c r="N103" i="99" l="1"/>
  <c r="O102" i="99" a="1"/>
  <c r="O102" i="99" s="1"/>
  <c r="N104" i="99" l="1"/>
  <c r="O103" i="99" a="1"/>
  <c r="O103" i="99" s="1"/>
  <c r="N105" i="99" l="1"/>
  <c r="O104" i="99" a="1"/>
  <c r="O104" i="99" s="1"/>
  <c r="N106" i="99" l="1"/>
  <c r="O105" i="99" a="1"/>
  <c r="O105" i="99" s="1"/>
  <c r="N107" i="99" l="1"/>
  <c r="O106" i="99" a="1"/>
  <c r="O106" i="99" s="1"/>
  <c r="N108" i="99" l="1"/>
  <c r="O107" i="99" a="1"/>
  <c r="O107" i="99" s="1"/>
  <c r="N109" i="99" l="1"/>
  <c r="O108" i="99" a="1"/>
  <c r="O108" i="99" s="1"/>
  <c r="N110" i="99" l="1"/>
  <c r="O109" i="99" a="1"/>
  <c r="O109" i="99" s="1"/>
  <c r="N111" i="99" l="1"/>
  <c r="O110" i="99" a="1"/>
  <c r="O110" i="99" s="1"/>
  <c r="N112" i="99" l="1"/>
  <c r="O111" i="99" a="1"/>
  <c r="O111" i="99" s="1"/>
  <c r="N113" i="99" l="1"/>
  <c r="O112" i="99" a="1"/>
  <c r="O112" i="99" s="1"/>
  <c r="N114" i="99" l="1"/>
  <c r="O113" i="99" a="1"/>
  <c r="O113" i="99" s="1"/>
  <c r="N115" i="99" l="1"/>
  <c r="O114" i="99" a="1"/>
  <c r="O114" i="99" s="1"/>
  <c r="N116" i="99" l="1"/>
  <c r="O115" i="99" a="1"/>
  <c r="O115" i="99" s="1"/>
  <c r="N117" i="99" l="1"/>
  <c r="O116" i="99" a="1"/>
  <c r="O116" i="99" s="1"/>
  <c r="N118" i="99" l="1"/>
  <c r="O117" i="99" a="1"/>
  <c r="O117" i="99" s="1"/>
  <c r="N119" i="99" l="1"/>
  <c r="O118" i="99" a="1"/>
  <c r="O118" i="99" s="1"/>
  <c r="N120" i="99" l="1"/>
  <c r="O119" i="99" a="1"/>
  <c r="O119" i="99" s="1"/>
  <c r="N121" i="99" l="1"/>
  <c r="O120" i="99" a="1"/>
  <c r="O120" i="99" s="1"/>
  <c r="N122" i="99" l="1"/>
  <c r="O121" i="99" a="1"/>
  <c r="O121" i="99" s="1"/>
  <c r="O122" i="99" l="1" a="1"/>
  <c r="O122" i="99" s="1"/>
  <c r="B130" i="76"/>
  <c r="B131" i="76" l="1"/>
  <c r="C130" i="76"/>
  <c r="B13" i="76"/>
  <c r="T13" i="76" l="1"/>
  <c r="M13" i="76"/>
  <c r="N13" i="76"/>
  <c r="Q13" i="76"/>
  <c r="R13" i="76"/>
  <c r="O13" i="76"/>
  <c r="P13" i="76"/>
  <c r="S13" i="76"/>
  <c r="C13" i="76"/>
  <c r="B132" i="76"/>
  <c r="C131" i="76"/>
  <c r="C132" i="76" l="1"/>
  <c r="B133" i="76"/>
  <c r="E13" i="76"/>
  <c r="U13" i="76" s="1"/>
  <c r="I13" i="76"/>
  <c r="W13" i="76" s="1"/>
  <c r="K13" i="76"/>
  <c r="X13" i="76" s="1"/>
  <c r="G13" i="76"/>
  <c r="V13" i="76" s="1"/>
  <c r="Y13" i="76"/>
  <c r="D13" i="76"/>
  <c r="L13" i="76" l="1"/>
  <c r="F13" i="76"/>
  <c r="J13" i="76"/>
  <c r="H13" i="76"/>
  <c r="Z13" i="76"/>
  <c r="C133" i="76"/>
  <c r="B134" i="76"/>
  <c r="B135" i="76" l="1"/>
  <c r="C134" i="76"/>
  <c r="B136" i="76" l="1"/>
  <c r="C135" i="76"/>
  <c r="C136" i="76" l="1"/>
  <c r="B137" i="76"/>
  <c r="B138" i="76" l="1"/>
  <c r="C137" i="76"/>
  <c r="B139" i="76" l="1"/>
  <c r="C138" i="76"/>
  <c r="C139" i="76" l="1"/>
  <c r="B140" i="76"/>
  <c r="C140" i="76" l="1"/>
  <c r="B141" i="76"/>
  <c r="B142" i="76" l="1"/>
  <c r="C141" i="76"/>
  <c r="B143" i="76" l="1"/>
  <c r="C142" i="76"/>
  <c r="C143" i="76" l="1"/>
  <c r="B144" i="76"/>
  <c r="C144" i="76" l="1"/>
  <c r="B145" i="76"/>
  <c r="B146" i="76" l="1"/>
  <c r="C145" i="76"/>
  <c r="B147" i="76" l="1"/>
  <c r="C146" i="76"/>
  <c r="C147" i="76" l="1"/>
  <c r="B148" i="76"/>
  <c r="C148" i="76" l="1"/>
  <c r="B149" i="76"/>
  <c r="B150" i="76" l="1"/>
  <c r="C149" i="76"/>
  <c r="B151" i="76" l="1"/>
  <c r="C150" i="76"/>
  <c r="C151" i="76" l="1"/>
  <c r="B152" i="76"/>
  <c r="C152" i="76" l="1"/>
  <c r="B153" i="76"/>
  <c r="B154" i="76" l="1"/>
  <c r="C153" i="76"/>
  <c r="B155" i="76" l="1"/>
  <c r="C154" i="76"/>
  <c r="C155" i="76" l="1"/>
  <c r="B156" i="76"/>
  <c r="C156" i="76" l="1"/>
  <c r="B157" i="76"/>
  <c r="B158" i="76" l="1"/>
  <c r="C157" i="76"/>
  <c r="B159" i="76" l="1"/>
  <c r="C158" i="76"/>
  <c r="B160" i="76" l="1"/>
  <c r="C159" i="76"/>
  <c r="B161" i="76" l="1"/>
  <c r="C160" i="76"/>
  <c r="B162" i="76" l="1"/>
  <c r="C161" i="76"/>
  <c r="B163" i="76" l="1"/>
  <c r="C162" i="76"/>
  <c r="B164" i="76" l="1"/>
  <c r="C163" i="76"/>
  <c r="B165" i="76" l="1"/>
  <c r="C164" i="76"/>
  <c r="B166" i="76" l="1"/>
  <c r="C165" i="76"/>
  <c r="B167" i="76" l="1"/>
  <c r="C166" i="76"/>
  <c r="B168" i="76" l="1"/>
  <c r="C167" i="76"/>
  <c r="B169" i="76" l="1"/>
  <c r="C168" i="76"/>
  <c r="B170" i="76" l="1"/>
  <c r="C169" i="76"/>
  <c r="B171" i="76" l="1"/>
  <c r="C170" i="76"/>
  <c r="B172" i="76" l="1"/>
  <c r="C171" i="76"/>
  <c r="B173" i="76" l="1"/>
  <c r="C172" i="76"/>
  <c r="B174" i="76" l="1"/>
  <c r="C173" i="76"/>
  <c r="B175" i="76" l="1"/>
  <c r="C174" i="76"/>
  <c r="B176" i="76" l="1"/>
  <c r="C175" i="76"/>
  <c r="B177" i="76" l="1"/>
  <c r="C176" i="76"/>
  <c r="B178" i="76" l="1"/>
  <c r="C177" i="76"/>
  <c r="B179" i="76" l="1"/>
  <c r="C178" i="76"/>
  <c r="B180" i="76" l="1"/>
  <c r="C179" i="76"/>
  <c r="B181" i="76" l="1"/>
  <c r="C180" i="76"/>
  <c r="B182" i="76" l="1"/>
  <c r="C181" i="76"/>
  <c r="C182" i="76" l="1"/>
  <c r="J12" i="48"/>
  <c r="I12" i="48" l="1"/>
  <c r="G12" i="48"/>
  <c r="C124" i="63" l="1"/>
  <c r="L53" i="48"/>
  <c r="L52" i="48"/>
  <c r="J48" i="62" l="1"/>
  <c r="R48" i="62"/>
  <c r="Z48" i="62"/>
  <c r="AH48" i="62"/>
  <c r="AP48" i="62"/>
  <c r="AX48" i="62"/>
  <c r="E49" i="62"/>
  <c r="F130" i="48" s="1"/>
  <c r="L49" i="62"/>
  <c r="T49" i="62"/>
  <c r="AB49" i="62"/>
  <c r="AJ49" i="62"/>
  <c r="AR49" i="62"/>
  <c r="AZ49" i="62"/>
  <c r="K48" i="62"/>
  <c r="S48" i="62"/>
  <c r="AA48" i="62"/>
  <c r="AI48" i="62"/>
  <c r="AQ48" i="62"/>
  <c r="AY48" i="62"/>
  <c r="F49" i="62"/>
  <c r="M49" i="62"/>
  <c r="U49" i="62"/>
  <c r="AC49" i="62"/>
  <c r="AK49" i="62"/>
  <c r="AS49" i="62"/>
  <c r="BA49" i="62"/>
  <c r="E48" i="62"/>
  <c r="F129" i="48" s="1"/>
  <c r="L48" i="62"/>
  <c r="T48" i="62"/>
  <c r="AB48" i="62"/>
  <c r="AJ48" i="62"/>
  <c r="AR48" i="62"/>
  <c r="AZ48" i="62"/>
  <c r="G49" i="62"/>
  <c r="N49" i="62"/>
  <c r="V49" i="62"/>
  <c r="AD49" i="62"/>
  <c r="AL49" i="62"/>
  <c r="AT49" i="62"/>
  <c r="BB49" i="62"/>
  <c r="D48" i="62"/>
  <c r="O48" i="62"/>
  <c r="W48" i="62"/>
  <c r="AE48" i="62"/>
  <c r="AM48" i="62"/>
  <c r="AU48" i="62"/>
  <c r="BC48" i="62"/>
  <c r="I49" i="62"/>
  <c r="Q49" i="62"/>
  <c r="Y49" i="62"/>
  <c r="AG49" i="62"/>
  <c r="AO49" i="62"/>
  <c r="AW49" i="62"/>
  <c r="H48" i="62"/>
  <c r="P48" i="62"/>
  <c r="X48" i="62"/>
  <c r="AF48" i="62"/>
  <c r="AN48" i="62"/>
  <c r="AV48" i="62"/>
  <c r="BD48" i="62"/>
  <c r="J49" i="62"/>
  <c r="R49" i="62"/>
  <c r="Z49" i="62"/>
  <c r="AH49" i="62"/>
  <c r="AP49" i="62"/>
  <c r="AX49" i="62"/>
  <c r="Q48" i="62"/>
  <c r="AL48" i="62"/>
  <c r="D49" i="62"/>
  <c r="AA49" i="62"/>
  <c r="AV49" i="62"/>
  <c r="U48" i="62"/>
  <c r="AO48" i="62"/>
  <c r="H49" i="62"/>
  <c r="AE49" i="62"/>
  <c r="AY49" i="62"/>
  <c r="V48" i="62"/>
  <c r="AS48" i="62"/>
  <c r="K49" i="62"/>
  <c r="AF49" i="62"/>
  <c r="BC49" i="62"/>
  <c r="I48" i="62"/>
  <c r="AD48" i="62"/>
  <c r="BA48" i="62"/>
  <c r="S49" i="62"/>
  <c r="AN49" i="62"/>
  <c r="M48" i="62"/>
  <c r="AG48" i="62"/>
  <c r="BB48" i="62"/>
  <c r="W49" i="62"/>
  <c r="AQ49" i="62"/>
  <c r="N48" i="62"/>
  <c r="P49" i="62"/>
  <c r="G114" i="48"/>
  <c r="Y48" i="62"/>
  <c r="X49" i="62"/>
  <c r="AC48" i="62"/>
  <c r="AI49" i="62"/>
  <c r="AK48" i="62"/>
  <c r="AM49" i="62"/>
  <c r="AW48" i="62"/>
  <c r="BD49" i="62"/>
  <c r="F48" i="62"/>
  <c r="G48" i="62"/>
  <c r="AT48" i="62"/>
  <c r="O49" i="62"/>
  <c r="AU49" i="62"/>
  <c r="B188" i="76"/>
  <c r="B189" i="76" l="1"/>
  <c r="B14" i="76"/>
  <c r="BH49" i="62" a="1"/>
  <c r="BH49" i="62" s="1"/>
  <c r="BH48" i="62" a="1"/>
  <c r="BH48" i="62" s="1"/>
  <c r="AG29" i="45" s="1"/>
  <c r="BF49" i="62"/>
  <c r="BF48" i="62"/>
  <c r="AG16" i="45" s="1"/>
  <c r="H114" i="48"/>
  <c r="G129" i="48"/>
  <c r="G130" i="48"/>
  <c r="AG15" i="45" l="1"/>
  <c r="T14" i="76"/>
  <c r="M14" i="76"/>
  <c r="N14" i="76"/>
  <c r="O14" i="76"/>
  <c r="P14" i="76"/>
  <c r="C14" i="76"/>
  <c r="D14" i="76" s="1"/>
  <c r="S14" i="76"/>
  <c r="Q14" i="76"/>
  <c r="R14" i="76"/>
  <c r="B190" i="76"/>
  <c r="B15" i="76"/>
  <c r="AG23" i="45"/>
  <c r="AG28" i="45"/>
  <c r="AG31" i="45"/>
  <c r="AG20" i="45"/>
  <c r="AG32" i="45"/>
  <c r="AG33" i="45"/>
  <c r="AG30" i="45"/>
  <c r="AG17" i="45"/>
  <c r="AG27" i="45"/>
  <c r="AG18" i="45"/>
  <c r="I114" i="48"/>
  <c r="H130" i="48"/>
  <c r="H129" i="48"/>
  <c r="M15" i="76" l="1"/>
  <c r="N15" i="76"/>
  <c r="C15" i="76"/>
  <c r="D15" i="76" s="1"/>
  <c r="S15" i="76"/>
  <c r="P15" i="76"/>
  <c r="T15" i="76"/>
  <c r="O15" i="76"/>
  <c r="B191" i="76"/>
  <c r="B16" i="76"/>
  <c r="E14" i="76"/>
  <c r="U14" i="76" s="1"/>
  <c r="Y14" i="76"/>
  <c r="I14" i="76"/>
  <c r="W14" i="76" s="1"/>
  <c r="K14" i="76"/>
  <c r="X14" i="76" s="1"/>
  <c r="G14" i="76"/>
  <c r="V14" i="76" s="1"/>
  <c r="J14" i="76"/>
  <c r="R15" i="76" s="1"/>
  <c r="H14" i="76"/>
  <c r="Z14" i="76"/>
  <c r="L14" i="76"/>
  <c r="F14" i="76"/>
  <c r="J114" i="48"/>
  <c r="I130" i="48"/>
  <c r="I129" i="48"/>
  <c r="Q15" i="76" l="1"/>
  <c r="B192" i="76"/>
  <c r="B17" i="76"/>
  <c r="C16" i="76"/>
  <c r="S16" i="76"/>
  <c r="O16" i="76"/>
  <c r="M16" i="76"/>
  <c r="T16" i="76"/>
  <c r="N16" i="76"/>
  <c r="P16" i="76"/>
  <c r="G15" i="76"/>
  <c r="V15" i="76" s="1"/>
  <c r="K15" i="76"/>
  <c r="X15" i="76" s="1"/>
  <c r="Y15" i="76"/>
  <c r="E15" i="76"/>
  <c r="U15" i="76" s="1"/>
  <c r="I15" i="76"/>
  <c r="L15" i="76"/>
  <c r="J15" i="76"/>
  <c r="R16" i="76" s="1"/>
  <c r="F15" i="76"/>
  <c r="H15" i="76"/>
  <c r="Z15" i="76"/>
  <c r="K114" i="48"/>
  <c r="J129" i="48"/>
  <c r="J130" i="48"/>
  <c r="W15" i="76" l="1"/>
  <c r="Q16" i="76"/>
  <c r="D16" i="76"/>
  <c r="K16" i="76"/>
  <c r="X16" i="76" s="1"/>
  <c r="G16" i="76"/>
  <c r="V16" i="76" s="1"/>
  <c r="I16" i="76"/>
  <c r="E16" i="76"/>
  <c r="U16" i="76" s="1"/>
  <c r="Y16" i="76"/>
  <c r="N17" i="76"/>
  <c r="O17" i="76"/>
  <c r="C17" i="76"/>
  <c r="D17" i="76" s="1"/>
  <c r="S17" i="76"/>
  <c r="M17" i="76"/>
  <c r="P17" i="76"/>
  <c r="T17" i="76"/>
  <c r="B193" i="76"/>
  <c r="B18" i="76"/>
  <c r="L114" i="48"/>
  <c r="K130" i="48"/>
  <c r="K129" i="48"/>
  <c r="W16" i="76" l="1"/>
  <c r="Q17" i="76"/>
  <c r="C18" i="76"/>
  <c r="S18" i="76"/>
  <c r="M18" i="76"/>
  <c r="O18" i="76"/>
  <c r="Y17" i="76"/>
  <c r="E17" i="76"/>
  <c r="U17" i="76" s="1"/>
  <c r="I17" i="76"/>
  <c r="G17" i="76"/>
  <c r="V17" i="76" s="1"/>
  <c r="K17" i="76"/>
  <c r="X17" i="76" s="1"/>
  <c r="B194" i="76"/>
  <c r="B19" i="76"/>
  <c r="J16" i="76"/>
  <c r="R17" i="76" s="1"/>
  <c r="H16" i="76"/>
  <c r="P18" i="76" s="1"/>
  <c r="L16" i="76"/>
  <c r="T18" i="76" s="1"/>
  <c r="F16" i="76"/>
  <c r="N18" i="76" s="1"/>
  <c r="Z16" i="76"/>
  <c r="L17" i="76"/>
  <c r="Z17" i="76"/>
  <c r="H17" i="76"/>
  <c r="F17" i="76"/>
  <c r="J17" i="76"/>
  <c r="R18" i="76" s="1"/>
  <c r="M114" i="48"/>
  <c r="L129" i="48"/>
  <c r="L130" i="48"/>
  <c r="W17" i="76" l="1"/>
  <c r="Q18" i="76"/>
  <c r="P19" i="76"/>
  <c r="N19" i="76"/>
  <c r="T19" i="76"/>
  <c r="M19" i="76"/>
  <c r="O19" i="76"/>
  <c r="S19" i="76"/>
  <c r="C19" i="76"/>
  <c r="D19" i="76" s="1"/>
  <c r="B195" i="76"/>
  <c r="B20" i="76"/>
  <c r="D18" i="76"/>
  <c r="E18" i="76"/>
  <c r="U18" i="76" s="1"/>
  <c r="I18" i="76"/>
  <c r="Y18" i="76"/>
  <c r="G18" i="76"/>
  <c r="V18" i="76" s="1"/>
  <c r="K18" i="76"/>
  <c r="X18" i="76" s="1"/>
  <c r="N114" i="48"/>
  <c r="M129" i="48"/>
  <c r="M130" i="48"/>
  <c r="W18" i="76" l="1"/>
  <c r="Q19" i="76"/>
  <c r="J18" i="76"/>
  <c r="R19" i="76" s="1"/>
  <c r="L18" i="76"/>
  <c r="F18" i="76"/>
  <c r="N20" i="76" s="1"/>
  <c r="Z18" i="76"/>
  <c r="H18" i="76"/>
  <c r="P20" i="76" s="1"/>
  <c r="L19" i="76"/>
  <c r="H19" i="76"/>
  <c r="F19" i="76"/>
  <c r="Z19" i="76"/>
  <c r="J19" i="76"/>
  <c r="R20" i="76" s="1"/>
  <c r="T20" i="76"/>
  <c r="O20" i="76"/>
  <c r="C20" i="76"/>
  <c r="D20" i="76" s="1"/>
  <c r="S20" i="76"/>
  <c r="M20" i="76"/>
  <c r="B196" i="76"/>
  <c r="B21" i="76"/>
  <c r="Y19" i="76"/>
  <c r="G19" i="76"/>
  <c r="V19" i="76" s="1"/>
  <c r="I19" i="76"/>
  <c r="K19" i="76"/>
  <c r="X19" i="76" s="1"/>
  <c r="E19" i="76"/>
  <c r="U19" i="76" s="1"/>
  <c r="O114" i="48"/>
  <c r="N130" i="48"/>
  <c r="N129" i="48"/>
  <c r="H20" i="76" l="1"/>
  <c r="F20" i="76"/>
  <c r="L20" i="76"/>
  <c r="J20" i="76"/>
  <c r="R21" i="76" s="1"/>
  <c r="Z20" i="76"/>
  <c r="C21" i="76"/>
  <c r="S21" i="76"/>
  <c r="M21" i="76"/>
  <c r="N21" i="76"/>
  <c r="O21" i="76"/>
  <c r="P21" i="76"/>
  <c r="B197" i="76"/>
  <c r="B22" i="76"/>
  <c r="Q20" i="76"/>
  <c r="W19" i="76"/>
  <c r="I20" i="76"/>
  <c r="Q21" i="76" s="1"/>
  <c r="K20" i="76"/>
  <c r="X20" i="76" s="1"/>
  <c r="E20" i="76"/>
  <c r="U20" i="76" s="1"/>
  <c r="G20" i="76"/>
  <c r="V20" i="76" s="1"/>
  <c r="Y20" i="76"/>
  <c r="T21" i="76"/>
  <c r="P114" i="48"/>
  <c r="O130" i="48"/>
  <c r="O129" i="48"/>
  <c r="T22" i="76" l="1"/>
  <c r="N22" i="76"/>
  <c r="P22" i="76"/>
  <c r="S22" i="76"/>
  <c r="M22" i="76"/>
  <c r="O22" i="76"/>
  <c r="C22" i="76"/>
  <c r="B198" i="76"/>
  <c r="B23" i="76"/>
  <c r="D21" i="76"/>
  <c r="Y21" i="76"/>
  <c r="G21" i="76"/>
  <c r="V21" i="76" s="1"/>
  <c r="I21" i="76"/>
  <c r="W21" i="76" s="1"/>
  <c r="K21" i="76"/>
  <c r="X21" i="76" s="1"/>
  <c r="E21" i="76"/>
  <c r="U21" i="76" s="1"/>
  <c r="W20" i="76"/>
  <c r="Q114" i="48"/>
  <c r="P130" i="48"/>
  <c r="P129" i="48"/>
  <c r="Q22" i="76" l="1"/>
  <c r="D22" i="76"/>
  <c r="K22" i="76"/>
  <c r="X22" i="76" s="1"/>
  <c r="Y22" i="76"/>
  <c r="E22" i="76"/>
  <c r="U22" i="76" s="1"/>
  <c r="I22" i="76"/>
  <c r="G22" i="76"/>
  <c r="V22" i="76" s="1"/>
  <c r="F21" i="76"/>
  <c r="N23" i="76" s="1"/>
  <c r="H21" i="76"/>
  <c r="P23" i="76" s="1"/>
  <c r="J21" i="76"/>
  <c r="R22" i="76" s="1"/>
  <c r="Z21" i="76"/>
  <c r="L21" i="76"/>
  <c r="T23" i="76" s="1"/>
  <c r="S23" i="76"/>
  <c r="M23" i="76"/>
  <c r="C23" i="76"/>
  <c r="O23" i="76"/>
  <c r="B199" i="76"/>
  <c r="B24" i="76"/>
  <c r="R114" i="48"/>
  <c r="Q129" i="48"/>
  <c r="Q130" i="48"/>
  <c r="W22" i="76" l="1"/>
  <c r="Q23" i="76"/>
  <c r="B200" i="76"/>
  <c r="B25" i="76"/>
  <c r="D23" i="76"/>
  <c r="K23" i="76"/>
  <c r="X23" i="76" s="1"/>
  <c r="G23" i="76"/>
  <c r="V23" i="76" s="1"/>
  <c r="I23" i="76"/>
  <c r="E23" i="76"/>
  <c r="U23" i="76" s="1"/>
  <c r="Y23" i="76"/>
  <c r="L22" i="76"/>
  <c r="F22" i="76"/>
  <c r="N24" i="76" s="1"/>
  <c r="J22" i="76"/>
  <c r="R23" i="76" s="1"/>
  <c r="H22" i="76"/>
  <c r="P24" i="76" s="1"/>
  <c r="Z22" i="76"/>
  <c r="S24" i="76"/>
  <c r="O24" i="76"/>
  <c r="T24" i="76"/>
  <c r="C24" i="76"/>
  <c r="D24" i="76" s="1"/>
  <c r="M24" i="76"/>
  <c r="R136" i="48"/>
  <c r="R140" i="48"/>
  <c r="S114" i="48"/>
  <c r="X30" i="48"/>
  <c r="R139" i="48"/>
  <c r="R120" i="48"/>
  <c r="R127" i="48"/>
  <c r="X31" i="48"/>
  <c r="R123" i="48"/>
  <c r="X32" i="48"/>
  <c r="R122" i="48"/>
  <c r="R129" i="48"/>
  <c r="X33" i="48"/>
  <c r="R121" i="48"/>
  <c r="R126" i="48"/>
  <c r="R124" i="48"/>
  <c r="R128" i="48"/>
  <c r="R125" i="48"/>
  <c r="R145" i="48"/>
  <c r="R130" i="48"/>
  <c r="R135" i="48"/>
  <c r="R146" i="48"/>
  <c r="W23" i="76" l="1"/>
  <c r="Q24" i="76"/>
  <c r="H24" i="76"/>
  <c r="F24" i="76"/>
  <c r="Z24" i="76"/>
  <c r="L24" i="76"/>
  <c r="J24" i="76"/>
  <c r="R25" i="76" s="1"/>
  <c r="L23" i="76"/>
  <c r="J23" i="76"/>
  <c r="R24" i="76" s="1"/>
  <c r="F23" i="76"/>
  <c r="Z23" i="76"/>
  <c r="H23" i="76"/>
  <c r="P25" i="76" s="1"/>
  <c r="I24" i="76"/>
  <c r="K24" i="76"/>
  <c r="X24" i="76" s="1"/>
  <c r="Y24" i="76"/>
  <c r="E24" i="76"/>
  <c r="U24" i="76" s="1"/>
  <c r="G24" i="76"/>
  <c r="V24" i="76" s="1"/>
  <c r="C25" i="76"/>
  <c r="S25" i="76"/>
  <c r="N25" i="76"/>
  <c r="O25" i="76"/>
  <c r="T25" i="76"/>
  <c r="M25" i="76"/>
  <c r="B201" i="76"/>
  <c r="B26" i="76"/>
  <c r="R141" i="48"/>
  <c r="R137" i="48"/>
  <c r="R138" i="48"/>
  <c r="R142" i="48"/>
  <c r="S136" i="48"/>
  <c r="S140" i="48"/>
  <c r="T114" i="48"/>
  <c r="S135" i="48"/>
  <c r="S139" i="48"/>
  <c r="S146" i="48"/>
  <c r="Y30" i="48"/>
  <c r="S126" i="48"/>
  <c r="S125" i="48"/>
  <c r="Y31" i="48"/>
  <c r="S129" i="48"/>
  <c r="S130" i="48"/>
  <c r="S123" i="48"/>
  <c r="Y32" i="48"/>
  <c r="S128" i="48"/>
  <c r="Y33" i="48"/>
  <c r="S127" i="48"/>
  <c r="S120" i="48"/>
  <c r="S124" i="48"/>
  <c r="S145" i="48"/>
  <c r="S122" i="48"/>
  <c r="S121" i="48"/>
  <c r="X29" i="48"/>
  <c r="W24" i="76" l="1"/>
  <c r="Q25" i="76"/>
  <c r="M26" i="76"/>
  <c r="O26" i="76"/>
  <c r="C26" i="76"/>
  <c r="S26" i="76"/>
  <c r="Q26" i="76"/>
  <c r="D26" i="76"/>
  <c r="D25" i="76"/>
  <c r="K25" i="76"/>
  <c r="X25" i="76" s="1"/>
  <c r="E25" i="76"/>
  <c r="U25" i="76" s="1"/>
  <c r="Y25" i="76"/>
  <c r="G25" i="76"/>
  <c r="V25" i="76" s="1"/>
  <c r="I25" i="76"/>
  <c r="T26" i="76"/>
  <c r="B202" i="76"/>
  <c r="B27" i="76"/>
  <c r="N26" i="76"/>
  <c r="P26" i="76"/>
  <c r="S138" i="48"/>
  <c r="T136" i="48"/>
  <c r="T140" i="48"/>
  <c r="U114" i="48"/>
  <c r="Z30" i="48"/>
  <c r="Z31" i="48"/>
  <c r="T130" i="48"/>
  <c r="T126" i="48"/>
  <c r="T145" i="48"/>
  <c r="T127" i="48"/>
  <c r="T121" i="48"/>
  <c r="T128" i="48"/>
  <c r="T120" i="48"/>
  <c r="T146" i="48"/>
  <c r="Z32" i="48"/>
  <c r="T139" i="48"/>
  <c r="Z33" i="48"/>
  <c r="T129" i="48"/>
  <c r="T123" i="48"/>
  <c r="T135" i="48"/>
  <c r="T138" i="48" s="1"/>
  <c r="T122" i="48"/>
  <c r="T125" i="48"/>
  <c r="T124" i="48"/>
  <c r="S141" i="48"/>
  <c r="Y29" i="48"/>
  <c r="S137" i="48"/>
  <c r="S142" i="48"/>
  <c r="W25" i="76" l="1"/>
  <c r="Z26" i="76"/>
  <c r="L26" i="76"/>
  <c r="F26" i="76"/>
  <c r="J26" i="76"/>
  <c r="R27" i="76" s="1"/>
  <c r="H26" i="76"/>
  <c r="Y26" i="76"/>
  <c r="E26" i="76"/>
  <c r="U26" i="76" s="1"/>
  <c r="I26" i="76"/>
  <c r="W26" i="76" s="1"/>
  <c r="K26" i="76"/>
  <c r="X26" i="76" s="1"/>
  <c r="G26" i="76"/>
  <c r="V26" i="76" s="1"/>
  <c r="N27" i="76"/>
  <c r="C27" i="76"/>
  <c r="S27" i="76"/>
  <c r="D27" i="76"/>
  <c r="T27" i="76"/>
  <c r="O27" i="76"/>
  <c r="P27" i="76"/>
  <c r="M27" i="76"/>
  <c r="Q27" i="76"/>
  <c r="Z25" i="76"/>
  <c r="J25" i="76"/>
  <c r="R26" i="76" s="1"/>
  <c r="F25" i="76"/>
  <c r="H25" i="76"/>
  <c r="L25" i="76"/>
  <c r="B203" i="76"/>
  <c r="B28" i="76"/>
  <c r="T142" i="48"/>
  <c r="Z29" i="48"/>
  <c r="V114" i="48"/>
  <c r="U136" i="48"/>
  <c r="U140" i="48"/>
  <c r="AA30" i="48"/>
  <c r="U129" i="48"/>
  <c r="AA32" i="48"/>
  <c r="U146" i="48"/>
  <c r="U128" i="48"/>
  <c r="AA33" i="48"/>
  <c r="U124" i="48"/>
  <c r="U125" i="48"/>
  <c r="U120" i="48"/>
  <c r="U145" i="48"/>
  <c r="U126" i="48"/>
  <c r="U130" i="48"/>
  <c r="U139" i="48"/>
  <c r="U121" i="48"/>
  <c r="U122" i="48"/>
  <c r="AA31" i="48"/>
  <c r="U123" i="48"/>
  <c r="U135" i="48"/>
  <c r="U127" i="48"/>
  <c r="T141" i="48"/>
  <c r="T137" i="48"/>
  <c r="P28" i="76" l="1"/>
  <c r="J27" i="76"/>
  <c r="L27" i="76"/>
  <c r="H27" i="76"/>
  <c r="F27" i="76"/>
  <c r="Z27" i="76"/>
  <c r="G27" i="76"/>
  <c r="V27" i="76" s="1"/>
  <c r="E27" i="76"/>
  <c r="U27" i="76" s="1"/>
  <c r="I27" i="76"/>
  <c r="W27" i="76" s="1"/>
  <c r="Y27" i="76"/>
  <c r="K27" i="76"/>
  <c r="X27" i="76" s="1"/>
  <c r="M28" i="76"/>
  <c r="C28" i="76"/>
  <c r="O28" i="76"/>
  <c r="S28" i="76"/>
  <c r="Q28" i="76"/>
  <c r="R28" i="76"/>
  <c r="B204" i="76"/>
  <c r="B29" i="76"/>
  <c r="N28" i="76"/>
  <c r="T28" i="76"/>
  <c r="U138" i="48"/>
  <c r="AA29" i="48"/>
  <c r="U141" i="48"/>
  <c r="U137" i="48"/>
  <c r="V140" i="48"/>
  <c r="V136" i="48"/>
  <c r="W114" i="48"/>
  <c r="V135" i="48"/>
  <c r="V128" i="48"/>
  <c r="AB30" i="48"/>
  <c r="V122" i="48"/>
  <c r="V130" i="48"/>
  <c r="AB31" i="48"/>
  <c r="V139" i="48"/>
  <c r="V146" i="48"/>
  <c r="AB32" i="48"/>
  <c r="V121" i="48"/>
  <c r="V127" i="48"/>
  <c r="AB33" i="48"/>
  <c r="V145" i="48"/>
  <c r="V129" i="48"/>
  <c r="V126" i="48"/>
  <c r="V120" i="48"/>
  <c r="V123" i="48"/>
  <c r="V125" i="48"/>
  <c r="V124" i="48"/>
  <c r="U142" i="48"/>
  <c r="D28" i="76" l="1"/>
  <c r="I28" i="76"/>
  <c r="W28" i="76" s="1"/>
  <c r="E28" i="76"/>
  <c r="U28" i="76" s="1"/>
  <c r="G28" i="76"/>
  <c r="V28" i="76" s="1"/>
  <c r="K28" i="76"/>
  <c r="X28" i="76" s="1"/>
  <c r="Y28" i="76"/>
  <c r="C29" i="76"/>
  <c r="S29" i="76"/>
  <c r="D29" i="76"/>
  <c r="T29" i="76"/>
  <c r="N29" i="76"/>
  <c r="R29" i="76"/>
  <c r="O29" i="76"/>
  <c r="M29" i="76"/>
  <c r="P29" i="76"/>
  <c r="Q29" i="76"/>
  <c r="B205" i="76"/>
  <c r="B30" i="76"/>
  <c r="V142" i="48"/>
  <c r="V138" i="48"/>
  <c r="X114" i="48"/>
  <c r="W136" i="48"/>
  <c r="W140" i="48"/>
  <c r="AC33" i="48"/>
  <c r="W128" i="48"/>
  <c r="W127" i="48"/>
  <c r="W122" i="48"/>
  <c r="W135" i="48"/>
  <c r="W139" i="48"/>
  <c r="W126" i="48"/>
  <c r="W120" i="48"/>
  <c r="W123" i="48"/>
  <c r="W146" i="48"/>
  <c r="AC30" i="48"/>
  <c r="W130" i="48"/>
  <c r="W129" i="48"/>
  <c r="AC31" i="48"/>
  <c r="W145" i="48"/>
  <c r="AC32" i="48"/>
  <c r="W121" i="48"/>
  <c r="W125" i="48"/>
  <c r="W124" i="48"/>
  <c r="V137" i="48"/>
  <c r="V141" i="48"/>
  <c r="AB29" i="48"/>
  <c r="K29" i="76" l="1"/>
  <c r="X29" i="76" s="1"/>
  <c r="E29" i="76"/>
  <c r="U29" i="76" s="1"/>
  <c r="G29" i="76"/>
  <c r="V29" i="76" s="1"/>
  <c r="I29" i="76"/>
  <c r="W29" i="76" s="1"/>
  <c r="Y29" i="76"/>
  <c r="B206" i="76"/>
  <c r="B31" i="76"/>
  <c r="O30" i="76"/>
  <c r="P30" i="76"/>
  <c r="S30" i="76"/>
  <c r="C30" i="76"/>
  <c r="T30" i="76"/>
  <c r="M30" i="76"/>
  <c r="N30" i="76"/>
  <c r="Q30" i="76"/>
  <c r="F29" i="76"/>
  <c r="H29" i="76"/>
  <c r="L29" i="76"/>
  <c r="J29" i="76"/>
  <c r="R30" i="76" s="1"/>
  <c r="Z29" i="76"/>
  <c r="H28" i="76"/>
  <c r="J28" i="76"/>
  <c r="F28" i="76"/>
  <c r="L28" i="76"/>
  <c r="Z28" i="76"/>
  <c r="W137" i="48"/>
  <c r="W141" i="48"/>
  <c r="W142" i="48"/>
  <c r="Y114" i="48"/>
  <c r="X136" i="48"/>
  <c r="X140" i="48"/>
  <c r="AD31" i="48"/>
  <c r="X121" i="48"/>
  <c r="X126" i="48"/>
  <c r="X127" i="48"/>
  <c r="AD33" i="48"/>
  <c r="X120" i="48"/>
  <c r="X123" i="48"/>
  <c r="X124" i="48"/>
  <c r="X139" i="48"/>
  <c r="X128" i="48"/>
  <c r="X122" i="48"/>
  <c r="X125" i="48"/>
  <c r="AD30" i="48"/>
  <c r="AD32" i="48"/>
  <c r="X146" i="48"/>
  <c r="X129" i="48"/>
  <c r="X135" i="48"/>
  <c r="X145" i="48"/>
  <c r="X130" i="48"/>
  <c r="W138" i="48"/>
  <c r="AC29" i="48"/>
  <c r="B207" i="76" l="1"/>
  <c r="B32" i="76"/>
  <c r="D30" i="76"/>
  <c r="G30" i="76"/>
  <c r="V30" i="76" s="1"/>
  <c r="Y30" i="76"/>
  <c r="E30" i="76"/>
  <c r="U30" i="76" s="1"/>
  <c r="I30" i="76"/>
  <c r="W30" i="76" s="1"/>
  <c r="K30" i="76"/>
  <c r="X30" i="76" s="1"/>
  <c r="S31" i="76"/>
  <c r="T31" i="76"/>
  <c r="O31" i="76"/>
  <c r="P31" i="76"/>
  <c r="M31" i="76"/>
  <c r="N31" i="76"/>
  <c r="R31" i="76"/>
  <c r="Q31" i="76"/>
  <c r="C31" i="76"/>
  <c r="D31" i="76"/>
  <c r="X137" i="48"/>
  <c r="Z114" i="48"/>
  <c r="Y136" i="48"/>
  <c r="Y140" i="48"/>
  <c r="Y145" i="48"/>
  <c r="Y127" i="48"/>
  <c r="Y130" i="48"/>
  <c r="Y128" i="48"/>
  <c r="Y129" i="48"/>
  <c r="AE30" i="48"/>
  <c r="AE31" i="48"/>
  <c r="Y135" i="48"/>
  <c r="Y121" i="48"/>
  <c r="Y146" i="48"/>
  <c r="Y124" i="48"/>
  <c r="Y125" i="48"/>
  <c r="Y122" i="48"/>
  <c r="Y120" i="48"/>
  <c r="AE32" i="48"/>
  <c r="Y139" i="48"/>
  <c r="Y126" i="48"/>
  <c r="AE33" i="48"/>
  <c r="Y123" i="48"/>
  <c r="AD29" i="48"/>
  <c r="X141" i="48"/>
  <c r="X138" i="48"/>
  <c r="X142" i="48"/>
  <c r="L30" i="76" l="1"/>
  <c r="F30" i="76"/>
  <c r="J30" i="76"/>
  <c r="H30" i="76"/>
  <c r="Z30" i="76"/>
  <c r="H31" i="76"/>
  <c r="F31" i="76"/>
  <c r="J31" i="76"/>
  <c r="R32" i="76" s="1"/>
  <c r="L31" i="76"/>
  <c r="Z31" i="76"/>
  <c r="K31" i="76"/>
  <c r="X31" i="76" s="1"/>
  <c r="G31" i="76"/>
  <c r="V31" i="76" s="1"/>
  <c r="I31" i="76"/>
  <c r="W31" i="76" s="1"/>
  <c r="E31" i="76"/>
  <c r="U31" i="76" s="1"/>
  <c r="Y31" i="76"/>
  <c r="M32" i="76"/>
  <c r="N32" i="76"/>
  <c r="C32" i="76"/>
  <c r="O32" i="76"/>
  <c r="S32" i="76"/>
  <c r="P32" i="76"/>
  <c r="Q32" i="76"/>
  <c r="T32" i="76"/>
  <c r="B208" i="76"/>
  <c r="B33" i="76"/>
  <c r="Y142" i="48"/>
  <c r="Y138" i="48"/>
  <c r="Y141" i="48"/>
  <c r="Y137" i="48"/>
  <c r="AE29" i="48"/>
  <c r="Z136" i="48"/>
  <c r="AF30" i="48"/>
  <c r="Z128" i="48"/>
  <c r="AA114" i="48"/>
  <c r="AF32" i="48"/>
  <c r="Z129" i="48"/>
  <c r="AF33" i="48"/>
  <c r="Z125" i="48"/>
  <c r="Z140" i="48"/>
  <c r="Z121" i="48"/>
  <c r="Z122" i="48"/>
  <c r="Z139" i="48"/>
  <c r="Z126" i="48"/>
  <c r="Z130" i="48"/>
  <c r="AF31" i="48"/>
  <c r="Z146" i="48"/>
  <c r="Z124" i="48"/>
  <c r="Z135" i="48"/>
  <c r="Z145" i="48"/>
  <c r="Z123" i="48"/>
  <c r="Z127" i="48"/>
  <c r="Z120" i="48"/>
  <c r="P33" i="76" l="1"/>
  <c r="O33" i="76"/>
  <c r="M33" i="76"/>
  <c r="C33" i="76"/>
  <c r="S33" i="76"/>
  <c r="R33" i="76"/>
  <c r="Q33" i="76"/>
  <c r="D33" i="76"/>
  <c r="D32" i="76"/>
  <c r="K32" i="76"/>
  <c r="X32" i="76" s="1"/>
  <c r="E32" i="76"/>
  <c r="U32" i="76" s="1"/>
  <c r="Y32" i="76"/>
  <c r="G32" i="76"/>
  <c r="V32" i="76" s="1"/>
  <c r="I32" i="76"/>
  <c r="W32" i="76" s="1"/>
  <c r="B209" i="76"/>
  <c r="B34" i="76"/>
  <c r="T33" i="76"/>
  <c r="Z142" i="48"/>
  <c r="N33" i="76"/>
  <c r="Z138" i="48"/>
  <c r="AA136" i="48"/>
  <c r="AB114" i="48"/>
  <c r="AA140" i="48"/>
  <c r="AG31" i="48"/>
  <c r="AA139" i="48"/>
  <c r="AA129" i="48"/>
  <c r="AA146" i="48"/>
  <c r="AG33" i="48"/>
  <c r="AA122" i="48"/>
  <c r="AA124" i="48"/>
  <c r="AA130" i="48"/>
  <c r="AA127" i="48"/>
  <c r="AA126" i="48"/>
  <c r="AA145" i="48"/>
  <c r="AA123" i="48"/>
  <c r="AG30" i="48"/>
  <c r="AG32" i="48"/>
  <c r="AA120" i="48"/>
  <c r="AA135" i="48"/>
  <c r="AA125" i="48"/>
  <c r="AA121" i="48"/>
  <c r="AA128" i="48"/>
  <c r="AF29" i="48"/>
  <c r="Z141" i="48"/>
  <c r="Z137" i="48"/>
  <c r="B210" i="76" l="1"/>
  <c r="B35" i="76"/>
  <c r="G33" i="76"/>
  <c r="V33" i="76" s="1"/>
  <c r="K33" i="76"/>
  <c r="X33" i="76" s="1"/>
  <c r="E33" i="76"/>
  <c r="U33" i="76" s="1"/>
  <c r="I33" i="76"/>
  <c r="Y33" i="76"/>
  <c r="H32" i="76"/>
  <c r="F32" i="76"/>
  <c r="J32" i="76"/>
  <c r="Z32" i="76"/>
  <c r="L32" i="76"/>
  <c r="AA138" i="48"/>
  <c r="C34" i="76"/>
  <c r="T34" i="76"/>
  <c r="M34" i="76"/>
  <c r="N34" i="76"/>
  <c r="O34" i="76"/>
  <c r="P34" i="76"/>
  <c r="S34" i="76"/>
  <c r="D34" i="76"/>
  <c r="F33" i="76"/>
  <c r="N35" i="76" s="1"/>
  <c r="H33" i="76"/>
  <c r="L33" i="76"/>
  <c r="T35" i="76" s="1"/>
  <c r="Z33" i="76"/>
  <c r="J33" i="76"/>
  <c r="R34" i="76" s="1"/>
  <c r="AA142" i="48"/>
  <c r="AG29" i="48"/>
  <c r="AA141" i="48"/>
  <c r="AB136" i="48"/>
  <c r="AB140" i="48"/>
  <c r="AC114" i="48"/>
  <c r="AB139" i="48"/>
  <c r="AH31" i="48"/>
  <c r="AB135" i="48"/>
  <c r="AH33" i="48"/>
  <c r="AB120" i="48"/>
  <c r="AB128" i="48"/>
  <c r="AB130" i="48"/>
  <c r="AB121" i="48"/>
  <c r="AB125" i="48"/>
  <c r="AB124" i="48"/>
  <c r="AB127" i="48"/>
  <c r="AB129" i="48"/>
  <c r="AB145" i="48"/>
  <c r="AB123" i="48"/>
  <c r="AB146" i="48"/>
  <c r="AB122" i="48"/>
  <c r="AB126" i="48"/>
  <c r="AH32" i="48"/>
  <c r="AH30" i="48"/>
  <c r="AA137" i="48"/>
  <c r="L34" i="76" l="1"/>
  <c r="F34" i="76"/>
  <c r="J34" i="76"/>
  <c r="R35" i="76" s="1"/>
  <c r="H34" i="76"/>
  <c r="Z34" i="76"/>
  <c r="Q34" i="76"/>
  <c r="W33" i="76"/>
  <c r="C35" i="76"/>
  <c r="S35" i="76"/>
  <c r="D35" i="76"/>
  <c r="O35" i="76"/>
  <c r="P35" i="76"/>
  <c r="M35" i="76"/>
  <c r="Q35" i="76"/>
  <c r="K34" i="76"/>
  <c r="X34" i="76" s="1"/>
  <c r="Y34" i="76"/>
  <c r="E34" i="76"/>
  <c r="U34" i="76" s="1"/>
  <c r="I34" i="76"/>
  <c r="G34" i="76"/>
  <c r="V34" i="76" s="1"/>
  <c r="B211" i="76"/>
  <c r="B36" i="76"/>
  <c r="AB142" i="48"/>
  <c r="AH29" i="48"/>
  <c r="AB138" i="48"/>
  <c r="AB137" i="48"/>
  <c r="AD114" i="48"/>
  <c r="AC136" i="48"/>
  <c r="AC120" i="48"/>
  <c r="AC135" i="48"/>
  <c r="AC140" i="48"/>
  <c r="AI31" i="48"/>
  <c r="AI32" i="48"/>
  <c r="AC123" i="48"/>
  <c r="AC125" i="48"/>
  <c r="AI33" i="48"/>
  <c r="AC146" i="48"/>
  <c r="AC129" i="48"/>
  <c r="AC127" i="48"/>
  <c r="AC128" i="48"/>
  <c r="AC126" i="48"/>
  <c r="AC139" i="48"/>
  <c r="AI30" i="48"/>
  <c r="AC124" i="48"/>
  <c r="AC145" i="48"/>
  <c r="AC130" i="48"/>
  <c r="AC121" i="48"/>
  <c r="AC122" i="48"/>
  <c r="AB141" i="48"/>
  <c r="W34" i="76" l="1"/>
  <c r="M36" i="76"/>
  <c r="S36" i="76"/>
  <c r="C36" i="76"/>
  <c r="O36" i="76"/>
  <c r="Q36" i="76"/>
  <c r="B212" i="76"/>
  <c r="B37" i="76"/>
  <c r="P36" i="76"/>
  <c r="Z35" i="76"/>
  <c r="J35" i="76"/>
  <c r="R36" i="76" s="1"/>
  <c r="L35" i="76"/>
  <c r="H35" i="76"/>
  <c r="F35" i="76"/>
  <c r="N36" i="76"/>
  <c r="T36" i="76"/>
  <c r="K35" i="76"/>
  <c r="X35" i="76" s="1"/>
  <c r="G35" i="76"/>
  <c r="V35" i="76" s="1"/>
  <c r="I35" i="76"/>
  <c r="W35" i="76" s="1"/>
  <c r="Y35" i="76"/>
  <c r="E35" i="76"/>
  <c r="U35" i="76" s="1"/>
  <c r="AC138" i="48"/>
  <c r="AC137" i="48"/>
  <c r="AI29" i="48"/>
  <c r="AD140" i="48"/>
  <c r="AD136" i="48"/>
  <c r="AD135" i="48"/>
  <c r="AD121" i="48"/>
  <c r="AD127" i="48"/>
  <c r="AE114" i="48"/>
  <c r="AD125" i="48"/>
  <c r="AD145" i="48"/>
  <c r="AJ31" i="48"/>
  <c r="AD139" i="48"/>
  <c r="AD128" i="48"/>
  <c r="AJ32" i="48"/>
  <c r="AD122" i="48"/>
  <c r="AD123" i="48"/>
  <c r="AD126" i="48"/>
  <c r="AD129" i="48"/>
  <c r="AJ30" i="48"/>
  <c r="AD120" i="48"/>
  <c r="AJ33" i="48"/>
  <c r="AD146" i="48"/>
  <c r="AD130" i="48"/>
  <c r="AD124" i="48"/>
  <c r="AC142" i="48"/>
  <c r="AC141" i="48"/>
  <c r="C37" i="76" l="1"/>
  <c r="S37" i="76"/>
  <c r="T37" i="76"/>
  <c r="M37" i="76"/>
  <c r="N37" i="76"/>
  <c r="R37" i="76"/>
  <c r="D37" i="76"/>
  <c r="Q37" i="76"/>
  <c r="O37" i="76"/>
  <c r="P37" i="76"/>
  <c r="B213" i="76"/>
  <c r="B38" i="76"/>
  <c r="D36" i="76"/>
  <c r="G36" i="76"/>
  <c r="V36" i="76" s="1"/>
  <c r="I36" i="76"/>
  <c r="W36" i="76" s="1"/>
  <c r="E36" i="76"/>
  <c r="U36" i="76" s="1"/>
  <c r="K36" i="76"/>
  <c r="X36" i="76" s="1"/>
  <c r="Y36" i="76"/>
  <c r="AD142" i="48"/>
  <c r="AD138" i="48"/>
  <c r="AD137" i="48"/>
  <c r="AJ29" i="48"/>
  <c r="AD141" i="48"/>
  <c r="AF114" i="48"/>
  <c r="AE136" i="48"/>
  <c r="AE140" i="48"/>
  <c r="AK33" i="48"/>
  <c r="AE125" i="48"/>
  <c r="AE139" i="48"/>
  <c r="AE121" i="48"/>
  <c r="AE145" i="48"/>
  <c r="AE123" i="48"/>
  <c r="AE126" i="48"/>
  <c r="AK30" i="48"/>
  <c r="AE146" i="48"/>
  <c r="AK31" i="48"/>
  <c r="AE122" i="48"/>
  <c r="AE129" i="48"/>
  <c r="AE127" i="48"/>
  <c r="AK32" i="48"/>
  <c r="AE120" i="48"/>
  <c r="AE128" i="48"/>
  <c r="AE135" i="48"/>
  <c r="AE124" i="48"/>
  <c r="AE130" i="48"/>
  <c r="F37" i="76" l="1"/>
  <c r="H37" i="76"/>
  <c r="L37" i="76"/>
  <c r="Z37" i="76"/>
  <c r="J37" i="76"/>
  <c r="H36" i="76"/>
  <c r="J36" i="76"/>
  <c r="L36" i="76"/>
  <c r="F36" i="76"/>
  <c r="Z36" i="76"/>
  <c r="O38" i="76"/>
  <c r="T38" i="76"/>
  <c r="M38" i="76"/>
  <c r="N38" i="76"/>
  <c r="R38" i="76"/>
  <c r="P38" i="76"/>
  <c r="S38" i="76"/>
  <c r="C38" i="76"/>
  <c r="Q38" i="76"/>
  <c r="D38" i="76"/>
  <c r="B214" i="76"/>
  <c r="B39" i="76"/>
  <c r="G37" i="76"/>
  <c r="V37" i="76" s="1"/>
  <c r="K37" i="76"/>
  <c r="X37" i="76" s="1"/>
  <c r="E37" i="76"/>
  <c r="U37" i="76" s="1"/>
  <c r="I37" i="76"/>
  <c r="W37" i="76" s="1"/>
  <c r="Y37" i="76"/>
  <c r="AE138" i="48"/>
  <c r="AK29" i="48"/>
  <c r="AE141" i="48"/>
  <c r="AE137" i="48"/>
  <c r="AG114" i="48"/>
  <c r="AF136" i="48"/>
  <c r="AF140" i="48"/>
  <c r="AL30" i="48"/>
  <c r="AF128" i="48"/>
  <c r="AF125" i="48"/>
  <c r="AL31" i="48"/>
  <c r="AF126" i="48"/>
  <c r="AF121" i="48"/>
  <c r="AL32" i="48"/>
  <c r="AF145" i="48"/>
  <c r="AF130" i="48"/>
  <c r="AL33" i="48"/>
  <c r="AF139" i="48"/>
  <c r="AF122" i="48"/>
  <c r="AF146" i="48"/>
  <c r="AF123" i="48"/>
  <c r="AF120" i="48"/>
  <c r="AF135" i="48"/>
  <c r="AF127" i="48"/>
  <c r="AF124" i="48"/>
  <c r="AF129" i="48"/>
  <c r="AE142" i="48"/>
  <c r="B215" i="76" l="1"/>
  <c r="B40" i="76"/>
  <c r="J38" i="76"/>
  <c r="R39" i="76" s="1"/>
  <c r="H38" i="76"/>
  <c r="Z38" i="76"/>
  <c r="L38" i="76"/>
  <c r="T40" i="76" s="1"/>
  <c r="F38" i="76"/>
  <c r="N40" i="76" s="1"/>
  <c r="E38" i="76"/>
  <c r="U38" i="76" s="1"/>
  <c r="Y38" i="76"/>
  <c r="I38" i="76"/>
  <c r="W38" i="76" s="1"/>
  <c r="K38" i="76"/>
  <c r="X38" i="76" s="1"/>
  <c r="G38" i="76"/>
  <c r="V38" i="76" s="1"/>
  <c r="C39" i="76"/>
  <c r="T39" i="76"/>
  <c r="O39" i="76"/>
  <c r="M39" i="76"/>
  <c r="N39" i="76"/>
  <c r="S39" i="76"/>
  <c r="P39" i="76"/>
  <c r="Q39" i="76"/>
  <c r="AF138" i="48"/>
  <c r="AF137" i="48"/>
  <c r="AH114" i="48"/>
  <c r="AG124" i="48"/>
  <c r="AG123" i="48"/>
  <c r="AG139" i="48"/>
  <c r="AG145" i="48"/>
  <c r="AG126" i="48"/>
  <c r="AG140" i="48"/>
  <c r="AG141" i="48" s="1"/>
  <c r="AG129" i="48"/>
  <c r="AG122" i="48"/>
  <c r="AM30" i="48"/>
  <c r="AG121" i="48"/>
  <c r="AG128" i="48"/>
  <c r="AM32" i="48"/>
  <c r="AG125" i="48"/>
  <c r="AG146" i="48"/>
  <c r="AG135" i="48"/>
  <c r="AM33" i="48"/>
  <c r="AG130" i="48"/>
  <c r="AG120" i="48"/>
  <c r="AG136" i="48"/>
  <c r="AG137" i="48" s="1"/>
  <c r="AG127" i="48"/>
  <c r="AM31" i="48"/>
  <c r="AF141" i="48"/>
  <c r="AF142" i="48"/>
  <c r="AL29" i="48"/>
  <c r="AG142" i="48" l="1"/>
  <c r="D39" i="76"/>
  <c r="K39" i="76"/>
  <c r="X39" i="76" s="1"/>
  <c r="G39" i="76"/>
  <c r="V39" i="76" s="1"/>
  <c r="E39" i="76"/>
  <c r="U39" i="76" s="1"/>
  <c r="I39" i="76"/>
  <c r="W39" i="76" s="1"/>
  <c r="Y39" i="76"/>
  <c r="R40" i="76"/>
  <c r="M40" i="76"/>
  <c r="O40" i="76"/>
  <c r="S40" i="76"/>
  <c r="P40" i="76"/>
  <c r="Q40" i="76"/>
  <c r="C40" i="76"/>
  <c r="D40" i="76"/>
  <c r="B216" i="76"/>
  <c r="B41" i="76"/>
  <c r="AM29" i="48"/>
  <c r="AN31" i="48"/>
  <c r="AH140" i="48"/>
  <c r="AH141" i="48" s="1"/>
  <c r="AH120" i="48"/>
  <c r="AN32" i="48"/>
  <c r="AH130" i="48"/>
  <c r="AH128" i="48"/>
  <c r="AI114" i="48"/>
  <c r="AN33" i="48"/>
  <c r="AH145" i="48"/>
  <c r="AH121" i="48"/>
  <c r="AH123" i="48"/>
  <c r="AH126" i="48"/>
  <c r="AH129" i="48"/>
  <c r="AH136" i="48"/>
  <c r="AH137" i="48" s="1"/>
  <c r="AH139" i="48"/>
  <c r="AH122" i="48"/>
  <c r="AN30" i="48"/>
  <c r="AH146" i="48"/>
  <c r="AH125" i="48"/>
  <c r="AH124" i="48"/>
  <c r="AH135" i="48"/>
  <c r="AH127" i="48"/>
  <c r="AG138" i="48"/>
  <c r="S41" i="76" l="1"/>
  <c r="N41" i="76"/>
  <c r="Q41" i="76"/>
  <c r="R41" i="76"/>
  <c r="O41" i="76"/>
  <c r="M41" i="76"/>
  <c r="T41" i="76"/>
  <c r="D41" i="76"/>
  <c r="P41" i="76"/>
  <c r="C41" i="76"/>
  <c r="B217" i="76"/>
  <c r="B42" i="76"/>
  <c r="J40" i="76"/>
  <c r="F40" i="76"/>
  <c r="L40" i="76"/>
  <c r="Z40" i="76"/>
  <c r="H40" i="76"/>
  <c r="I40" i="76"/>
  <c r="W40" i="76" s="1"/>
  <c r="E40" i="76"/>
  <c r="U40" i="76" s="1"/>
  <c r="Y40" i="76"/>
  <c r="G40" i="76"/>
  <c r="V40" i="76" s="1"/>
  <c r="K40" i="76"/>
  <c r="X40" i="76" s="1"/>
  <c r="J39" i="76"/>
  <c r="L39" i="76"/>
  <c r="H39" i="76"/>
  <c r="F39" i="76"/>
  <c r="Z39" i="76"/>
  <c r="AN29" i="48"/>
  <c r="AH138" i="48"/>
  <c r="AO30" i="48"/>
  <c r="AI128" i="48"/>
  <c r="AI124" i="48"/>
  <c r="AO31" i="48"/>
  <c r="AI122" i="48"/>
  <c r="AI139" i="48"/>
  <c r="AO32" i="48"/>
  <c r="AI127" i="48"/>
  <c r="AI129" i="48"/>
  <c r="AJ114" i="48"/>
  <c r="AI140" i="48"/>
  <c r="AI141" i="48" s="1"/>
  <c r="AO33" i="48"/>
  <c r="AI125" i="48"/>
  <c r="AI130" i="48"/>
  <c r="AI135" i="48"/>
  <c r="AI120" i="48"/>
  <c r="AI146" i="48"/>
  <c r="AI136" i="48"/>
  <c r="AI137" i="48" s="1"/>
  <c r="AI121" i="48"/>
  <c r="AI145" i="48"/>
  <c r="AI126" i="48"/>
  <c r="AI123" i="48"/>
  <c r="AH142" i="48"/>
  <c r="L41" i="76" l="1"/>
  <c r="Z41" i="76"/>
  <c r="J41" i="76"/>
  <c r="F41" i="76"/>
  <c r="H41" i="76"/>
  <c r="N42" i="76"/>
  <c r="O42" i="76"/>
  <c r="P42" i="76"/>
  <c r="R42" i="76"/>
  <c r="S42" i="76"/>
  <c r="D42" i="76"/>
  <c r="T42" i="76"/>
  <c r="C42" i="76"/>
  <c r="Q42" i="76"/>
  <c r="M42" i="76"/>
  <c r="B218" i="76"/>
  <c r="B43" i="76"/>
  <c r="AI142" i="48"/>
  <c r="I41" i="76"/>
  <c r="W41" i="76" s="1"/>
  <c r="K41" i="76"/>
  <c r="X41" i="76" s="1"/>
  <c r="G41" i="76"/>
  <c r="V41" i="76" s="1"/>
  <c r="E41" i="76"/>
  <c r="U41" i="76" s="1"/>
  <c r="Y41" i="76"/>
  <c r="AI138" i="48"/>
  <c r="AK114" i="48"/>
  <c r="AP30" i="48"/>
  <c r="AJ122" i="48"/>
  <c r="AJ127" i="48"/>
  <c r="AP31" i="48"/>
  <c r="AJ121" i="48"/>
  <c r="AJ146" i="48"/>
  <c r="AP32" i="48"/>
  <c r="AJ125" i="48"/>
  <c r="AJ129" i="48"/>
  <c r="AP33" i="48"/>
  <c r="AJ124" i="48"/>
  <c r="AJ120" i="48"/>
  <c r="AJ135" i="48"/>
  <c r="AJ128" i="48"/>
  <c r="AJ123" i="48"/>
  <c r="AJ136" i="48"/>
  <c r="AJ137" i="48" s="1"/>
  <c r="AJ130" i="48"/>
  <c r="AJ139" i="48"/>
  <c r="AJ140" i="48"/>
  <c r="AJ141" i="48" s="1"/>
  <c r="AJ126" i="48"/>
  <c r="AJ145" i="48"/>
  <c r="AO29" i="48"/>
  <c r="AJ142" i="48" l="1"/>
  <c r="B219" i="76"/>
  <c r="B44" i="76"/>
  <c r="E42" i="76"/>
  <c r="U42" i="76" s="1"/>
  <c r="G42" i="76"/>
  <c r="V42" i="76" s="1"/>
  <c r="K42" i="76"/>
  <c r="X42" i="76" s="1"/>
  <c r="I42" i="76"/>
  <c r="W42" i="76" s="1"/>
  <c r="Y42" i="76"/>
  <c r="L42" i="76"/>
  <c r="Z42" i="76"/>
  <c r="H42" i="76"/>
  <c r="F42" i="76"/>
  <c r="J42" i="76"/>
  <c r="D43" i="76"/>
  <c r="T43" i="76"/>
  <c r="N43" i="76"/>
  <c r="R43" i="76"/>
  <c r="O43" i="76"/>
  <c r="M43" i="76"/>
  <c r="P43" i="76"/>
  <c r="Q43" i="76"/>
  <c r="C43" i="76"/>
  <c r="S43" i="76"/>
  <c r="AP29" i="48"/>
  <c r="AL114" i="48"/>
  <c r="AK136" i="48"/>
  <c r="AK137" i="48" s="1"/>
  <c r="AK129" i="48"/>
  <c r="AK139" i="48"/>
  <c r="AK124" i="48"/>
  <c r="AK127" i="48"/>
  <c r="AK140" i="48"/>
  <c r="AK141" i="48" s="1"/>
  <c r="AK146" i="48"/>
  <c r="AK145" i="48"/>
  <c r="AK125" i="48"/>
  <c r="AQ31" i="48"/>
  <c r="AK130" i="48"/>
  <c r="AK123" i="48"/>
  <c r="AQ32" i="48"/>
  <c r="AK120" i="48"/>
  <c r="AK126" i="48"/>
  <c r="AQ33" i="48"/>
  <c r="AK135" i="48"/>
  <c r="AK138" i="48" s="1"/>
  <c r="AK128" i="48"/>
  <c r="AK122" i="48"/>
  <c r="AK121" i="48"/>
  <c r="AQ30" i="48"/>
  <c r="AJ138" i="48"/>
  <c r="E43" i="76" l="1"/>
  <c r="U43" i="76" s="1"/>
  <c r="K43" i="76"/>
  <c r="X43" i="76" s="1"/>
  <c r="Y43" i="76"/>
  <c r="G43" i="76"/>
  <c r="V43" i="76" s="1"/>
  <c r="I43" i="76"/>
  <c r="W43" i="76" s="1"/>
  <c r="H43" i="76"/>
  <c r="L43" i="76"/>
  <c r="J43" i="76"/>
  <c r="Z43" i="76"/>
  <c r="F43" i="76"/>
  <c r="T44" i="76"/>
  <c r="P44" i="76"/>
  <c r="Q44" i="76"/>
  <c r="M44" i="76"/>
  <c r="N44" i="76"/>
  <c r="O44" i="76"/>
  <c r="S44" i="76"/>
  <c r="C44" i="76"/>
  <c r="D44" i="76"/>
  <c r="R44" i="76"/>
  <c r="B220" i="76"/>
  <c r="B45" i="76"/>
  <c r="AQ29" i="48"/>
  <c r="AK142" i="48"/>
  <c r="AL126" i="48"/>
  <c r="AL124" i="48"/>
  <c r="AL139" i="48"/>
  <c r="AL135" i="48"/>
  <c r="AL128" i="48"/>
  <c r="AL129" i="48"/>
  <c r="AL140" i="48"/>
  <c r="AL141" i="48" s="1"/>
  <c r="AL136" i="48"/>
  <c r="AL137" i="48" s="1"/>
  <c r="AR33" i="48"/>
  <c r="AL130" i="48"/>
  <c r="AL120" i="48"/>
  <c r="AL123" i="48"/>
  <c r="AL125" i="48"/>
  <c r="AL127" i="48"/>
  <c r="AR31" i="48"/>
  <c r="AL145" i="48"/>
  <c r="AR32" i="48"/>
  <c r="AL122" i="48"/>
  <c r="AM114" i="48"/>
  <c r="AR30" i="48"/>
  <c r="AL121" i="48"/>
  <c r="AL146" i="48"/>
  <c r="N45" i="76" l="1"/>
  <c r="O45" i="76"/>
  <c r="P45" i="76"/>
  <c r="Q45" i="76"/>
  <c r="D45" i="76"/>
  <c r="R45" i="76"/>
  <c r="T45" i="76"/>
  <c r="C45" i="76"/>
  <c r="S45" i="76"/>
  <c r="M45" i="76"/>
  <c r="B221" i="76"/>
  <c r="B46" i="76"/>
  <c r="H44" i="76"/>
  <c r="J44" i="76"/>
  <c r="L44" i="76"/>
  <c r="F44" i="76"/>
  <c r="Z44" i="76"/>
  <c r="K44" i="76"/>
  <c r="X44" i="76" s="1"/>
  <c r="Y44" i="76"/>
  <c r="G44" i="76"/>
  <c r="V44" i="76" s="1"/>
  <c r="I44" i="76"/>
  <c r="W44" i="76" s="1"/>
  <c r="E44" i="76"/>
  <c r="U44" i="76" s="1"/>
  <c r="AR29" i="48"/>
  <c r="AL138" i="48"/>
  <c r="AN114" i="48"/>
  <c r="AS30" i="48"/>
  <c r="AM140" i="48"/>
  <c r="AM141" i="48" s="1"/>
  <c r="AM120" i="48"/>
  <c r="AM130" i="48"/>
  <c r="AS31" i="48"/>
  <c r="AM145" i="48"/>
  <c r="AS32" i="48"/>
  <c r="AM127" i="48"/>
  <c r="AM123" i="48"/>
  <c r="AS33" i="48"/>
  <c r="AM128" i="48"/>
  <c r="AM135" i="48"/>
  <c r="AM122" i="48"/>
  <c r="AM136" i="48"/>
  <c r="AM137" i="48" s="1"/>
  <c r="AM124" i="48"/>
  <c r="AM121" i="48"/>
  <c r="AM126" i="48"/>
  <c r="AM139" i="48"/>
  <c r="AM142" i="48" s="1"/>
  <c r="AM125" i="48"/>
  <c r="AM146" i="48"/>
  <c r="AM129" i="48"/>
  <c r="AL142" i="48"/>
  <c r="I45" i="76" l="1"/>
  <c r="W45" i="76" s="1"/>
  <c r="K45" i="76"/>
  <c r="X45" i="76" s="1"/>
  <c r="E45" i="76"/>
  <c r="U45" i="76" s="1"/>
  <c r="G45" i="76"/>
  <c r="V45" i="76" s="1"/>
  <c r="Y45" i="76"/>
  <c r="J45" i="76"/>
  <c r="F45" i="76"/>
  <c r="L45" i="76"/>
  <c r="Z45" i="76"/>
  <c r="H45" i="76"/>
  <c r="Q46" i="76"/>
  <c r="M46" i="76"/>
  <c r="R46" i="76"/>
  <c r="P46" i="76"/>
  <c r="C46" i="76"/>
  <c r="S46" i="76"/>
  <c r="D46" i="76"/>
  <c r="T46" i="76"/>
  <c r="N46" i="76"/>
  <c r="O46" i="76"/>
  <c r="B222" i="76"/>
  <c r="B47" i="76"/>
  <c r="AS29" i="48"/>
  <c r="AO114" i="48"/>
  <c r="AN139" i="48"/>
  <c r="AN135" i="48"/>
  <c r="AN126" i="48"/>
  <c r="AN129" i="48"/>
  <c r="AN140" i="48"/>
  <c r="AN141" i="48" s="1"/>
  <c r="AN136" i="48"/>
  <c r="AN137" i="48" s="1"/>
  <c r="AN123" i="48"/>
  <c r="AN121" i="48"/>
  <c r="AN124" i="48"/>
  <c r="AN128" i="48"/>
  <c r="AT30" i="48"/>
  <c r="AN146" i="48"/>
  <c r="AT32" i="48"/>
  <c r="AN145" i="48"/>
  <c r="AN125" i="48"/>
  <c r="AT33" i="48"/>
  <c r="AN127" i="48"/>
  <c r="AN120" i="48"/>
  <c r="AN130" i="48"/>
  <c r="AT31" i="48"/>
  <c r="AN122" i="48"/>
  <c r="AM138" i="48"/>
  <c r="E46" i="76" l="1"/>
  <c r="U46" i="76" s="1"/>
  <c r="Y46" i="76"/>
  <c r="G46" i="76"/>
  <c r="V46" i="76" s="1"/>
  <c r="I46" i="76"/>
  <c r="W46" i="76" s="1"/>
  <c r="K46" i="76"/>
  <c r="X46" i="76" s="1"/>
  <c r="D47" i="76"/>
  <c r="T47" i="76"/>
  <c r="M47" i="76"/>
  <c r="O47" i="76"/>
  <c r="P47" i="76"/>
  <c r="R47" i="76"/>
  <c r="N47" i="76"/>
  <c r="C47" i="76"/>
  <c r="Q47" i="76"/>
  <c r="S47" i="76"/>
  <c r="B223" i="76"/>
  <c r="B48" i="76"/>
  <c r="J46" i="76"/>
  <c r="L46" i="76"/>
  <c r="F46" i="76"/>
  <c r="H46" i="76"/>
  <c r="Z46" i="76"/>
  <c r="AN142" i="48"/>
  <c r="AP114" i="48"/>
  <c r="AO123" i="48"/>
  <c r="AO121" i="48"/>
  <c r="AO139" i="48"/>
  <c r="AO146" i="48"/>
  <c r="AO140" i="48"/>
  <c r="AO141" i="48" s="1"/>
  <c r="AO130" i="48"/>
  <c r="AO145" i="48"/>
  <c r="AO125" i="48"/>
  <c r="AO126" i="48"/>
  <c r="AU31" i="48"/>
  <c r="AO128" i="48"/>
  <c r="AO135" i="48"/>
  <c r="AU32" i="48"/>
  <c r="AO120" i="48"/>
  <c r="AO129" i="48"/>
  <c r="AO124" i="48"/>
  <c r="AO122" i="48"/>
  <c r="AO127" i="48"/>
  <c r="AO136" i="48"/>
  <c r="AO137" i="48" s="1"/>
  <c r="AU30" i="48"/>
  <c r="AU33" i="48"/>
  <c r="AT29" i="48"/>
  <c r="AN138" i="48"/>
  <c r="B224" i="76" l="1"/>
  <c r="B49" i="76"/>
  <c r="J47" i="76"/>
  <c r="L47" i="76"/>
  <c r="H47" i="76"/>
  <c r="Z47" i="76"/>
  <c r="F47" i="76"/>
  <c r="I47" i="76"/>
  <c r="W47" i="76" s="1"/>
  <c r="G47" i="76"/>
  <c r="V47" i="76" s="1"/>
  <c r="Y47" i="76"/>
  <c r="K47" i="76"/>
  <c r="X47" i="76" s="1"/>
  <c r="E47" i="76"/>
  <c r="U47" i="76" s="1"/>
  <c r="N48" i="76"/>
  <c r="O48" i="76"/>
  <c r="S48" i="76"/>
  <c r="D48" i="76"/>
  <c r="T48" i="76"/>
  <c r="P48" i="76"/>
  <c r="Q48" i="76"/>
  <c r="C48" i="76"/>
  <c r="R48" i="76"/>
  <c r="M48" i="76"/>
  <c r="AO142" i="48"/>
  <c r="AU29" i="48"/>
  <c r="AO138" i="48"/>
  <c r="AP120" i="48"/>
  <c r="AP127" i="48"/>
  <c r="AP123" i="48"/>
  <c r="AP129" i="48"/>
  <c r="AP126" i="48"/>
  <c r="AP136" i="48"/>
  <c r="AP137" i="48" s="1"/>
  <c r="AP121" i="48"/>
  <c r="AQ114" i="48"/>
  <c r="AV31" i="48"/>
  <c r="AP128" i="48"/>
  <c r="AP146" i="48"/>
  <c r="AP139" i="48"/>
  <c r="AV32" i="48"/>
  <c r="AP125" i="48"/>
  <c r="AP130" i="48"/>
  <c r="AP145" i="48"/>
  <c r="AP135" i="48"/>
  <c r="AP124" i="48"/>
  <c r="AP140" i="48"/>
  <c r="AP141" i="48" s="1"/>
  <c r="AV30" i="48"/>
  <c r="AV33" i="48"/>
  <c r="AP122" i="48"/>
  <c r="AP138" i="48" l="1"/>
  <c r="L48" i="76"/>
  <c r="F48" i="76"/>
  <c r="H48" i="76"/>
  <c r="J48" i="76"/>
  <c r="Z48" i="76"/>
  <c r="G48" i="76"/>
  <c r="V48" i="76" s="1"/>
  <c r="Y48" i="76"/>
  <c r="K48" i="76"/>
  <c r="X48" i="76" s="1"/>
  <c r="E48" i="76"/>
  <c r="U48" i="76" s="1"/>
  <c r="I48" i="76"/>
  <c r="W48" i="76" s="1"/>
  <c r="N49" i="76"/>
  <c r="O49" i="76"/>
  <c r="Q49" i="76"/>
  <c r="C49" i="76"/>
  <c r="R49" i="76"/>
  <c r="S49" i="76"/>
  <c r="D49" i="76"/>
  <c r="P49" i="76"/>
  <c r="T49" i="76"/>
  <c r="M49" i="76"/>
  <c r="AP142" i="48"/>
  <c r="B225" i="76"/>
  <c r="B50" i="76"/>
  <c r="AV29" i="48"/>
  <c r="AW33" i="48"/>
  <c r="AQ120" i="48"/>
  <c r="AQ146" i="48"/>
  <c r="AQ140" i="48"/>
  <c r="AQ141" i="48" s="1"/>
  <c r="AQ139" i="48"/>
  <c r="AQ122" i="48"/>
  <c r="AQ126" i="48"/>
  <c r="AQ129" i="48"/>
  <c r="AQ130" i="48"/>
  <c r="AW30" i="48"/>
  <c r="AQ135" i="48"/>
  <c r="AQ124" i="48"/>
  <c r="AQ128" i="48"/>
  <c r="AR114" i="48"/>
  <c r="AW31" i="48"/>
  <c r="AQ136" i="48"/>
  <c r="AQ137" i="48" s="1"/>
  <c r="AQ127" i="48"/>
  <c r="AQ123" i="48"/>
  <c r="AQ145" i="48"/>
  <c r="AQ121" i="48"/>
  <c r="AQ125" i="48"/>
  <c r="AW32" i="48"/>
  <c r="S50" i="76" l="1"/>
  <c r="D50" i="76"/>
  <c r="M50" i="76"/>
  <c r="Q50" i="76"/>
  <c r="N50" i="76"/>
  <c r="T50" i="76"/>
  <c r="P50" i="76"/>
  <c r="O50" i="76"/>
  <c r="R50" i="76"/>
  <c r="C50" i="76"/>
  <c r="B226" i="76"/>
  <c r="B51" i="76"/>
  <c r="E49" i="76"/>
  <c r="U49" i="76" s="1"/>
  <c r="G49" i="76"/>
  <c r="V49" i="76" s="1"/>
  <c r="I49" i="76"/>
  <c r="W49" i="76" s="1"/>
  <c r="K49" i="76"/>
  <c r="X49" i="76" s="1"/>
  <c r="Y49" i="76"/>
  <c r="H49" i="76"/>
  <c r="Z49" i="76"/>
  <c r="L49" i="76"/>
  <c r="F49" i="76"/>
  <c r="J49" i="76"/>
  <c r="AQ142" i="48"/>
  <c r="AS114" i="48"/>
  <c r="AR135" i="48"/>
  <c r="AX32" i="48"/>
  <c r="AR127" i="48"/>
  <c r="AR146" i="48"/>
  <c r="AR136" i="48"/>
  <c r="AR137" i="48" s="1"/>
  <c r="AX33" i="48"/>
  <c r="AR124" i="48"/>
  <c r="AR126" i="48"/>
  <c r="AR129" i="48"/>
  <c r="AR130" i="48"/>
  <c r="AR139" i="48"/>
  <c r="AR145" i="48"/>
  <c r="AR121" i="48"/>
  <c r="AR125" i="48"/>
  <c r="AR122" i="48"/>
  <c r="AX30" i="48"/>
  <c r="AR128" i="48"/>
  <c r="AX31" i="48"/>
  <c r="AR123" i="48"/>
  <c r="AR120" i="48"/>
  <c r="AR140" i="48"/>
  <c r="AR141" i="48" s="1"/>
  <c r="AQ138" i="48"/>
  <c r="AW29" i="48"/>
  <c r="AR138" i="48" l="1"/>
  <c r="S51" i="76"/>
  <c r="T51" i="76"/>
  <c r="N51" i="76"/>
  <c r="R51" i="76"/>
  <c r="P51" i="76"/>
  <c r="D51" i="76"/>
  <c r="M51" i="76"/>
  <c r="O51" i="76"/>
  <c r="Q51" i="76"/>
  <c r="C51" i="76"/>
  <c r="B227" i="76"/>
  <c r="B52" i="76"/>
  <c r="I50" i="76"/>
  <c r="W50" i="76" s="1"/>
  <c r="G50" i="76"/>
  <c r="V50" i="76" s="1"/>
  <c r="K50" i="76"/>
  <c r="X50" i="76" s="1"/>
  <c r="Y50" i="76"/>
  <c r="E50" i="76"/>
  <c r="U50" i="76" s="1"/>
  <c r="H50" i="76"/>
  <c r="L50" i="76"/>
  <c r="F50" i="76"/>
  <c r="J50" i="76"/>
  <c r="Z50" i="76"/>
  <c r="AR142" i="48"/>
  <c r="AX29" i="48"/>
  <c r="AT114" i="48"/>
  <c r="AS121" i="48"/>
  <c r="AS124" i="48"/>
  <c r="AS135" i="48"/>
  <c r="AS146" i="48"/>
  <c r="AS127" i="48"/>
  <c r="AS136" i="48"/>
  <c r="AS137" i="48" s="1"/>
  <c r="AS129" i="48"/>
  <c r="AS145" i="48"/>
  <c r="AS122" i="48"/>
  <c r="AS130" i="48"/>
  <c r="AY31" i="48"/>
  <c r="AS140" i="48"/>
  <c r="AS141" i="48" s="1"/>
  <c r="AY32" i="48"/>
  <c r="AS128" i="48"/>
  <c r="AS126" i="48"/>
  <c r="AY33" i="48"/>
  <c r="AS139" i="48"/>
  <c r="AS125" i="48"/>
  <c r="AS120" i="48"/>
  <c r="AS123" i="48"/>
  <c r="AY30" i="48"/>
  <c r="J51" i="76" l="1"/>
  <c r="Z51" i="76"/>
  <c r="F51" i="76"/>
  <c r="H51" i="76"/>
  <c r="L51" i="76"/>
  <c r="M52" i="76"/>
  <c r="N52" i="76"/>
  <c r="O52" i="76"/>
  <c r="S52" i="76"/>
  <c r="P52" i="76"/>
  <c r="C52" i="76"/>
  <c r="Q52" i="76"/>
  <c r="R52" i="76"/>
  <c r="D52" i="76"/>
  <c r="T52" i="76"/>
  <c r="B228" i="76"/>
  <c r="B53" i="76"/>
  <c r="G51" i="76"/>
  <c r="V51" i="76" s="1"/>
  <c r="I51" i="76"/>
  <c r="W51" i="76" s="1"/>
  <c r="K51" i="76"/>
  <c r="X51" i="76" s="1"/>
  <c r="E51" i="76"/>
  <c r="U51" i="76" s="1"/>
  <c r="Y51" i="76"/>
  <c r="AY29" i="48"/>
  <c r="AS138" i="48"/>
  <c r="AS142" i="48"/>
  <c r="AT140" i="48"/>
  <c r="AT141" i="48" s="1"/>
  <c r="AT127" i="48"/>
  <c r="AT121" i="48"/>
  <c r="AT145" i="48"/>
  <c r="AZ30" i="48"/>
  <c r="AT130" i="48"/>
  <c r="AT123" i="48"/>
  <c r="AZ31" i="48"/>
  <c r="AT146" i="48"/>
  <c r="AT128" i="48"/>
  <c r="AT136" i="48"/>
  <c r="AT137" i="48" s="1"/>
  <c r="AZ33" i="48"/>
  <c r="AT124" i="48"/>
  <c r="AT125" i="48"/>
  <c r="AZ32" i="48"/>
  <c r="AT139" i="48"/>
  <c r="AT129" i="48"/>
  <c r="AT122" i="48"/>
  <c r="AU114" i="48"/>
  <c r="AT126" i="48"/>
  <c r="AT120" i="48"/>
  <c r="AT135" i="48"/>
  <c r="B229" i="76" l="1"/>
  <c r="B54" i="76"/>
  <c r="F52" i="76"/>
  <c r="Z52" i="76"/>
  <c r="J52" i="76"/>
  <c r="H52" i="76"/>
  <c r="L52" i="76"/>
  <c r="K52" i="76"/>
  <c r="X52" i="76" s="1"/>
  <c r="G52" i="76"/>
  <c r="V52" i="76" s="1"/>
  <c r="I52" i="76"/>
  <c r="W52" i="76" s="1"/>
  <c r="E52" i="76"/>
  <c r="U52" i="76" s="1"/>
  <c r="Y52" i="76"/>
  <c r="AT138" i="48"/>
  <c r="P53" i="76"/>
  <c r="T53" i="76"/>
  <c r="Q53" i="76"/>
  <c r="D53" i="76"/>
  <c r="R53" i="76"/>
  <c r="M53" i="76"/>
  <c r="O53" i="76"/>
  <c r="C53" i="76"/>
  <c r="S53" i="76"/>
  <c r="N53" i="76"/>
  <c r="AT142" i="48"/>
  <c r="AZ29" i="48"/>
  <c r="AV114" i="48"/>
  <c r="BA30" i="48"/>
  <c r="AU123" i="48"/>
  <c r="BA31" i="48"/>
  <c r="AU135" i="48"/>
  <c r="AU130" i="48"/>
  <c r="BA32" i="48"/>
  <c r="AU136" i="48"/>
  <c r="AU137" i="48" s="1"/>
  <c r="AU126" i="48"/>
  <c r="AU122" i="48"/>
  <c r="BA33" i="48"/>
  <c r="AU120" i="48"/>
  <c r="AU127" i="48"/>
  <c r="AU139" i="48"/>
  <c r="AU128" i="48"/>
  <c r="AU121" i="48"/>
  <c r="AU140" i="48"/>
  <c r="AU141" i="48" s="1"/>
  <c r="AU145" i="48"/>
  <c r="AU124" i="48"/>
  <c r="AU125" i="48"/>
  <c r="AU146" i="48"/>
  <c r="AU129" i="48"/>
  <c r="I53" i="76" l="1"/>
  <c r="W53" i="76" s="1"/>
  <c r="K53" i="76"/>
  <c r="X53" i="76" s="1"/>
  <c r="G53" i="76"/>
  <c r="V53" i="76" s="1"/>
  <c r="E53" i="76"/>
  <c r="U53" i="76" s="1"/>
  <c r="Y53" i="76"/>
  <c r="Q54" i="76"/>
  <c r="M54" i="76"/>
  <c r="T54" i="76"/>
  <c r="N54" i="76"/>
  <c r="O54" i="76"/>
  <c r="R54" i="76"/>
  <c r="P54" i="76"/>
  <c r="C54" i="76"/>
  <c r="S54" i="76"/>
  <c r="D54" i="76"/>
  <c r="H53" i="76"/>
  <c r="J53" i="76"/>
  <c r="F53" i="76"/>
  <c r="L53" i="76"/>
  <c r="Z53" i="76"/>
  <c r="B230" i="76"/>
  <c r="B55" i="76"/>
  <c r="BA29" i="48"/>
  <c r="AW114" i="48"/>
  <c r="AV139" i="48"/>
  <c r="AV135" i="48"/>
  <c r="AV127" i="48"/>
  <c r="AV146" i="48"/>
  <c r="AV140" i="48"/>
  <c r="AV141" i="48" s="1"/>
  <c r="AV136" i="48"/>
  <c r="AV137" i="48" s="1"/>
  <c r="AV122" i="48"/>
  <c r="AV121" i="48"/>
  <c r="AV124" i="48"/>
  <c r="BB30" i="48"/>
  <c r="AV123" i="48"/>
  <c r="AV126" i="48"/>
  <c r="BB32" i="48"/>
  <c r="AV129" i="48"/>
  <c r="AV130" i="48"/>
  <c r="BB33" i="48"/>
  <c r="AV125" i="48"/>
  <c r="BB31" i="48"/>
  <c r="AV120" i="48"/>
  <c r="AV145" i="48"/>
  <c r="AV128" i="48"/>
  <c r="AU138" i="48"/>
  <c r="AU142" i="48"/>
  <c r="AV138" i="48" l="1"/>
  <c r="AV142" i="48"/>
  <c r="L54" i="76"/>
  <c r="J54" i="76"/>
  <c r="F54" i="76"/>
  <c r="Z54" i="76"/>
  <c r="H54" i="76"/>
  <c r="D55" i="76"/>
  <c r="M55" i="76"/>
  <c r="P55" i="76"/>
  <c r="R55" i="76"/>
  <c r="C55" i="76"/>
  <c r="T55" i="76"/>
  <c r="O55" i="76"/>
  <c r="N55" i="76"/>
  <c r="Q55" i="76"/>
  <c r="S55" i="76"/>
  <c r="B231" i="76"/>
  <c r="B56" i="76"/>
  <c r="I54" i="76"/>
  <c r="W54" i="76" s="1"/>
  <c r="E54" i="76"/>
  <c r="U54" i="76" s="1"/>
  <c r="K54" i="76"/>
  <c r="X54" i="76" s="1"/>
  <c r="G54" i="76"/>
  <c r="V54" i="76" s="1"/>
  <c r="Y54" i="76"/>
  <c r="BB29" i="48"/>
  <c r="AX114" i="48"/>
  <c r="BC32" i="48"/>
  <c r="AW126" i="48"/>
  <c r="AW129" i="48"/>
  <c r="BC33" i="48"/>
  <c r="AW121" i="48"/>
  <c r="AW146" i="48"/>
  <c r="AW127" i="48"/>
  <c r="AW123" i="48"/>
  <c r="AW128" i="48"/>
  <c r="AW135" i="48"/>
  <c r="AW122" i="48"/>
  <c r="AW139" i="48"/>
  <c r="BC30" i="48"/>
  <c r="AW136" i="48"/>
  <c r="AW137" i="48" s="1"/>
  <c r="AW120" i="48"/>
  <c r="AW140" i="48"/>
  <c r="AW141" i="48" s="1"/>
  <c r="BC31" i="48"/>
  <c r="AW145" i="48"/>
  <c r="AW124" i="48"/>
  <c r="AW130" i="48"/>
  <c r="AW125" i="48"/>
  <c r="BC29" i="48" l="1"/>
  <c r="B232" i="76"/>
  <c r="B57" i="76"/>
  <c r="L55" i="76"/>
  <c r="H55" i="76"/>
  <c r="F55" i="76"/>
  <c r="Z55" i="76"/>
  <c r="J55" i="76"/>
  <c r="AW142" i="48"/>
  <c r="K55" i="76"/>
  <c r="X55" i="76" s="1"/>
  <c r="E55" i="76"/>
  <c r="U55" i="76" s="1"/>
  <c r="G55" i="76"/>
  <c r="V55" i="76" s="1"/>
  <c r="I55" i="76"/>
  <c r="W55" i="76" s="1"/>
  <c r="Y55" i="76"/>
  <c r="T56" i="76"/>
  <c r="M56" i="76"/>
  <c r="N56" i="76"/>
  <c r="P56" i="76"/>
  <c r="Q56" i="76"/>
  <c r="C56" i="76"/>
  <c r="R56" i="76"/>
  <c r="S56" i="76"/>
  <c r="O56" i="76"/>
  <c r="D56" i="76"/>
  <c r="AW138" i="48"/>
  <c r="AY114" i="48"/>
  <c r="BD31" i="48"/>
  <c r="AX122" i="48"/>
  <c r="BD32" i="48"/>
  <c r="AX125" i="48"/>
  <c r="BD33" i="48"/>
  <c r="AX127" i="48"/>
  <c r="AX123" i="48"/>
  <c r="AX139" i="48"/>
  <c r="AX128" i="48"/>
  <c r="AX145" i="48"/>
  <c r="AX136" i="48"/>
  <c r="AX137" i="48" s="1"/>
  <c r="AX130" i="48"/>
  <c r="AX126" i="48"/>
  <c r="AX121" i="48"/>
  <c r="BD30" i="48"/>
  <c r="AX135" i="48"/>
  <c r="AX140" i="48"/>
  <c r="AX141" i="48" s="1"/>
  <c r="AX120" i="48"/>
  <c r="AX129" i="48"/>
  <c r="AX146" i="48"/>
  <c r="AX124" i="48"/>
  <c r="L56" i="76" l="1"/>
  <c r="F56" i="76"/>
  <c r="H56" i="76"/>
  <c r="J56" i="76"/>
  <c r="Z56" i="76"/>
  <c r="K56" i="76"/>
  <c r="X56" i="76" s="1"/>
  <c r="E56" i="76"/>
  <c r="U56" i="76" s="1"/>
  <c r="I56" i="76"/>
  <c r="W56" i="76" s="1"/>
  <c r="G56" i="76"/>
  <c r="V56" i="76" s="1"/>
  <c r="Y56" i="76"/>
  <c r="N57" i="76"/>
  <c r="O57" i="76"/>
  <c r="Q57" i="76"/>
  <c r="R57" i="76"/>
  <c r="C57" i="76"/>
  <c r="D57" i="76"/>
  <c r="P57" i="76"/>
  <c r="T57" i="76"/>
  <c r="S57" i="76"/>
  <c r="M57" i="76"/>
  <c r="AX138" i="48"/>
  <c r="B233" i="76"/>
  <c r="B58" i="76"/>
  <c r="AX142" i="48"/>
  <c r="BD29" i="48"/>
  <c r="AY139" i="48"/>
  <c r="BE32" i="48"/>
  <c r="AY121" i="48"/>
  <c r="AY124" i="48"/>
  <c r="AZ114" i="48"/>
  <c r="AY140" i="48"/>
  <c r="AY141" i="48" s="1"/>
  <c r="BE33" i="48"/>
  <c r="AY125" i="48"/>
  <c r="AY123" i="48"/>
  <c r="AY127" i="48"/>
  <c r="AY145" i="48"/>
  <c r="AY120" i="48"/>
  <c r="AY135" i="48"/>
  <c r="AY128" i="48"/>
  <c r="AY129" i="48"/>
  <c r="AY136" i="48"/>
  <c r="AY137" i="48" s="1"/>
  <c r="BE30" i="48"/>
  <c r="BE31" i="48"/>
  <c r="AY126" i="48"/>
  <c r="AY122" i="48"/>
  <c r="AY130" i="48"/>
  <c r="AY146" i="48"/>
  <c r="L57" i="76" l="1"/>
  <c r="F57" i="76"/>
  <c r="J57" i="76"/>
  <c r="H57" i="76"/>
  <c r="Z57" i="76"/>
  <c r="K57" i="76"/>
  <c r="X57" i="76" s="1"/>
  <c r="Y57" i="76"/>
  <c r="E57" i="76"/>
  <c r="U57" i="76" s="1"/>
  <c r="G57" i="76"/>
  <c r="V57" i="76" s="1"/>
  <c r="I57" i="76"/>
  <c r="W57" i="76" s="1"/>
  <c r="B234" i="76"/>
  <c r="B59" i="76"/>
  <c r="M58" i="76"/>
  <c r="Q58" i="76"/>
  <c r="N58" i="76"/>
  <c r="T58" i="76"/>
  <c r="O58" i="76"/>
  <c r="P58" i="76"/>
  <c r="D58" i="76"/>
  <c r="R58" i="76"/>
  <c r="C58" i="76"/>
  <c r="S58" i="76"/>
  <c r="AY142" i="48"/>
  <c r="AY138" i="48"/>
  <c r="BA114" i="48"/>
  <c r="BF30" i="48"/>
  <c r="AZ124" i="48"/>
  <c r="AZ146" i="48"/>
  <c r="BF31" i="48"/>
  <c r="AZ120" i="48"/>
  <c r="BF32" i="48"/>
  <c r="AZ139" i="48"/>
  <c r="AZ125" i="48"/>
  <c r="BF33" i="48"/>
  <c r="AZ140" i="48"/>
  <c r="AZ141" i="48" s="1"/>
  <c r="AZ121" i="48"/>
  <c r="AZ127" i="48"/>
  <c r="AZ135" i="48"/>
  <c r="AZ123" i="48"/>
  <c r="AZ122" i="48"/>
  <c r="AZ136" i="48"/>
  <c r="AZ137" i="48" s="1"/>
  <c r="AZ129" i="48"/>
  <c r="AZ126" i="48"/>
  <c r="AZ128" i="48"/>
  <c r="AZ130" i="48"/>
  <c r="AZ145" i="48"/>
  <c r="BE29" i="48"/>
  <c r="AZ138" i="48" l="1"/>
  <c r="I58" i="76"/>
  <c r="W58" i="76" s="1"/>
  <c r="Y58" i="76"/>
  <c r="E58" i="76"/>
  <c r="U58" i="76" s="1"/>
  <c r="G58" i="76"/>
  <c r="V58" i="76" s="1"/>
  <c r="K58" i="76"/>
  <c r="X58" i="76" s="1"/>
  <c r="D59" i="76"/>
  <c r="T59" i="76"/>
  <c r="N59" i="76"/>
  <c r="M59" i="76"/>
  <c r="O59" i="76"/>
  <c r="R59" i="76"/>
  <c r="P59" i="76"/>
  <c r="Q59" i="76"/>
  <c r="C59" i="76"/>
  <c r="S59" i="76"/>
  <c r="F58" i="76"/>
  <c r="H58" i="76"/>
  <c r="J58" i="76"/>
  <c r="L58" i="76"/>
  <c r="Z58" i="76"/>
  <c r="B235" i="76"/>
  <c r="B60" i="76"/>
  <c r="BF29" i="48"/>
  <c r="BA140" i="48"/>
  <c r="BA141" i="48" s="1"/>
  <c r="BG33" i="48"/>
  <c r="BA135" i="48"/>
  <c r="BB114" i="48"/>
  <c r="BG31" i="48"/>
  <c r="BG32" i="48"/>
  <c r="BA124" i="48"/>
  <c r="BA123" i="48"/>
  <c r="BA126" i="48"/>
  <c r="BA130" i="48"/>
  <c r="BA125" i="48"/>
  <c r="BA139" i="48"/>
  <c r="BA121" i="48"/>
  <c r="BA136" i="48"/>
  <c r="BA137" i="48" s="1"/>
  <c r="BA129" i="48"/>
  <c r="BA122" i="48"/>
  <c r="BA128" i="48"/>
  <c r="BA120" i="48"/>
  <c r="BA146" i="48"/>
  <c r="BG30" i="48"/>
  <c r="BA127" i="48"/>
  <c r="BA145" i="48"/>
  <c r="AZ142" i="48"/>
  <c r="BA142" i="48" l="1"/>
  <c r="R60" i="76"/>
  <c r="T60" i="76"/>
  <c r="M60" i="76"/>
  <c r="O60" i="76"/>
  <c r="C60" i="76"/>
  <c r="Q60" i="76"/>
  <c r="D60" i="76"/>
  <c r="N60" i="76"/>
  <c r="S60" i="76"/>
  <c r="P60" i="76"/>
  <c r="G59" i="76"/>
  <c r="V59" i="76" s="1"/>
  <c r="K59" i="76"/>
  <c r="X59" i="76" s="1"/>
  <c r="Y59" i="76"/>
  <c r="I59" i="76"/>
  <c r="W59" i="76" s="1"/>
  <c r="E59" i="76"/>
  <c r="U59" i="76" s="1"/>
  <c r="L59" i="76"/>
  <c r="J59" i="76"/>
  <c r="F59" i="76"/>
  <c r="H59" i="76"/>
  <c r="Z59" i="76"/>
  <c r="BA138" i="48"/>
  <c r="B236" i="76"/>
  <c r="B61" i="76"/>
  <c r="BG29" i="48"/>
  <c r="BH31" i="48"/>
  <c r="BH32" i="48"/>
  <c r="BB129" i="48"/>
  <c r="BB139" i="48"/>
  <c r="BH33" i="48"/>
  <c r="BB124" i="48"/>
  <c r="BC114" i="48"/>
  <c r="BB140" i="48"/>
  <c r="BB141" i="48" s="1"/>
  <c r="BB123" i="48"/>
  <c r="BB125" i="48"/>
  <c r="BB128" i="48"/>
  <c r="BB136" i="48"/>
  <c r="BB137" i="48" s="1"/>
  <c r="BB122" i="48"/>
  <c r="BB145" i="48"/>
  <c r="BB130" i="48"/>
  <c r="BB146" i="48"/>
  <c r="BB127" i="48"/>
  <c r="BB126" i="48"/>
  <c r="BB120" i="48"/>
  <c r="BB135" i="48"/>
  <c r="BH30" i="48"/>
  <c r="BH29" i="48" s="1"/>
  <c r="BB121" i="48"/>
  <c r="BB138" i="48" l="1"/>
  <c r="F60" i="76"/>
  <c r="Z60" i="76"/>
  <c r="H60" i="76"/>
  <c r="L60" i="76"/>
  <c r="J60" i="76"/>
  <c r="B237" i="76"/>
  <c r="B62" i="76"/>
  <c r="G60" i="76"/>
  <c r="V60" i="76" s="1"/>
  <c r="I60" i="76"/>
  <c r="W60" i="76" s="1"/>
  <c r="E60" i="76"/>
  <c r="U60" i="76" s="1"/>
  <c r="K60" i="76"/>
  <c r="X60" i="76" s="1"/>
  <c r="Y60" i="76"/>
  <c r="BB142" i="48"/>
  <c r="C61" i="76"/>
  <c r="S61" i="76"/>
  <c r="T61" i="76"/>
  <c r="Q61" i="76"/>
  <c r="M61" i="76"/>
  <c r="N61" i="76"/>
  <c r="D61" i="76"/>
  <c r="P61" i="76"/>
  <c r="O61" i="76"/>
  <c r="R61" i="76"/>
  <c r="BD114" i="48"/>
  <c r="BC126" i="48"/>
  <c r="BC122" i="48"/>
  <c r="BI30" i="48"/>
  <c r="BC135" i="48"/>
  <c r="BC129" i="48"/>
  <c r="BC127" i="48"/>
  <c r="BC140" i="48"/>
  <c r="BC141" i="48" s="1"/>
  <c r="BC120" i="48"/>
  <c r="BI33" i="48"/>
  <c r="BC146" i="48"/>
  <c r="BC130" i="48"/>
  <c r="BC124" i="48"/>
  <c r="BC121" i="48"/>
  <c r="BC123" i="48"/>
  <c r="BC145" i="48"/>
  <c r="BI31" i="48"/>
  <c r="BC139" i="48"/>
  <c r="BC125" i="48"/>
  <c r="BC128" i="48"/>
  <c r="BI32" i="48"/>
  <c r="BC136" i="48"/>
  <c r="BC137" i="48" s="1"/>
  <c r="Q62" i="76" l="1"/>
  <c r="M62" i="76"/>
  <c r="C62" i="76"/>
  <c r="S62" i="76"/>
  <c r="T62" i="76"/>
  <c r="R62" i="76"/>
  <c r="P62" i="76"/>
  <c r="D62" i="76"/>
  <c r="N62" i="76"/>
  <c r="O62" i="76"/>
  <c r="E61" i="76"/>
  <c r="U61" i="76" s="1"/>
  <c r="I61" i="76"/>
  <c r="W61" i="76" s="1"/>
  <c r="K61" i="76"/>
  <c r="X61" i="76" s="1"/>
  <c r="G61" i="76"/>
  <c r="V61" i="76" s="1"/>
  <c r="Y61" i="76"/>
  <c r="B238" i="76"/>
  <c r="B63" i="76"/>
  <c r="J61" i="76"/>
  <c r="L61" i="76"/>
  <c r="Z61" i="76"/>
  <c r="H61" i="76"/>
  <c r="F61" i="76"/>
  <c r="BC138" i="48"/>
  <c r="BI29" i="48"/>
  <c r="BC142" i="48"/>
  <c r="BD127" i="48"/>
  <c r="BD130" i="48"/>
  <c r="BD120" i="48"/>
  <c r="BD135" i="48"/>
  <c r="BD136" i="48"/>
  <c r="BD137" i="48" s="1"/>
  <c r="BD126" i="48"/>
  <c r="BD129" i="48"/>
  <c r="BJ31" i="48"/>
  <c r="BJ32" i="48"/>
  <c r="BD139" i="48"/>
  <c r="BD122" i="48"/>
  <c r="BD145" i="48"/>
  <c r="BD124" i="48"/>
  <c r="BD146" i="48"/>
  <c r="BD140" i="48"/>
  <c r="BD141" i="48" s="1"/>
  <c r="BJ33" i="48"/>
  <c r="BD128" i="48"/>
  <c r="BD121" i="48"/>
  <c r="BJ30" i="48"/>
  <c r="BD123" i="48"/>
  <c r="BD125" i="48"/>
  <c r="B239" i="76" l="1"/>
  <c r="B64" i="76"/>
  <c r="J62" i="76"/>
  <c r="L62" i="76"/>
  <c r="F62" i="76"/>
  <c r="H62" i="76"/>
  <c r="Z62" i="76"/>
  <c r="I62" i="76"/>
  <c r="W62" i="76" s="1"/>
  <c r="K62" i="76"/>
  <c r="X62" i="76" s="1"/>
  <c r="G62" i="76"/>
  <c r="V62" i="76" s="1"/>
  <c r="E62" i="76"/>
  <c r="U62" i="76" s="1"/>
  <c r="Y62" i="76"/>
  <c r="D63" i="76"/>
  <c r="T63" i="76"/>
  <c r="M63" i="76"/>
  <c r="O63" i="76"/>
  <c r="P63" i="76"/>
  <c r="R63" i="76"/>
  <c r="Q63" i="76"/>
  <c r="C63" i="76"/>
  <c r="N63" i="76"/>
  <c r="S63" i="76"/>
  <c r="BD138" i="48"/>
  <c r="BJ29" i="48"/>
  <c r="BD142" i="48"/>
  <c r="H63" i="76" l="1"/>
  <c r="F63" i="76"/>
  <c r="J63" i="76"/>
  <c r="L63" i="76"/>
  <c r="Z63" i="76"/>
  <c r="I63" i="76"/>
  <c r="W63" i="76" s="1"/>
  <c r="Y63" i="76"/>
  <c r="K63" i="76"/>
  <c r="X63" i="76" s="1"/>
  <c r="E63" i="76"/>
  <c r="U63" i="76" s="1"/>
  <c r="G63" i="76"/>
  <c r="V63" i="76" s="1"/>
  <c r="C64" i="76"/>
  <c r="O64" i="76"/>
  <c r="S64" i="76"/>
  <c r="R64" i="76"/>
  <c r="D64" i="76"/>
  <c r="N64" i="76"/>
  <c r="P64" i="76"/>
  <c r="Q64" i="76"/>
  <c r="T64" i="76"/>
  <c r="M64" i="76"/>
  <c r="B240" i="76"/>
  <c r="B65" i="76"/>
  <c r="R65" i="76" l="1"/>
  <c r="D58" i="47" s="1"/>
  <c r="M65" i="76"/>
  <c r="N65" i="76"/>
  <c r="D56" i="47" s="1"/>
  <c r="O65" i="76"/>
  <c r="Q65" i="76"/>
  <c r="C65" i="76"/>
  <c r="D65" i="76"/>
  <c r="D33" i="47" s="1"/>
  <c r="P65" i="76"/>
  <c r="D57" i="47" s="1"/>
  <c r="S65" i="76"/>
  <c r="T65" i="76"/>
  <c r="D59" i="47" s="1"/>
  <c r="M84" i="48"/>
  <c r="M49" i="48"/>
  <c r="M28" i="48"/>
  <c r="N28" i="48" s="1"/>
  <c r="O28" i="48" s="1"/>
  <c r="P28" i="48" s="1"/>
  <c r="Q28" i="48" s="1"/>
  <c r="R28" i="48" s="1"/>
  <c r="S28" i="48" s="1"/>
  <c r="T28" i="48" s="1"/>
  <c r="U28" i="48" s="1"/>
  <c r="V28" i="48" s="1"/>
  <c r="W28" i="48" s="1"/>
  <c r="X28" i="48" s="1"/>
  <c r="Y28" i="48" s="1"/>
  <c r="Z28" i="48" s="1"/>
  <c r="AA28" i="48" s="1"/>
  <c r="AB28" i="48" s="1"/>
  <c r="AC28" i="48" s="1"/>
  <c r="AD28" i="48" s="1"/>
  <c r="AE28" i="48" s="1"/>
  <c r="AF28" i="48" s="1"/>
  <c r="AG28" i="48" s="1"/>
  <c r="AH28" i="48" s="1"/>
  <c r="AI28" i="48" s="1"/>
  <c r="AJ28" i="48" s="1"/>
  <c r="AK28" i="48" s="1"/>
  <c r="AL28" i="48" s="1"/>
  <c r="AM28" i="48" s="1"/>
  <c r="AN28" i="48" s="1"/>
  <c r="AO28" i="48" s="1"/>
  <c r="AP28" i="48" s="1"/>
  <c r="AQ28" i="48" s="1"/>
  <c r="AR28" i="48" s="1"/>
  <c r="AS28" i="48" s="1"/>
  <c r="AT28" i="48" s="1"/>
  <c r="AU28" i="48" s="1"/>
  <c r="AV28" i="48" s="1"/>
  <c r="AW28" i="48" s="1"/>
  <c r="AX28" i="48" s="1"/>
  <c r="AY28" i="48" s="1"/>
  <c r="AZ28" i="48" s="1"/>
  <c r="BA28" i="48" s="1"/>
  <c r="BB28" i="48" s="1"/>
  <c r="BC28" i="48" s="1"/>
  <c r="BD28" i="48" s="1"/>
  <c r="BE28" i="48" s="1"/>
  <c r="BF28" i="48" s="1"/>
  <c r="BG28" i="48" s="1"/>
  <c r="BH28" i="48" s="1"/>
  <c r="BI28" i="48" s="1"/>
  <c r="BJ28" i="48" s="1"/>
  <c r="BK28" i="48" s="1"/>
  <c r="F64" i="76"/>
  <c r="L64" i="76"/>
  <c r="H64" i="76"/>
  <c r="J64" i="76"/>
  <c r="Z64" i="76"/>
  <c r="Y64" i="76"/>
  <c r="I64" i="76"/>
  <c r="W64" i="76" s="1"/>
  <c r="G64" i="76"/>
  <c r="V64" i="76" s="1"/>
  <c r="K64" i="76"/>
  <c r="X64" i="76" s="1"/>
  <c r="E64" i="76"/>
  <c r="U64" i="76" s="1"/>
  <c r="D69" i="47" l="1"/>
  <c r="AE57" i="47"/>
  <c r="R57" i="47"/>
  <c r="AC57" i="47"/>
  <c r="BC57" i="47"/>
  <c r="AS57" i="47"/>
  <c r="AK57" i="47"/>
  <c r="L57" i="47"/>
  <c r="W57" i="47"/>
  <c r="AF57" i="47"/>
  <c r="AI57" i="47"/>
  <c r="O57" i="47"/>
  <c r="P57" i="47"/>
  <c r="J57" i="47"/>
  <c r="AY57" i="47"/>
  <c r="AX57" i="47"/>
  <c r="AN57" i="47"/>
  <c r="AQ57" i="47"/>
  <c r="Q57" i="47"/>
  <c r="X57" i="47"/>
  <c r="AA57" i="47"/>
  <c r="AB57" i="47"/>
  <c r="AW57" i="47"/>
  <c r="AH57" i="47"/>
  <c r="AD57" i="47"/>
  <c r="AM57" i="47"/>
  <c r="BA57" i="47"/>
  <c r="AJ57" i="47"/>
  <c r="AR57" i="47"/>
  <c r="I57" i="47"/>
  <c r="BD57" i="47"/>
  <c r="M57" i="47"/>
  <c r="U57" i="47"/>
  <c r="E57" i="47"/>
  <c r="AL57" i="47"/>
  <c r="T57" i="47"/>
  <c r="Z57" i="47"/>
  <c r="AU57" i="47"/>
  <c r="AV57" i="47"/>
  <c r="K57" i="47"/>
  <c r="AT57" i="47"/>
  <c r="N57" i="47"/>
  <c r="AG57" i="47"/>
  <c r="AP57" i="47"/>
  <c r="V57" i="47"/>
  <c r="AO57" i="47"/>
  <c r="Y57" i="47"/>
  <c r="S57" i="47"/>
  <c r="BB57" i="47"/>
  <c r="AZ57" i="47"/>
  <c r="F57" i="47"/>
  <c r="G57" i="47"/>
  <c r="H57" i="47"/>
  <c r="H65" i="76"/>
  <c r="D35" i="47" s="1"/>
  <c r="Z65" i="76"/>
  <c r="D38" i="47" s="1"/>
  <c r="L65" i="76"/>
  <c r="D37" i="47" s="1"/>
  <c r="F65" i="76"/>
  <c r="D34" i="47" s="1"/>
  <c r="J65" i="76"/>
  <c r="D36" i="47" s="1"/>
  <c r="N33" i="47"/>
  <c r="AU33" i="47"/>
  <c r="Y33" i="47"/>
  <c r="S33" i="47"/>
  <c r="X33" i="47"/>
  <c r="AE33" i="47"/>
  <c r="T33" i="47"/>
  <c r="AY33" i="47"/>
  <c r="P33" i="47"/>
  <c r="AV33" i="47"/>
  <c r="AQ33" i="47"/>
  <c r="AW33" i="47"/>
  <c r="BC33" i="47"/>
  <c r="AJ33" i="47"/>
  <c r="AL33" i="47"/>
  <c r="J33" i="47"/>
  <c r="AN33" i="47"/>
  <c r="AS33" i="47"/>
  <c r="V33" i="47"/>
  <c r="E33" i="47"/>
  <c r="AA33" i="47"/>
  <c r="AO33" i="47"/>
  <c r="Z33" i="47"/>
  <c r="AI33" i="47"/>
  <c r="G33" i="47"/>
  <c r="AX33" i="47"/>
  <c r="BB33" i="47"/>
  <c r="AT33" i="47"/>
  <c r="AC33" i="47"/>
  <c r="AF33" i="47"/>
  <c r="I33" i="47"/>
  <c r="AM33" i="47"/>
  <c r="AB33" i="47"/>
  <c r="AR33" i="47"/>
  <c r="K33" i="47"/>
  <c r="U33" i="47"/>
  <c r="BD33" i="47"/>
  <c r="Q33" i="47"/>
  <c r="AG33" i="47"/>
  <c r="F33" i="47"/>
  <c r="W33" i="47"/>
  <c r="O33" i="47"/>
  <c r="L33" i="47"/>
  <c r="BA33" i="47"/>
  <c r="M33" i="47"/>
  <c r="AK33" i="47"/>
  <c r="AP33" i="47"/>
  <c r="R33" i="47"/>
  <c r="AH33" i="47"/>
  <c r="AD33" i="47"/>
  <c r="AZ33" i="47"/>
  <c r="H33" i="47"/>
  <c r="E65" i="76"/>
  <c r="U65" i="76" s="1"/>
  <c r="D45" i="47" s="1"/>
  <c r="D49" i="47" s="1"/>
  <c r="D39" i="47" s="1"/>
  <c r="G65" i="76"/>
  <c r="V65" i="76" s="1"/>
  <c r="D46" i="47" s="1"/>
  <c r="D50" i="47" s="1"/>
  <c r="D40" i="47" s="1"/>
  <c r="I65" i="76"/>
  <c r="W65" i="76" s="1"/>
  <c r="D47" i="47" s="1"/>
  <c r="D51" i="47" s="1"/>
  <c r="K65" i="76"/>
  <c r="X65" i="76" s="1"/>
  <c r="D48" i="47" s="1"/>
  <c r="D52" i="47" s="1"/>
  <c r="Y65" i="76"/>
  <c r="N49" i="48"/>
  <c r="M54" i="48"/>
  <c r="M52" i="48"/>
  <c r="M53" i="48"/>
  <c r="N84" i="48"/>
  <c r="AA56" i="47"/>
  <c r="AW56" i="47"/>
  <c r="H56" i="47"/>
  <c r="AH56" i="47"/>
  <c r="N56" i="47"/>
  <c r="AL56" i="47"/>
  <c r="V56" i="47"/>
  <c r="BD56" i="47"/>
  <c r="AB56" i="47"/>
  <c r="L56" i="47"/>
  <c r="AV56" i="47"/>
  <c r="R56" i="47"/>
  <c r="AU56" i="47"/>
  <c r="X56" i="47"/>
  <c r="AY56" i="47"/>
  <c r="M56" i="47"/>
  <c r="AX56" i="47"/>
  <c r="AP56" i="47"/>
  <c r="I56" i="47"/>
  <c r="AJ56" i="47"/>
  <c r="AT56" i="47"/>
  <c r="P56" i="47"/>
  <c r="BC56" i="47"/>
  <c r="J56" i="47"/>
  <c r="AR56" i="47"/>
  <c r="AZ56" i="47"/>
  <c r="W56" i="47"/>
  <c r="AS56" i="47"/>
  <c r="O56" i="47"/>
  <c r="AK56" i="47"/>
  <c r="T56" i="47"/>
  <c r="AF56" i="47"/>
  <c r="S56" i="47"/>
  <c r="U56" i="47"/>
  <c r="Z56" i="47"/>
  <c r="BB56" i="47"/>
  <c r="Q56" i="47"/>
  <c r="AC56" i="47"/>
  <c r="AD56" i="47"/>
  <c r="AE56" i="47"/>
  <c r="AO56" i="47"/>
  <c r="AG56" i="47"/>
  <c r="AN56" i="47"/>
  <c r="BA56" i="47"/>
  <c r="AQ56" i="47"/>
  <c r="AM56" i="47"/>
  <c r="Y56" i="47"/>
  <c r="K56" i="47"/>
  <c r="AI56" i="47"/>
  <c r="E56" i="47"/>
  <c r="F56" i="47"/>
  <c r="G56" i="47"/>
  <c r="U59" i="47"/>
  <c r="W59" i="47"/>
  <c r="AF59" i="47"/>
  <c r="AP59" i="47"/>
  <c r="AG59" i="47"/>
  <c r="AL59" i="47"/>
  <c r="BA59" i="47"/>
  <c r="S59" i="47"/>
  <c r="BD59" i="47"/>
  <c r="AQ59" i="47"/>
  <c r="AC59" i="47"/>
  <c r="AN59" i="47"/>
  <c r="AH59" i="47"/>
  <c r="Z59" i="47"/>
  <c r="Y59" i="47"/>
  <c r="AU59" i="47"/>
  <c r="AR59" i="47"/>
  <c r="AS59" i="47"/>
  <c r="AO59" i="47"/>
  <c r="AY59" i="47"/>
  <c r="AD59" i="47"/>
  <c r="AV59" i="47"/>
  <c r="P59" i="47"/>
  <c r="R59" i="47"/>
  <c r="L59" i="47"/>
  <c r="M59" i="47"/>
  <c r="BB59" i="47"/>
  <c r="BC59" i="47"/>
  <c r="AK59" i="47"/>
  <c r="X59" i="47"/>
  <c r="O59" i="47"/>
  <c r="N59" i="47"/>
  <c r="AA59" i="47"/>
  <c r="AM59" i="47"/>
  <c r="AZ59" i="47"/>
  <c r="AI59" i="47"/>
  <c r="T59" i="47"/>
  <c r="AJ59" i="47"/>
  <c r="AW59" i="47"/>
  <c r="K59" i="47"/>
  <c r="AB59" i="47"/>
  <c r="Q59" i="47"/>
  <c r="V59" i="47"/>
  <c r="AE59" i="47"/>
  <c r="AT59" i="47"/>
  <c r="AX59" i="47"/>
  <c r="J59" i="47"/>
  <c r="E59" i="47"/>
  <c r="I59" i="47"/>
  <c r="G59" i="47"/>
  <c r="H59" i="47"/>
  <c r="F59" i="47"/>
  <c r="AC58" i="47"/>
  <c r="AC69" i="47" s="1"/>
  <c r="AN58" i="47"/>
  <c r="I58" i="47"/>
  <c r="BB58" i="47"/>
  <c r="AL58" i="47"/>
  <c r="AL69" i="47" s="1"/>
  <c r="T58" i="47"/>
  <c r="AE58" i="47"/>
  <c r="AE69" i="47" s="1"/>
  <c r="AU58" i="47"/>
  <c r="AU69" i="47" s="1"/>
  <c r="AV58" i="47"/>
  <c r="AV69" i="47" s="1"/>
  <c r="AS58" i="47"/>
  <c r="AS69" i="47" s="1"/>
  <c r="AZ58" i="47"/>
  <c r="AR58" i="47"/>
  <c r="AT58" i="47"/>
  <c r="BA58" i="47"/>
  <c r="BA69" i="47" s="1"/>
  <c r="U58" i="47"/>
  <c r="AD58" i="47"/>
  <c r="AP58" i="47"/>
  <c r="AP69" i="47" s="1"/>
  <c r="R58" i="47"/>
  <c r="R69" i="47" s="1"/>
  <c r="L58" i="47"/>
  <c r="AB58" i="47"/>
  <c r="AI58" i="47"/>
  <c r="AO58" i="47"/>
  <c r="AQ58" i="47"/>
  <c r="AQ69" i="47" s="1"/>
  <c r="AH58" i="47"/>
  <c r="V58" i="47"/>
  <c r="V69" i="47" s="1"/>
  <c r="J58" i="47"/>
  <c r="AA58" i="47"/>
  <c r="K58" i="47"/>
  <c r="K69" i="47" s="1"/>
  <c r="Q58" i="47"/>
  <c r="Q69" i="47" s="1"/>
  <c r="X58" i="47"/>
  <c r="X69" i="47" s="1"/>
  <c r="BC58" i="47"/>
  <c r="BC69" i="47" s="1"/>
  <c r="AW58" i="47"/>
  <c r="AW69" i="47" s="1"/>
  <c r="AF58" i="47"/>
  <c r="AF69" i="47" s="1"/>
  <c r="AJ58" i="47"/>
  <c r="AJ69" i="47" s="1"/>
  <c r="N58" i="47"/>
  <c r="AM58" i="47"/>
  <c r="AM69" i="47" s="1"/>
  <c r="AK58" i="47"/>
  <c r="AG58" i="47"/>
  <c r="S58" i="47"/>
  <c r="S69" i="47" s="1"/>
  <c r="O58" i="47"/>
  <c r="M58" i="47"/>
  <c r="M69" i="47" s="1"/>
  <c r="Y58" i="47"/>
  <c r="Y69" i="47" s="1"/>
  <c r="BD58" i="47"/>
  <c r="AY58" i="47"/>
  <c r="AY69" i="47" s="1"/>
  <c r="W58" i="47"/>
  <c r="W69" i="47" s="1"/>
  <c r="P58" i="47"/>
  <c r="AX58" i="47"/>
  <c r="AX69" i="47" s="1"/>
  <c r="Z58" i="47"/>
  <c r="Z69" i="47" s="1"/>
  <c r="E58" i="47"/>
  <c r="F58" i="47"/>
  <c r="H58" i="47"/>
  <c r="G58" i="47"/>
  <c r="G69" i="47" l="1"/>
  <c r="E69" i="47"/>
  <c r="P69" i="47"/>
  <c r="O69" i="47"/>
  <c r="N69" i="47"/>
  <c r="J69" i="47"/>
  <c r="AN69" i="47"/>
  <c r="AO69" i="47"/>
  <c r="AI69" i="47"/>
  <c r="D68" i="47"/>
  <c r="D67" i="47" s="1"/>
  <c r="AH69" i="47"/>
  <c r="AD69" i="47"/>
  <c r="D80" i="47"/>
  <c r="D76" i="47"/>
  <c r="AG69" i="47"/>
  <c r="T69" i="47"/>
  <c r="D79" i="47"/>
  <c r="D38" i="62" s="1"/>
  <c r="D75" i="47"/>
  <c r="D78" i="47"/>
  <c r="D74" i="47"/>
  <c r="AK69" i="47"/>
  <c r="D41" i="47"/>
  <c r="D18" i="62"/>
  <c r="D53" i="47"/>
  <c r="D42" i="47"/>
  <c r="F63" i="47" s="1"/>
  <c r="D19" i="62"/>
  <c r="BB69" i="47"/>
  <c r="AZ69" i="47"/>
  <c r="F69" i="47"/>
  <c r="AT69" i="47"/>
  <c r="AB69" i="47"/>
  <c r="AR69" i="47"/>
  <c r="BD69" i="47"/>
  <c r="AA69" i="47"/>
  <c r="L69" i="47"/>
  <c r="BH33" i="47" a="1"/>
  <c r="BH33" i="47" s="1"/>
  <c r="BF33" i="47"/>
  <c r="F99" i="48" s="1"/>
  <c r="U69" i="47"/>
  <c r="AY47" i="47"/>
  <c r="AY51" i="47" s="1"/>
  <c r="J47" i="47"/>
  <c r="P47" i="47"/>
  <c r="AO47" i="47"/>
  <c r="AO51" i="47" s="1"/>
  <c r="M47" i="47"/>
  <c r="Z47" i="47"/>
  <c r="Z51" i="47" s="1"/>
  <c r="AU47" i="47"/>
  <c r="AU51" i="47" s="1"/>
  <c r="BA47" i="47"/>
  <c r="BA51" i="47" s="1"/>
  <c r="AC47" i="47"/>
  <c r="AC51" i="47" s="1"/>
  <c r="K47" i="47"/>
  <c r="N47" i="47"/>
  <c r="AK47" i="47"/>
  <c r="AK51" i="47" s="1"/>
  <c r="V47" i="47"/>
  <c r="V51" i="47" s="1"/>
  <c r="AB47" i="47"/>
  <c r="AB51" i="47" s="1"/>
  <c r="AR47" i="47"/>
  <c r="AR51" i="47" s="1"/>
  <c r="AQ47" i="47"/>
  <c r="AQ51" i="47" s="1"/>
  <c r="AZ47" i="47"/>
  <c r="AZ51" i="47" s="1"/>
  <c r="X47" i="47"/>
  <c r="X51" i="47" s="1"/>
  <c r="Y47" i="47"/>
  <c r="Y51" i="47" s="1"/>
  <c r="L47" i="47"/>
  <c r="I47" i="47"/>
  <c r="AE47" i="47"/>
  <c r="AE51" i="47" s="1"/>
  <c r="BC47" i="47"/>
  <c r="BC51" i="47" s="1"/>
  <c r="BD47" i="47"/>
  <c r="BD51" i="47" s="1"/>
  <c r="AH47" i="47"/>
  <c r="AH51" i="47" s="1"/>
  <c r="BB47" i="47"/>
  <c r="BB51" i="47" s="1"/>
  <c r="T47" i="47"/>
  <c r="T51" i="47" s="1"/>
  <c r="AD47" i="47"/>
  <c r="AD51" i="47" s="1"/>
  <c r="W47" i="47"/>
  <c r="W51" i="47" s="1"/>
  <c r="AX47" i="47"/>
  <c r="AX51" i="47" s="1"/>
  <c r="Q47" i="47"/>
  <c r="Q51" i="47" s="1"/>
  <c r="AG47" i="47"/>
  <c r="AG51" i="47" s="1"/>
  <c r="R47" i="47"/>
  <c r="R51" i="47" s="1"/>
  <c r="O47" i="47"/>
  <c r="AV47" i="47"/>
  <c r="AV51" i="47" s="1"/>
  <c r="AM47" i="47"/>
  <c r="AM51" i="47" s="1"/>
  <c r="AF47" i="47"/>
  <c r="AF51" i="47" s="1"/>
  <c r="AW47" i="47"/>
  <c r="AW51" i="47" s="1"/>
  <c r="AS47" i="47"/>
  <c r="AS51" i="47" s="1"/>
  <c r="AT47" i="47"/>
  <c r="AT51" i="47" s="1"/>
  <c r="AI47" i="47"/>
  <c r="AI51" i="47" s="1"/>
  <c r="AP47" i="47"/>
  <c r="AP51" i="47" s="1"/>
  <c r="H47" i="47"/>
  <c r="AL47" i="47"/>
  <c r="AL51" i="47" s="1"/>
  <c r="AA47" i="47"/>
  <c r="AA51" i="47" s="1"/>
  <c r="S47" i="47"/>
  <c r="S51" i="47" s="1"/>
  <c r="U47" i="47"/>
  <c r="U51" i="47" s="1"/>
  <c r="AJ47" i="47"/>
  <c r="AJ51" i="47" s="1"/>
  <c r="AN47" i="47"/>
  <c r="AN51" i="47" s="1"/>
  <c r="E47" i="47"/>
  <c r="F47" i="47"/>
  <c r="G47" i="47"/>
  <c r="P34" i="47"/>
  <c r="W30" i="48" s="1"/>
  <c r="AO34" i="47"/>
  <c r="AF34" i="47"/>
  <c r="X34" i="47"/>
  <c r="T34" i="47"/>
  <c r="J34" i="47"/>
  <c r="Q30" i="48" s="1"/>
  <c r="U34" i="47"/>
  <c r="I34" i="47"/>
  <c r="P30" i="48" s="1"/>
  <c r="AE34" i="47"/>
  <c r="AV34" i="47"/>
  <c r="BD34" i="47"/>
  <c r="AP34" i="47"/>
  <c r="AA34" i="47"/>
  <c r="AL34" i="47"/>
  <c r="AN34" i="47"/>
  <c r="AH34" i="47"/>
  <c r="AS34" i="47"/>
  <c r="AI34" i="47"/>
  <c r="AY34" i="47"/>
  <c r="AZ34" i="47"/>
  <c r="R34" i="47"/>
  <c r="S34" i="47"/>
  <c r="AC34" i="47"/>
  <c r="AQ34" i="47"/>
  <c r="AX34" i="47"/>
  <c r="M34" i="47"/>
  <c r="T30" i="48" s="1"/>
  <c r="Z34" i="47"/>
  <c r="N34" i="47"/>
  <c r="U30" i="48" s="1"/>
  <c r="W34" i="47"/>
  <c r="AM34" i="47"/>
  <c r="AT34" i="47"/>
  <c r="Y34" i="47"/>
  <c r="Q34" i="47"/>
  <c r="BB34" i="47"/>
  <c r="L34" i="47"/>
  <c r="S30" i="48" s="1"/>
  <c r="AJ34" i="47"/>
  <c r="AR34" i="47"/>
  <c r="AD34" i="47"/>
  <c r="AK34" i="47"/>
  <c r="AU34" i="47"/>
  <c r="BA34" i="47"/>
  <c r="BC34" i="47"/>
  <c r="AB34" i="47"/>
  <c r="V34" i="47"/>
  <c r="O34" i="47"/>
  <c r="V30" i="48" s="1"/>
  <c r="AW34" i="47"/>
  <c r="AG34" i="47"/>
  <c r="K34" i="47"/>
  <c r="R30" i="48" s="1"/>
  <c r="E34" i="47"/>
  <c r="F34" i="47"/>
  <c r="M30" i="48" s="1"/>
  <c r="H34" i="47"/>
  <c r="O30" i="48" s="1"/>
  <c r="G34" i="47"/>
  <c r="N30" i="48" s="1"/>
  <c r="U46" i="47"/>
  <c r="U50" i="47" s="1"/>
  <c r="AO46" i="47"/>
  <c r="AO50" i="47" s="1"/>
  <c r="AX46" i="47"/>
  <c r="AX50" i="47" s="1"/>
  <c r="AA46" i="47"/>
  <c r="AA50" i="47" s="1"/>
  <c r="AM46" i="47"/>
  <c r="AM50" i="47" s="1"/>
  <c r="AE46" i="47"/>
  <c r="AE50" i="47" s="1"/>
  <c r="AD46" i="47"/>
  <c r="AD50" i="47" s="1"/>
  <c r="AW46" i="47"/>
  <c r="AW50" i="47" s="1"/>
  <c r="AS46" i="47"/>
  <c r="AS50" i="47" s="1"/>
  <c r="Q46" i="47"/>
  <c r="Q50" i="47" s="1"/>
  <c r="Y46" i="47"/>
  <c r="Y50" i="47" s="1"/>
  <c r="AK46" i="47"/>
  <c r="AK50" i="47" s="1"/>
  <c r="AH46" i="47"/>
  <c r="AH50" i="47" s="1"/>
  <c r="AJ46" i="47"/>
  <c r="AJ50" i="47" s="1"/>
  <c r="AR46" i="47"/>
  <c r="AR50" i="47" s="1"/>
  <c r="AZ46" i="47"/>
  <c r="AZ50" i="47" s="1"/>
  <c r="W46" i="47"/>
  <c r="W50" i="47" s="1"/>
  <c r="S46" i="47"/>
  <c r="S50" i="47" s="1"/>
  <c r="AL46" i="47"/>
  <c r="AL50" i="47" s="1"/>
  <c r="AU46" i="47"/>
  <c r="AU50" i="47" s="1"/>
  <c r="P46" i="47"/>
  <c r="P50" i="47" s="1"/>
  <c r="AT46" i="47"/>
  <c r="AT50" i="47" s="1"/>
  <c r="AP46" i="47"/>
  <c r="AP50" i="47" s="1"/>
  <c r="AV46" i="47"/>
  <c r="AV50" i="47" s="1"/>
  <c r="H46" i="47"/>
  <c r="H50" i="47" s="1"/>
  <c r="N46" i="47"/>
  <c r="N50" i="47" s="1"/>
  <c r="X46" i="47"/>
  <c r="X50" i="47" s="1"/>
  <c r="BD46" i="47"/>
  <c r="BD50" i="47" s="1"/>
  <c r="BB46" i="47"/>
  <c r="BB50" i="47" s="1"/>
  <c r="BA46" i="47"/>
  <c r="BA50" i="47" s="1"/>
  <c r="J46" i="47"/>
  <c r="J50" i="47" s="1"/>
  <c r="L46" i="47"/>
  <c r="L50" i="47" s="1"/>
  <c r="M46" i="47"/>
  <c r="M50" i="47" s="1"/>
  <c r="AC46" i="47"/>
  <c r="AC50" i="47" s="1"/>
  <c r="AQ46" i="47"/>
  <c r="AQ50" i="47" s="1"/>
  <c r="AY46" i="47"/>
  <c r="AY50" i="47" s="1"/>
  <c r="Z46" i="47"/>
  <c r="Z50" i="47" s="1"/>
  <c r="BC46" i="47"/>
  <c r="BC50" i="47" s="1"/>
  <c r="AF46" i="47"/>
  <c r="AF50" i="47" s="1"/>
  <c r="AN46" i="47"/>
  <c r="AN50" i="47" s="1"/>
  <c r="K46" i="47"/>
  <c r="K50" i="47" s="1"/>
  <c r="AB46" i="47"/>
  <c r="AB50" i="47" s="1"/>
  <c r="V46" i="47"/>
  <c r="V50" i="47" s="1"/>
  <c r="AG46" i="47"/>
  <c r="AG50" i="47" s="1"/>
  <c r="AI46" i="47"/>
  <c r="AI50" i="47" s="1"/>
  <c r="R46" i="47"/>
  <c r="R50" i="47" s="1"/>
  <c r="O46" i="47"/>
  <c r="O50" i="47" s="1"/>
  <c r="T46" i="47"/>
  <c r="T50" i="47" s="1"/>
  <c r="E46" i="47"/>
  <c r="E50" i="47" s="1"/>
  <c r="I46" i="47"/>
  <c r="I50" i="47" s="1"/>
  <c r="F46" i="47"/>
  <c r="F50" i="47" s="1"/>
  <c r="G46" i="47"/>
  <c r="G50" i="47" s="1"/>
  <c r="S37" i="47"/>
  <c r="AJ37" i="47"/>
  <c r="AI37" i="47"/>
  <c r="V37" i="47"/>
  <c r="AL37" i="47"/>
  <c r="AH37" i="47"/>
  <c r="AW37" i="47"/>
  <c r="X37" i="47"/>
  <c r="M37" i="47"/>
  <c r="T33" i="48" s="1"/>
  <c r="AV37" i="47"/>
  <c r="AZ37" i="47"/>
  <c r="AT37" i="47"/>
  <c r="Y37" i="47"/>
  <c r="BC37" i="47"/>
  <c r="L37" i="47"/>
  <c r="S33" i="48" s="1"/>
  <c r="BA37" i="47"/>
  <c r="AC37" i="47"/>
  <c r="P37" i="47"/>
  <c r="W33" i="48" s="1"/>
  <c r="AQ37" i="47"/>
  <c r="AY37" i="47"/>
  <c r="O37" i="47"/>
  <c r="V33" i="48" s="1"/>
  <c r="AR37" i="47"/>
  <c r="AA37" i="47"/>
  <c r="Z37" i="47"/>
  <c r="R37" i="47"/>
  <c r="AE37" i="47"/>
  <c r="AK37" i="47"/>
  <c r="BB37" i="47"/>
  <c r="AG37" i="47"/>
  <c r="K37" i="47"/>
  <c r="R33" i="48" s="1"/>
  <c r="W37" i="47"/>
  <c r="AF37" i="47"/>
  <c r="N37" i="47"/>
  <c r="U33" i="48" s="1"/>
  <c r="AN37" i="47"/>
  <c r="AU37" i="47"/>
  <c r="AP37" i="47"/>
  <c r="AO37" i="47"/>
  <c r="T37" i="47"/>
  <c r="AS37" i="47"/>
  <c r="AD37" i="47"/>
  <c r="AB37" i="47"/>
  <c r="BD37" i="47"/>
  <c r="AX37" i="47"/>
  <c r="J37" i="47"/>
  <c r="Q33" i="48" s="1"/>
  <c r="AM37" i="47"/>
  <c r="U37" i="47"/>
  <c r="Q37" i="47"/>
  <c r="E37" i="47"/>
  <c r="F37" i="47"/>
  <c r="M33" i="48" s="1"/>
  <c r="G37" i="47"/>
  <c r="N33" i="48" s="1"/>
  <c r="H37" i="47"/>
  <c r="O33" i="48" s="1"/>
  <c r="I37" i="47"/>
  <c r="P33" i="48" s="1"/>
  <c r="AU45" i="47"/>
  <c r="AU49" i="47" s="1"/>
  <c r="AV39" i="47" s="1"/>
  <c r="Z45" i="47"/>
  <c r="Z49" i="47" s="1"/>
  <c r="AA39" i="47" s="1"/>
  <c r="X45" i="47"/>
  <c r="X49" i="47" s="1"/>
  <c r="Y39" i="47" s="1"/>
  <c r="Y45" i="47"/>
  <c r="Y49" i="47" s="1"/>
  <c r="Z39" i="47" s="1"/>
  <c r="S45" i="47"/>
  <c r="S49" i="47" s="1"/>
  <c r="T39" i="47" s="1"/>
  <c r="J45" i="47"/>
  <c r="J49" i="47" s="1"/>
  <c r="K39" i="47" s="1"/>
  <c r="K45" i="47"/>
  <c r="K49" i="47" s="1"/>
  <c r="L39" i="47" s="1"/>
  <c r="AS45" i="47"/>
  <c r="AS49" i="47" s="1"/>
  <c r="AM45" i="47"/>
  <c r="AM49" i="47" s="1"/>
  <c r="R45" i="47"/>
  <c r="R49" i="47" s="1"/>
  <c r="S39" i="47" s="1"/>
  <c r="I45" i="47"/>
  <c r="I49" i="47" s="1"/>
  <c r="J39" i="47" s="1"/>
  <c r="AH45" i="47"/>
  <c r="AH49" i="47" s="1"/>
  <c r="AI39" i="47" s="1"/>
  <c r="AR45" i="47"/>
  <c r="AR49" i="47" s="1"/>
  <c r="AS39" i="47" s="1"/>
  <c r="T45" i="47"/>
  <c r="T49" i="47" s="1"/>
  <c r="AJ45" i="47"/>
  <c r="AJ49" i="47" s="1"/>
  <c r="AP45" i="47"/>
  <c r="AP49" i="47" s="1"/>
  <c r="AQ39" i="47" s="1"/>
  <c r="M45" i="47"/>
  <c r="M49" i="47" s="1"/>
  <c r="N39" i="47" s="1"/>
  <c r="BA45" i="47"/>
  <c r="BA49" i="47" s="1"/>
  <c r="BB39" i="47" s="1"/>
  <c r="H45" i="47"/>
  <c r="H49" i="47" s="1"/>
  <c r="I39" i="47" s="1"/>
  <c r="W45" i="47"/>
  <c r="W49" i="47" s="1"/>
  <c r="X39" i="47" s="1"/>
  <c r="AF45" i="47"/>
  <c r="AF49" i="47" s="1"/>
  <c r="Q45" i="47"/>
  <c r="Q49" i="47" s="1"/>
  <c r="R39" i="47" s="1"/>
  <c r="AN45" i="47"/>
  <c r="AN49" i="47" s="1"/>
  <c r="AO39" i="47" s="1"/>
  <c r="AV45" i="47"/>
  <c r="AV49" i="47" s="1"/>
  <c r="AW39" i="47" s="1"/>
  <c r="AI45" i="47"/>
  <c r="AI49" i="47" s="1"/>
  <c r="AJ39" i="47" s="1"/>
  <c r="AE45" i="47"/>
  <c r="AE49" i="47" s="1"/>
  <c r="AF39" i="47" s="1"/>
  <c r="N45" i="47"/>
  <c r="N49" i="47" s="1"/>
  <c r="O39" i="47" s="1"/>
  <c r="AY45" i="47"/>
  <c r="AY49" i="47" s="1"/>
  <c r="AZ39" i="47" s="1"/>
  <c r="AT45" i="47"/>
  <c r="AT49" i="47" s="1"/>
  <c r="AU39" i="47" s="1"/>
  <c r="BB45" i="47"/>
  <c r="BB49" i="47" s="1"/>
  <c r="BC39" i="47" s="1"/>
  <c r="U45" i="47"/>
  <c r="U49" i="47" s="1"/>
  <c r="V39" i="47" s="1"/>
  <c r="BD45" i="47"/>
  <c r="BD49" i="47" s="1"/>
  <c r="AG45" i="47"/>
  <c r="AG49" i="47" s="1"/>
  <c r="AH39" i="47" s="1"/>
  <c r="AQ45" i="47"/>
  <c r="AQ49" i="47" s="1"/>
  <c r="AR39" i="47" s="1"/>
  <c r="AD45" i="47"/>
  <c r="AD49" i="47" s="1"/>
  <c r="L45" i="47"/>
  <c r="L49" i="47" s="1"/>
  <c r="M39" i="47" s="1"/>
  <c r="AZ45" i="47"/>
  <c r="AZ49" i="47" s="1"/>
  <c r="BA39" i="47" s="1"/>
  <c r="P45" i="47"/>
  <c r="P49" i="47" s="1"/>
  <c r="AX45" i="47"/>
  <c r="AX49" i="47" s="1"/>
  <c r="AY39" i="47" s="1"/>
  <c r="AL45" i="47"/>
  <c r="AL49" i="47" s="1"/>
  <c r="AM39" i="47" s="1"/>
  <c r="AK45" i="47"/>
  <c r="AK49" i="47" s="1"/>
  <c r="AL39" i="47" s="1"/>
  <c r="O45" i="47"/>
  <c r="O49" i="47" s="1"/>
  <c r="AA45" i="47"/>
  <c r="AA49" i="47" s="1"/>
  <c r="AB39" i="47" s="1"/>
  <c r="BC45" i="47"/>
  <c r="BC49" i="47" s="1"/>
  <c r="BD39" i="47" s="1"/>
  <c r="AC45" i="47"/>
  <c r="AC49" i="47" s="1"/>
  <c r="AD39" i="47" s="1"/>
  <c r="AO45" i="47"/>
  <c r="AO49" i="47" s="1"/>
  <c r="AP39" i="47" s="1"/>
  <c r="AW45" i="47"/>
  <c r="AW49" i="47" s="1"/>
  <c r="V45" i="47"/>
  <c r="V49" i="47" s="1"/>
  <c r="W39" i="47" s="1"/>
  <c r="AB45" i="47"/>
  <c r="AB49" i="47" s="1"/>
  <c r="F45" i="47"/>
  <c r="F49" i="47" s="1"/>
  <c r="G39" i="47" s="1"/>
  <c r="E45" i="47"/>
  <c r="E49" i="47" s="1"/>
  <c r="F39" i="47" s="1"/>
  <c r="G45" i="47"/>
  <c r="G49" i="47" s="1"/>
  <c r="H39" i="47" s="1"/>
  <c r="Q38" i="47"/>
  <c r="AS38" i="47"/>
  <c r="AH38" i="47"/>
  <c r="K38" i="47"/>
  <c r="U38" i="47"/>
  <c r="AJ38" i="47"/>
  <c r="AU38" i="47"/>
  <c r="R38" i="47"/>
  <c r="AZ38" i="47"/>
  <c r="AC38" i="47"/>
  <c r="BC38" i="47"/>
  <c r="AI38" i="47"/>
  <c r="X38" i="47"/>
  <c r="AM38" i="47"/>
  <c r="AV38" i="47"/>
  <c r="W38" i="47"/>
  <c r="S38" i="47"/>
  <c r="AF38" i="47"/>
  <c r="AK38" i="47"/>
  <c r="AD38" i="47"/>
  <c r="AP38" i="47"/>
  <c r="N38" i="47"/>
  <c r="AG38" i="47"/>
  <c r="AQ38" i="47"/>
  <c r="BA38" i="47"/>
  <c r="AL38" i="47"/>
  <c r="AB38" i="47"/>
  <c r="AA38" i="47"/>
  <c r="P38" i="47"/>
  <c r="AE38" i="47"/>
  <c r="V38" i="47"/>
  <c r="T38" i="47"/>
  <c r="AX38" i="47"/>
  <c r="AW38" i="47"/>
  <c r="Z38" i="47"/>
  <c r="AY38" i="47"/>
  <c r="AT38" i="47"/>
  <c r="M38" i="47"/>
  <c r="I38" i="47"/>
  <c r="L38" i="47"/>
  <c r="BD38" i="47"/>
  <c r="AN38" i="47"/>
  <c r="O38" i="47"/>
  <c r="BB38" i="47"/>
  <c r="Y38" i="47"/>
  <c r="J38" i="47"/>
  <c r="AO38" i="47"/>
  <c r="AR38" i="47"/>
  <c r="E38" i="47"/>
  <c r="F38" i="47"/>
  <c r="H38" i="47"/>
  <c r="G38" i="47"/>
  <c r="I69" i="47"/>
  <c r="AZ35" i="47"/>
  <c r="AW35" i="47"/>
  <c r="AV35" i="47"/>
  <c r="BB35" i="47"/>
  <c r="I35" i="47"/>
  <c r="P31" i="48" s="1"/>
  <c r="Q35" i="47"/>
  <c r="R35" i="47"/>
  <c r="P35" i="47"/>
  <c r="W31" i="48" s="1"/>
  <c r="AL35" i="47"/>
  <c r="AC35" i="47"/>
  <c r="O35" i="47"/>
  <c r="V31" i="48" s="1"/>
  <c r="J35" i="47"/>
  <c r="Q31" i="48" s="1"/>
  <c r="AN35" i="47"/>
  <c r="AT35" i="47"/>
  <c r="AM35" i="47"/>
  <c r="M35" i="47"/>
  <c r="T31" i="48" s="1"/>
  <c r="AD35" i="47"/>
  <c r="AH35" i="47"/>
  <c r="W35" i="47"/>
  <c r="AE35" i="47"/>
  <c r="AB35" i="47"/>
  <c r="AQ35" i="47"/>
  <c r="X35" i="47"/>
  <c r="BD35" i="47"/>
  <c r="AJ35" i="47"/>
  <c r="AA35" i="47"/>
  <c r="Z35" i="47"/>
  <c r="Y35" i="47"/>
  <c r="AG35" i="47"/>
  <c r="AX35" i="47"/>
  <c r="N35" i="47"/>
  <c r="U31" i="48" s="1"/>
  <c r="AF35" i="47"/>
  <c r="S35" i="47"/>
  <c r="AI35" i="47"/>
  <c r="L35" i="47"/>
  <c r="S31" i="48" s="1"/>
  <c r="AU35" i="47"/>
  <c r="AR35" i="47"/>
  <c r="AO35" i="47"/>
  <c r="V35" i="47"/>
  <c r="H35" i="47"/>
  <c r="O31" i="48" s="1"/>
  <c r="K35" i="47"/>
  <c r="R31" i="48" s="1"/>
  <c r="AK35" i="47"/>
  <c r="U35" i="47"/>
  <c r="BC35" i="47"/>
  <c r="BA35" i="47"/>
  <c r="AS35" i="47"/>
  <c r="AY35" i="47"/>
  <c r="AP35" i="47"/>
  <c r="T35" i="47"/>
  <c r="E35" i="47"/>
  <c r="F35" i="47"/>
  <c r="M31" i="48" s="1"/>
  <c r="G35" i="47"/>
  <c r="N31" i="48" s="1"/>
  <c r="N53" i="48"/>
  <c r="N54" i="48"/>
  <c r="O49" i="48"/>
  <c r="N52" i="48"/>
  <c r="H69" i="47"/>
  <c r="O84" i="48"/>
  <c r="P84" i="48" s="1"/>
  <c r="AT48" i="47"/>
  <c r="AT52" i="47" s="1"/>
  <c r="AT19" i="62" s="1"/>
  <c r="AL48" i="47"/>
  <c r="AL52" i="47" s="1"/>
  <c r="AL19" i="62" s="1"/>
  <c r="AG48" i="47"/>
  <c r="AG52" i="47" s="1"/>
  <c r="AG19" i="62" s="1"/>
  <c r="AZ48" i="47"/>
  <c r="AZ52" i="47" s="1"/>
  <c r="AZ19" i="62" s="1"/>
  <c r="P48" i="47"/>
  <c r="AD48" i="47"/>
  <c r="AD52" i="47" s="1"/>
  <c r="AD19" i="62" s="1"/>
  <c r="BC48" i="47"/>
  <c r="BC52" i="47" s="1"/>
  <c r="BC19" i="62" s="1"/>
  <c r="AU48" i="47"/>
  <c r="AU52" i="47" s="1"/>
  <c r="AU19" i="62" s="1"/>
  <c r="AH48" i="47"/>
  <c r="AH52" i="47" s="1"/>
  <c r="AH19" i="62" s="1"/>
  <c r="R48" i="47"/>
  <c r="R52" i="47" s="1"/>
  <c r="R19" i="62" s="1"/>
  <c r="I48" i="47"/>
  <c r="J48" i="47"/>
  <c r="AX48" i="47"/>
  <c r="AX52" i="47" s="1"/>
  <c r="AX19" i="62" s="1"/>
  <c r="AS48" i="47"/>
  <c r="AS52" i="47" s="1"/>
  <c r="AS19" i="62" s="1"/>
  <c r="V48" i="47"/>
  <c r="V52" i="47" s="1"/>
  <c r="V19" i="62" s="1"/>
  <c r="AQ48" i="47"/>
  <c r="AQ52" i="47" s="1"/>
  <c r="AQ19" i="62" s="1"/>
  <c r="AF48" i="47"/>
  <c r="AF52" i="47" s="1"/>
  <c r="AF19" i="62" s="1"/>
  <c r="AE48" i="47"/>
  <c r="AE52" i="47" s="1"/>
  <c r="AE19" i="62" s="1"/>
  <c r="AA48" i="47"/>
  <c r="AA52" i="47" s="1"/>
  <c r="AA19" i="62" s="1"/>
  <c r="N48" i="47"/>
  <c r="Y48" i="47"/>
  <c r="Y52" i="47" s="1"/>
  <c r="Y19" i="62" s="1"/>
  <c r="W48" i="47"/>
  <c r="W52" i="47" s="1"/>
  <c r="W19" i="62" s="1"/>
  <c r="AK48" i="47"/>
  <c r="AK52" i="47" s="1"/>
  <c r="AK19" i="62" s="1"/>
  <c r="AP48" i="47"/>
  <c r="AP52" i="47" s="1"/>
  <c r="AP19" i="62" s="1"/>
  <c r="Z48" i="47"/>
  <c r="Z52" i="47" s="1"/>
  <c r="Z19" i="62" s="1"/>
  <c r="AM48" i="47"/>
  <c r="AM52" i="47" s="1"/>
  <c r="AM19" i="62" s="1"/>
  <c r="L48" i="47"/>
  <c r="H48" i="47"/>
  <c r="K48" i="47"/>
  <c r="U48" i="47"/>
  <c r="U52" i="47" s="1"/>
  <c r="U19" i="62" s="1"/>
  <c r="O48" i="47"/>
  <c r="AV48" i="47"/>
  <c r="AV52" i="47" s="1"/>
  <c r="AV19" i="62" s="1"/>
  <c r="BB48" i="47"/>
  <c r="BB52" i="47" s="1"/>
  <c r="BB19" i="62" s="1"/>
  <c r="AC48" i="47"/>
  <c r="AC52" i="47" s="1"/>
  <c r="AC19" i="62" s="1"/>
  <c r="X48" i="47"/>
  <c r="X52" i="47" s="1"/>
  <c r="X19" i="62" s="1"/>
  <c r="AR48" i="47"/>
  <c r="AR52" i="47" s="1"/>
  <c r="AR19" i="62" s="1"/>
  <c r="AB48" i="47"/>
  <c r="AB52" i="47" s="1"/>
  <c r="AB19" i="62" s="1"/>
  <c r="S48" i="47"/>
  <c r="S52" i="47" s="1"/>
  <c r="S19" i="62" s="1"/>
  <c r="T48" i="47"/>
  <c r="T52" i="47" s="1"/>
  <c r="T19" i="62" s="1"/>
  <c r="BA48" i="47"/>
  <c r="BA52" i="47" s="1"/>
  <c r="BA19" i="62" s="1"/>
  <c r="AN48" i="47"/>
  <c r="AN52" i="47" s="1"/>
  <c r="AN19" i="62" s="1"/>
  <c r="AO48" i="47"/>
  <c r="AO52" i="47" s="1"/>
  <c r="AO19" i="62" s="1"/>
  <c r="AY48" i="47"/>
  <c r="AY52" i="47" s="1"/>
  <c r="AY19" i="62" s="1"/>
  <c r="BD48" i="47"/>
  <c r="BD52" i="47" s="1"/>
  <c r="BD19" i="62" s="1"/>
  <c r="Q48" i="47"/>
  <c r="Q52" i="47" s="1"/>
  <c r="Q19" i="62" s="1"/>
  <c r="AW48" i="47"/>
  <c r="AW52" i="47" s="1"/>
  <c r="AW19" i="62" s="1"/>
  <c r="M48" i="47"/>
  <c r="AJ48" i="47"/>
  <c r="AJ52" i="47" s="1"/>
  <c r="AJ19" i="62" s="1"/>
  <c r="AI48" i="47"/>
  <c r="AI52" i="47" s="1"/>
  <c r="AI19" i="62" s="1"/>
  <c r="E48" i="47"/>
  <c r="F48" i="47"/>
  <c r="G48" i="47"/>
  <c r="AG36" i="47"/>
  <c r="AG68" i="47" s="1"/>
  <c r="AG67" i="47" s="1"/>
  <c r="AW36" i="47"/>
  <c r="AW68" i="47" s="1"/>
  <c r="AW67" i="47" s="1"/>
  <c r="AH36" i="47"/>
  <c r="AH68" i="47" s="1"/>
  <c r="AH67" i="47" s="1"/>
  <c r="T36" i="47"/>
  <c r="T68" i="47" s="1"/>
  <c r="T67" i="47" s="1"/>
  <c r="AK36" i="47"/>
  <c r="AK68" i="47" s="1"/>
  <c r="AK67" i="47" s="1"/>
  <c r="P36" i="47"/>
  <c r="AU36" i="47"/>
  <c r="AU68" i="47" s="1"/>
  <c r="AU67" i="47" s="1"/>
  <c r="AS36" i="47"/>
  <c r="AS68" i="47" s="1"/>
  <c r="AS67" i="47" s="1"/>
  <c r="AA36" i="47"/>
  <c r="AA68" i="47" s="1"/>
  <c r="AA67" i="47" s="1"/>
  <c r="K36" i="47"/>
  <c r="AN36" i="47"/>
  <c r="AN68" i="47" s="1"/>
  <c r="AN67" i="47" s="1"/>
  <c r="AZ36" i="47"/>
  <c r="AZ68" i="47" s="1"/>
  <c r="AZ67" i="47" s="1"/>
  <c r="AF36" i="47"/>
  <c r="AF68" i="47" s="1"/>
  <c r="AF67" i="47" s="1"/>
  <c r="R36" i="47"/>
  <c r="R68" i="47" s="1"/>
  <c r="R67" i="47" s="1"/>
  <c r="L36" i="47"/>
  <c r="M36" i="47"/>
  <c r="AV36" i="47"/>
  <c r="AV68" i="47" s="1"/>
  <c r="AV67" i="47" s="1"/>
  <c r="J36" i="47"/>
  <c r="AD36" i="47"/>
  <c r="AD68" i="47" s="1"/>
  <c r="AD67" i="47" s="1"/>
  <c r="E36" i="47"/>
  <c r="Z36" i="47"/>
  <c r="Z68" i="47" s="1"/>
  <c r="Z67" i="47" s="1"/>
  <c r="AE36" i="47"/>
  <c r="AE68" i="47" s="1"/>
  <c r="AE67" i="47" s="1"/>
  <c r="AY36" i="47"/>
  <c r="AY68" i="47" s="1"/>
  <c r="AY67" i="47" s="1"/>
  <c r="S36" i="47"/>
  <c r="S68" i="47" s="1"/>
  <c r="S67" i="47" s="1"/>
  <c r="AP36" i="47"/>
  <c r="AP68" i="47" s="1"/>
  <c r="AP67" i="47" s="1"/>
  <c r="AC36" i="47"/>
  <c r="AC68" i="47" s="1"/>
  <c r="AC67" i="47" s="1"/>
  <c r="BD36" i="47"/>
  <c r="BD68" i="47" s="1"/>
  <c r="H36" i="47"/>
  <c r="U36" i="47"/>
  <c r="U68" i="47" s="1"/>
  <c r="U67" i="47" s="1"/>
  <c r="O36" i="47"/>
  <c r="F36" i="47"/>
  <c r="W36" i="47"/>
  <c r="W68" i="47" s="1"/>
  <c r="W67" i="47" s="1"/>
  <c r="AL36" i="47"/>
  <c r="AL68" i="47" s="1"/>
  <c r="AL67" i="47" s="1"/>
  <c r="BC36" i="47"/>
  <c r="BC68" i="47" s="1"/>
  <c r="BC67" i="47" s="1"/>
  <c r="AX36" i="47"/>
  <c r="AX68" i="47" s="1"/>
  <c r="AX67" i="47" s="1"/>
  <c r="BB36" i="47"/>
  <c r="BB68" i="47" s="1"/>
  <c r="BB67" i="47" s="1"/>
  <c r="Q36" i="47"/>
  <c r="Q68" i="47" s="1"/>
  <c r="Q67" i="47" s="1"/>
  <c r="X36" i="47"/>
  <c r="X68" i="47" s="1"/>
  <c r="X67" i="47" s="1"/>
  <c r="AJ36" i="47"/>
  <c r="AJ68" i="47" s="1"/>
  <c r="AJ67" i="47" s="1"/>
  <c r="AR36" i="47"/>
  <c r="AR68" i="47" s="1"/>
  <c r="AR67" i="47" s="1"/>
  <c r="AQ36" i="47"/>
  <c r="AQ68" i="47" s="1"/>
  <c r="AQ67" i="47" s="1"/>
  <c r="AT36" i="47"/>
  <c r="AT68" i="47" s="1"/>
  <c r="AT67" i="47" s="1"/>
  <c r="Y36" i="47"/>
  <c r="Y68" i="47" s="1"/>
  <c r="Y67" i="47" s="1"/>
  <c r="V36" i="47"/>
  <c r="V68" i="47" s="1"/>
  <c r="V67" i="47" s="1"/>
  <c r="AO36" i="47"/>
  <c r="AO68" i="47" s="1"/>
  <c r="AO67" i="47" s="1"/>
  <c r="N36" i="47"/>
  <c r="AM36" i="47"/>
  <c r="AM68" i="47" s="1"/>
  <c r="AM67" i="47" s="1"/>
  <c r="BA36" i="47"/>
  <c r="BA68" i="47" s="1"/>
  <c r="BA67" i="47" s="1"/>
  <c r="AB36" i="47"/>
  <c r="AB68" i="47" s="1"/>
  <c r="AB67" i="47" s="1"/>
  <c r="I36" i="47"/>
  <c r="AI36" i="47"/>
  <c r="AI68" i="47" s="1"/>
  <c r="AI67" i="47" s="1"/>
  <c r="G36" i="47"/>
  <c r="BH69" i="47" l="1" a="1"/>
  <c r="BH69" i="47" s="1"/>
  <c r="BD67" i="47"/>
  <c r="D33" i="62"/>
  <c r="D34" i="62"/>
  <c r="D32" i="62"/>
  <c r="AC39" i="47"/>
  <c r="AN39" i="47"/>
  <c r="AT39" i="47"/>
  <c r="D20" i="62"/>
  <c r="AK39" i="47"/>
  <c r="D71" i="47"/>
  <c r="D70" i="47" s="1"/>
  <c r="E62" i="47"/>
  <c r="E72" i="47" s="1"/>
  <c r="U39" i="47"/>
  <c r="AG39" i="47"/>
  <c r="D73" i="47"/>
  <c r="D77" i="47"/>
  <c r="D37" i="62"/>
  <c r="D39" i="62" s="1"/>
  <c r="BF38" i="47"/>
  <c r="BF34" i="47"/>
  <c r="F100" i="48" s="1"/>
  <c r="C26" i="48" s="1"/>
  <c r="C49" i="48" s="1"/>
  <c r="G68" i="47"/>
  <c r="G67" i="47" s="1"/>
  <c r="N32" i="48"/>
  <c r="H68" i="47"/>
  <c r="H67" i="47" s="1"/>
  <c r="O32" i="48"/>
  <c r="BF36" i="47"/>
  <c r="F102" i="48" s="1"/>
  <c r="C28" i="48" s="1"/>
  <c r="Q39" i="47"/>
  <c r="BF69" i="47"/>
  <c r="F68" i="48" s="1"/>
  <c r="O52" i="47"/>
  <c r="O19" i="62" s="1"/>
  <c r="P140" i="48" s="1"/>
  <c r="P141" i="48" s="1"/>
  <c r="P139" i="48"/>
  <c r="C39" i="48"/>
  <c r="C25" i="48"/>
  <c r="J68" i="47"/>
  <c r="J67" i="47" s="1"/>
  <c r="Q32" i="48"/>
  <c r="Q29" i="48" s="1"/>
  <c r="K68" i="47"/>
  <c r="K67" i="47" s="1"/>
  <c r="R32" i="48"/>
  <c r="R29" i="48" s="1"/>
  <c r="BF37" i="47"/>
  <c r="F103" i="48" s="1"/>
  <c r="C29" i="48" s="1"/>
  <c r="G51" i="47"/>
  <c r="G18" i="62" s="1"/>
  <c r="H135" i="48"/>
  <c r="L51" i="47"/>
  <c r="M135" i="48"/>
  <c r="K52" i="47"/>
  <c r="K19" i="62" s="1"/>
  <c r="L140" i="48" s="1"/>
  <c r="L141" i="48" s="1"/>
  <c r="L139" i="48"/>
  <c r="P52" i="47"/>
  <c r="P19" i="62" s="1"/>
  <c r="Q140" i="48" s="1"/>
  <c r="Q141" i="48" s="1"/>
  <c r="Q139" i="48"/>
  <c r="BF35" i="47"/>
  <c r="F101" i="48" s="1"/>
  <c r="C27" i="48" s="1"/>
  <c r="C50" i="48" s="1"/>
  <c r="AE39" i="47"/>
  <c r="F51" i="47"/>
  <c r="F18" i="62" s="1"/>
  <c r="G135" i="48"/>
  <c r="H51" i="47"/>
  <c r="H18" i="62" s="1"/>
  <c r="I135" i="48"/>
  <c r="N51" i="47"/>
  <c r="O135" i="48"/>
  <c r="P51" i="47"/>
  <c r="P18" i="62" s="1"/>
  <c r="Q135" i="48"/>
  <c r="M68" i="47"/>
  <c r="M67" i="47" s="1"/>
  <c r="T32" i="48"/>
  <c r="T29" i="48" s="1"/>
  <c r="G52" i="47"/>
  <c r="G19" i="62" s="1"/>
  <c r="H140" i="48" s="1"/>
  <c r="H139" i="48"/>
  <c r="H52" i="47"/>
  <c r="H19" i="62" s="1"/>
  <c r="I140" i="48" s="1"/>
  <c r="I141" i="48" s="1"/>
  <c r="I139" i="48"/>
  <c r="N52" i="47"/>
  <c r="N19" i="62" s="1"/>
  <c r="O140" i="48" s="1"/>
  <c r="O141" i="48" s="1"/>
  <c r="O139" i="48"/>
  <c r="J52" i="47"/>
  <c r="J19" i="62" s="1"/>
  <c r="K140" i="48" s="1"/>
  <c r="K141" i="48" s="1"/>
  <c r="K139" i="48"/>
  <c r="P39" i="47"/>
  <c r="O51" i="47"/>
  <c r="O18" i="62" s="1"/>
  <c r="P135" i="48"/>
  <c r="K51" i="47"/>
  <c r="K18" i="62" s="1"/>
  <c r="L135" i="48"/>
  <c r="J51" i="47"/>
  <c r="K135" i="48"/>
  <c r="M51" i="47"/>
  <c r="M18" i="62" s="1"/>
  <c r="N135" i="48"/>
  <c r="F68" i="47"/>
  <c r="F67" i="47" s="1"/>
  <c r="M32" i="48"/>
  <c r="M29" i="48" s="1"/>
  <c r="L68" i="47"/>
  <c r="L67" i="47" s="1"/>
  <c r="S32" i="48"/>
  <c r="S29" i="48" s="1"/>
  <c r="F52" i="47"/>
  <c r="F19" i="62" s="1"/>
  <c r="G140" i="48" s="1"/>
  <c r="G139" i="48"/>
  <c r="L52" i="47"/>
  <c r="L19" i="62" s="1"/>
  <c r="M140" i="48" s="1"/>
  <c r="M141" i="48" s="1"/>
  <c r="M139" i="48"/>
  <c r="I52" i="47"/>
  <c r="I19" i="62" s="1"/>
  <c r="J140" i="48" s="1"/>
  <c r="J141" i="48" s="1"/>
  <c r="J139" i="48"/>
  <c r="M52" i="47"/>
  <c r="M19" i="62" s="1"/>
  <c r="N140" i="48" s="1"/>
  <c r="N141" i="48" s="1"/>
  <c r="N139" i="48"/>
  <c r="N68" i="47"/>
  <c r="N67" i="47" s="1"/>
  <c r="U32" i="48"/>
  <c r="U29" i="48" s="1"/>
  <c r="O68" i="47"/>
  <c r="O67" i="47" s="1"/>
  <c r="V32" i="48"/>
  <c r="V29" i="48" s="1"/>
  <c r="P68" i="47"/>
  <c r="P67" i="47" s="1"/>
  <c r="W32" i="48"/>
  <c r="W29" i="48" s="1"/>
  <c r="N29" i="48"/>
  <c r="I51" i="47"/>
  <c r="I18" i="62" s="1"/>
  <c r="J136" i="48" s="1"/>
  <c r="J137" i="48" s="1"/>
  <c r="J135" i="48"/>
  <c r="I68" i="47"/>
  <c r="I67" i="47" s="1"/>
  <c r="P32" i="48"/>
  <c r="P29" i="48" s="1"/>
  <c r="AX39" i="47"/>
  <c r="O29" i="48"/>
  <c r="E68" i="47"/>
  <c r="L32" i="48"/>
  <c r="BA79" i="47"/>
  <c r="BA38" i="62" s="1"/>
  <c r="BA75" i="47"/>
  <c r="AR79" i="47"/>
  <c r="AR38" i="62" s="1"/>
  <c r="AR75" i="47"/>
  <c r="AG79" i="47"/>
  <c r="AG38" i="62" s="1"/>
  <c r="AG75" i="47"/>
  <c r="AB79" i="47"/>
  <c r="AB38" i="62" s="1"/>
  <c r="AB75" i="47"/>
  <c r="AN79" i="47"/>
  <c r="AN38" i="62" s="1"/>
  <c r="AN75" i="47"/>
  <c r="I79" i="47"/>
  <c r="I38" i="62" s="1"/>
  <c r="J145" i="48" s="1"/>
  <c r="I75" i="47"/>
  <c r="F80" i="47"/>
  <c r="F76" i="47"/>
  <c r="AN80" i="47"/>
  <c r="AN76" i="47"/>
  <c r="AW76" i="47"/>
  <c r="AW80" i="47"/>
  <c r="AL76" i="47"/>
  <c r="AL80" i="47"/>
  <c r="AF80" i="47"/>
  <c r="AF76" i="47"/>
  <c r="AC80" i="47"/>
  <c r="AC76" i="47"/>
  <c r="AS76" i="47"/>
  <c r="AS80" i="47"/>
  <c r="S40" i="47"/>
  <c r="BD40" i="47"/>
  <c r="BB40" i="47"/>
  <c r="AU40" i="47"/>
  <c r="AK40" i="47"/>
  <c r="AF40" i="47"/>
  <c r="H74" i="47"/>
  <c r="H78" i="47"/>
  <c r="AB74" i="47"/>
  <c r="AB78" i="47"/>
  <c r="L78" i="47"/>
  <c r="L74" i="47"/>
  <c r="Z78" i="47"/>
  <c r="Z74" i="47"/>
  <c r="AY74" i="47"/>
  <c r="AY78" i="47"/>
  <c r="BD78" i="47"/>
  <c r="BD74" i="47"/>
  <c r="AF74" i="47"/>
  <c r="AF78" i="47"/>
  <c r="U18" i="62"/>
  <c r="U20" i="62" s="1"/>
  <c r="U53" i="47"/>
  <c r="AS18" i="62"/>
  <c r="AS20" i="62" s="1"/>
  <c r="AS53" i="47"/>
  <c r="Q18" i="62"/>
  <c r="Q20" i="62" s="1"/>
  <c r="Q53" i="47"/>
  <c r="BC18" i="62"/>
  <c r="BC20" i="62" s="1"/>
  <c r="BC53" i="47"/>
  <c r="AR18" i="62"/>
  <c r="AR20" i="62" s="1"/>
  <c r="AR53" i="47"/>
  <c r="AU53" i="47"/>
  <c r="AU18" i="62"/>
  <c r="AU20" i="62" s="1"/>
  <c r="Q84" i="48"/>
  <c r="G40" i="47"/>
  <c r="G75" i="47"/>
  <c r="G79" i="47"/>
  <c r="G38" i="62" s="1"/>
  <c r="H145" i="48" s="1"/>
  <c r="BC79" i="47"/>
  <c r="BC38" i="62" s="1"/>
  <c r="BC75" i="47"/>
  <c r="AU75" i="47"/>
  <c r="AU79" i="47"/>
  <c r="AU38" i="62" s="1"/>
  <c r="Y79" i="47"/>
  <c r="Y38" i="62" s="1"/>
  <c r="Y75" i="47"/>
  <c r="AE79" i="47"/>
  <c r="AE38" i="62" s="1"/>
  <c r="AE75" i="47"/>
  <c r="J79" i="47"/>
  <c r="J38" i="62" s="1"/>
  <c r="K145" i="48" s="1"/>
  <c r="J75" i="47"/>
  <c r="BB79" i="47"/>
  <c r="BB38" i="62" s="1"/>
  <c r="BB75" i="47"/>
  <c r="E80" i="47"/>
  <c r="E76" i="47"/>
  <c r="BD76" i="47"/>
  <c r="BD80" i="47"/>
  <c r="AX80" i="47"/>
  <c r="AX76" i="47"/>
  <c r="BA76" i="47"/>
  <c r="BA80" i="47"/>
  <c r="S80" i="47"/>
  <c r="S76" i="47"/>
  <c r="AZ80" i="47"/>
  <c r="AZ76" i="47"/>
  <c r="Q76" i="47"/>
  <c r="Q80" i="47"/>
  <c r="AJ40" i="47"/>
  <c r="AA40" i="47"/>
  <c r="BC40" i="47"/>
  <c r="Q40" i="47"/>
  <c r="AI40" i="47"/>
  <c r="AN40" i="47"/>
  <c r="F74" i="47"/>
  <c r="F78" i="47"/>
  <c r="BC78" i="47"/>
  <c r="BC74" i="47"/>
  <c r="BB78" i="47"/>
  <c r="BB74" i="47"/>
  <c r="M78" i="47"/>
  <c r="M74" i="47"/>
  <c r="AI78" i="47"/>
  <c r="AI74" i="47"/>
  <c r="AV78" i="47"/>
  <c r="AV74" i="47"/>
  <c r="AO78" i="47"/>
  <c r="AO74" i="47"/>
  <c r="S53" i="47"/>
  <c r="S18" i="62"/>
  <c r="S20" i="62" s="1"/>
  <c r="AW18" i="62"/>
  <c r="AW20" i="62" s="1"/>
  <c r="AW53" i="47"/>
  <c r="AX53" i="47"/>
  <c r="AX18" i="62"/>
  <c r="AX20" i="62" s="1"/>
  <c r="AE18" i="62"/>
  <c r="AE20" i="62" s="1"/>
  <c r="AE53" i="47"/>
  <c r="AB18" i="62"/>
  <c r="AB20" i="62" s="1"/>
  <c r="AB53" i="47"/>
  <c r="Z53" i="47"/>
  <c r="Z18" i="62"/>
  <c r="Z20" i="62" s="1"/>
  <c r="F75" i="47"/>
  <c r="F79" i="47"/>
  <c r="F38" i="62" s="1"/>
  <c r="G145" i="48" s="1"/>
  <c r="U79" i="47"/>
  <c r="U38" i="62" s="1"/>
  <c r="U75" i="47"/>
  <c r="L79" i="47"/>
  <c r="L38" i="62" s="1"/>
  <c r="M145" i="48" s="1"/>
  <c r="L75" i="47"/>
  <c r="Z79" i="47"/>
  <c r="Z38" i="62" s="1"/>
  <c r="Z75" i="47"/>
  <c r="W79" i="47"/>
  <c r="W38" i="62" s="1"/>
  <c r="W75" i="47"/>
  <c r="O79" i="47"/>
  <c r="O38" i="62" s="1"/>
  <c r="P145" i="48" s="1"/>
  <c r="O75" i="47"/>
  <c r="AV79" i="47"/>
  <c r="AV38" i="62" s="1"/>
  <c r="AV75" i="47"/>
  <c r="AR76" i="47"/>
  <c r="AR80" i="47"/>
  <c r="L80" i="47"/>
  <c r="L76" i="47"/>
  <c r="T80" i="47"/>
  <c r="T76" i="47"/>
  <c r="AQ80" i="47"/>
  <c r="AQ76" i="47"/>
  <c r="W80" i="47"/>
  <c r="W76" i="47"/>
  <c r="R80" i="47"/>
  <c r="R76" i="47"/>
  <c r="L33" i="48"/>
  <c r="E42" i="47"/>
  <c r="H40" i="47"/>
  <c r="AH40" i="47"/>
  <c r="AZ40" i="47"/>
  <c r="AV40" i="47"/>
  <c r="AL40" i="47"/>
  <c r="AB40" i="47"/>
  <c r="E78" i="47"/>
  <c r="E74" i="47"/>
  <c r="E39" i="47"/>
  <c r="L30" i="48"/>
  <c r="BA78" i="47"/>
  <c r="BA74" i="47"/>
  <c r="BA73" i="47" s="1"/>
  <c r="Q78" i="47"/>
  <c r="Q74" i="47"/>
  <c r="AX78" i="47"/>
  <c r="AX74" i="47"/>
  <c r="AS78" i="47"/>
  <c r="AS74" i="47"/>
  <c r="AE78" i="47"/>
  <c r="AE74" i="47"/>
  <c r="P78" i="47"/>
  <c r="P74" i="47"/>
  <c r="AA53" i="47"/>
  <c r="AA18" i="62"/>
  <c r="AA20" i="62" s="1"/>
  <c r="AF18" i="62"/>
  <c r="AF20" i="62" s="1"/>
  <c r="AF53" i="47"/>
  <c r="W18" i="62"/>
  <c r="W20" i="62" s="1"/>
  <c r="W53" i="47"/>
  <c r="V18" i="62"/>
  <c r="V20" i="62" s="1"/>
  <c r="V53" i="47"/>
  <c r="L31" i="48"/>
  <c r="E75" i="47"/>
  <c r="E40" i="47"/>
  <c r="E79" i="47"/>
  <c r="AK79" i="47"/>
  <c r="AK38" i="62" s="1"/>
  <c r="AK75" i="47"/>
  <c r="AI79" i="47"/>
  <c r="AI38" i="62" s="1"/>
  <c r="AI75" i="47"/>
  <c r="AA75" i="47"/>
  <c r="AA79" i="47"/>
  <c r="AA38" i="62" s="1"/>
  <c r="AH79" i="47"/>
  <c r="AH38" i="62" s="1"/>
  <c r="AH75" i="47"/>
  <c r="AC79" i="47"/>
  <c r="AC38" i="62" s="1"/>
  <c r="AC75" i="47"/>
  <c r="AW75" i="47"/>
  <c r="AW79" i="47"/>
  <c r="AW38" i="62" s="1"/>
  <c r="AO76" i="47"/>
  <c r="AO80" i="47"/>
  <c r="I80" i="47"/>
  <c r="I76" i="47"/>
  <c r="V80" i="47"/>
  <c r="V76" i="47"/>
  <c r="AG80" i="47"/>
  <c r="AG76" i="47"/>
  <c r="AV76" i="47"/>
  <c r="AV80" i="47"/>
  <c r="AU80" i="47"/>
  <c r="AU76" i="47"/>
  <c r="W40" i="47"/>
  <c r="AR40" i="47"/>
  <c r="Y40" i="47"/>
  <c r="AM40" i="47"/>
  <c r="Z40" i="47"/>
  <c r="AY40" i="47"/>
  <c r="K78" i="47"/>
  <c r="K74" i="47"/>
  <c r="AU74" i="47"/>
  <c r="AU78" i="47"/>
  <c r="Y74" i="47"/>
  <c r="Y78" i="47"/>
  <c r="AQ78" i="47"/>
  <c r="AQ74" i="47"/>
  <c r="AH74" i="47"/>
  <c r="AH78" i="47"/>
  <c r="I78" i="47"/>
  <c r="I74" i="47"/>
  <c r="AL18" i="62"/>
  <c r="AL20" i="62" s="1"/>
  <c r="AL53" i="47"/>
  <c r="AM53" i="47"/>
  <c r="AM18" i="62"/>
  <c r="AM20" i="62" s="1"/>
  <c r="AD18" i="62"/>
  <c r="AD20" i="62" s="1"/>
  <c r="AD53" i="47"/>
  <c r="AK18" i="62"/>
  <c r="AK20" i="62" s="1"/>
  <c r="AK53" i="47"/>
  <c r="AO18" i="62"/>
  <c r="AO20" i="62" s="1"/>
  <c r="AO53" i="47"/>
  <c r="T79" i="47"/>
  <c r="T38" i="62" s="1"/>
  <c r="T75" i="47"/>
  <c r="K75" i="47"/>
  <c r="K79" i="47"/>
  <c r="K38" i="62" s="1"/>
  <c r="L145" i="48" s="1"/>
  <c r="S75" i="47"/>
  <c r="S79" i="47"/>
  <c r="S38" i="62" s="1"/>
  <c r="AJ79" i="47"/>
  <c r="AJ38" i="62" s="1"/>
  <c r="AJ75" i="47"/>
  <c r="AD79" i="47"/>
  <c r="AD38" i="62" s="1"/>
  <c r="AD75" i="47"/>
  <c r="AL75" i="47"/>
  <c r="AL79" i="47"/>
  <c r="AL38" i="62" s="1"/>
  <c r="AZ79" i="47"/>
  <c r="AZ38" i="62" s="1"/>
  <c r="AZ75" i="47"/>
  <c r="J80" i="47"/>
  <c r="J76" i="47"/>
  <c r="M80" i="47"/>
  <c r="M76" i="47"/>
  <c r="AE80" i="47"/>
  <c r="AE76" i="47"/>
  <c r="N80" i="47"/>
  <c r="N76" i="47"/>
  <c r="AM80" i="47"/>
  <c r="AM76" i="47"/>
  <c r="AJ80" i="47"/>
  <c r="AJ76" i="47"/>
  <c r="J40" i="47"/>
  <c r="AC40" i="47"/>
  <c r="AD40" i="47"/>
  <c r="O40" i="47"/>
  <c r="T40" i="47"/>
  <c r="R40" i="47"/>
  <c r="AP40" i="47"/>
  <c r="AG78" i="47"/>
  <c r="AG74" i="47"/>
  <c r="AK78" i="47"/>
  <c r="AK74" i="47"/>
  <c r="AT74" i="47"/>
  <c r="AT78" i="47"/>
  <c r="AC74" i="47"/>
  <c r="AC78" i="47"/>
  <c r="AN74" i="47"/>
  <c r="AN73" i="47" s="1"/>
  <c r="AN78" i="47"/>
  <c r="U74" i="47"/>
  <c r="U78" i="47"/>
  <c r="AV18" i="62"/>
  <c r="AV20" i="62" s="1"/>
  <c r="AV53" i="47"/>
  <c r="T18" i="62"/>
  <c r="T20" i="62" s="1"/>
  <c r="T53" i="47"/>
  <c r="Y18" i="62"/>
  <c r="Y20" i="62" s="1"/>
  <c r="Y53" i="47"/>
  <c r="AP75" i="47"/>
  <c r="AP79" i="47"/>
  <c r="AP38" i="62" s="1"/>
  <c r="H79" i="47"/>
  <c r="H38" i="62" s="1"/>
  <c r="I145" i="48" s="1"/>
  <c r="H75" i="47"/>
  <c r="AF79" i="47"/>
  <c r="AF38" i="62" s="1"/>
  <c r="AF75" i="47"/>
  <c r="BD75" i="47"/>
  <c r="BD79" i="47"/>
  <c r="BD38" i="62" s="1"/>
  <c r="M79" i="47"/>
  <c r="M38" i="62" s="1"/>
  <c r="N145" i="48" s="1"/>
  <c r="M75" i="47"/>
  <c r="P75" i="47"/>
  <c r="P79" i="47"/>
  <c r="P38" i="62" s="1"/>
  <c r="Q145" i="48" s="1"/>
  <c r="Y80" i="47"/>
  <c r="Y76" i="47"/>
  <c r="AT76" i="47"/>
  <c r="AT80" i="47"/>
  <c r="P80" i="47"/>
  <c r="P76" i="47"/>
  <c r="AP80" i="47"/>
  <c r="AP76" i="47"/>
  <c r="X76" i="47"/>
  <c r="X80" i="47"/>
  <c r="U80" i="47"/>
  <c r="U76" i="47"/>
  <c r="F40" i="47"/>
  <c r="L40" i="47"/>
  <c r="N40" i="47"/>
  <c r="I40" i="47"/>
  <c r="X40" i="47"/>
  <c r="AT40" i="47"/>
  <c r="V40" i="47"/>
  <c r="AW78" i="47"/>
  <c r="AW74" i="47"/>
  <c r="AD78" i="47"/>
  <c r="AD74" i="47"/>
  <c r="AM78" i="47"/>
  <c r="AM74" i="47"/>
  <c r="S78" i="47"/>
  <c r="S74" i="47"/>
  <c r="AL78" i="47"/>
  <c r="AL74" i="47"/>
  <c r="AL73" i="47" s="1"/>
  <c r="J78" i="47"/>
  <c r="J74" i="47"/>
  <c r="E51" i="47"/>
  <c r="F135" i="48"/>
  <c r="AP53" i="47"/>
  <c r="AP18" i="62"/>
  <c r="AP20" i="62" s="1"/>
  <c r="BB18" i="62"/>
  <c r="BB20" i="62" s="1"/>
  <c r="BB53" i="47"/>
  <c r="X53" i="47"/>
  <c r="X18" i="62"/>
  <c r="X20" i="62" s="1"/>
  <c r="F139" i="48"/>
  <c r="E52" i="47"/>
  <c r="P49" i="48"/>
  <c r="O53" i="48"/>
  <c r="O54" i="48"/>
  <c r="O52" i="48"/>
  <c r="AY79" i="47"/>
  <c r="AY38" i="62" s="1"/>
  <c r="AY75" i="47"/>
  <c r="V79" i="47"/>
  <c r="V38" i="62" s="1"/>
  <c r="V75" i="47"/>
  <c r="N75" i="47"/>
  <c r="N79" i="47"/>
  <c r="N38" i="62" s="1"/>
  <c r="O145" i="48" s="1"/>
  <c r="X79" i="47"/>
  <c r="X38" i="62" s="1"/>
  <c r="X75" i="47"/>
  <c r="AM79" i="47"/>
  <c r="AM38" i="62" s="1"/>
  <c r="AM75" i="47"/>
  <c r="R79" i="47"/>
  <c r="R38" i="62" s="1"/>
  <c r="R75" i="47"/>
  <c r="G80" i="47"/>
  <c r="G76" i="47"/>
  <c r="BB80" i="47"/>
  <c r="BB76" i="47"/>
  <c r="AY80" i="47"/>
  <c r="AY76" i="47"/>
  <c r="AA76" i="47"/>
  <c r="AA80" i="47"/>
  <c r="AD80" i="47"/>
  <c r="AD76" i="47"/>
  <c r="AI80" i="47"/>
  <c r="AI76" i="47"/>
  <c r="K80" i="47"/>
  <c r="K76" i="47"/>
  <c r="U40" i="47"/>
  <c r="AO40" i="47"/>
  <c r="M40" i="47"/>
  <c r="AW40" i="47"/>
  <c r="BA40" i="47"/>
  <c r="AX40" i="47"/>
  <c r="O78" i="47"/>
  <c r="O74" i="47"/>
  <c r="AR78" i="47"/>
  <c r="AR74" i="47"/>
  <c r="W78" i="47"/>
  <c r="W74" i="47"/>
  <c r="W73" i="47" s="1"/>
  <c r="R78" i="47"/>
  <c r="R74" i="47"/>
  <c r="AA78" i="47"/>
  <c r="AA74" i="47"/>
  <c r="T78" i="47"/>
  <c r="T74" i="47"/>
  <c r="AN53" i="47"/>
  <c r="AN18" i="62"/>
  <c r="AN20" i="62" s="1"/>
  <c r="AI53" i="47"/>
  <c r="AI18" i="62"/>
  <c r="AI20" i="62" s="1"/>
  <c r="R18" i="62"/>
  <c r="R20" i="62" s="1"/>
  <c r="R53" i="47"/>
  <c r="AH53" i="47"/>
  <c r="AH18" i="62"/>
  <c r="AH20" i="62" s="1"/>
  <c r="AZ53" i="47"/>
  <c r="AZ18" i="62"/>
  <c r="AZ20" i="62" s="1"/>
  <c r="AC18" i="62"/>
  <c r="AC20" i="62" s="1"/>
  <c r="AC53" i="47"/>
  <c r="AY18" i="62"/>
  <c r="AY20" i="62" s="1"/>
  <c r="AY53" i="47"/>
  <c r="AS79" i="47"/>
  <c r="AS38" i="62" s="1"/>
  <c r="AS75" i="47"/>
  <c r="AO79" i="47"/>
  <c r="AO38" i="62" s="1"/>
  <c r="AO75" i="47"/>
  <c r="AX79" i="47"/>
  <c r="AX38" i="62" s="1"/>
  <c r="AX75" i="47"/>
  <c r="AQ79" i="47"/>
  <c r="AQ38" i="62" s="1"/>
  <c r="AQ75" i="47"/>
  <c r="AT75" i="47"/>
  <c r="AT79" i="47"/>
  <c r="AT38" i="62" s="1"/>
  <c r="Q79" i="47"/>
  <c r="Q38" i="62" s="1"/>
  <c r="Q75" i="47"/>
  <c r="H80" i="47"/>
  <c r="H76" i="47"/>
  <c r="O80" i="47"/>
  <c r="O76" i="47"/>
  <c r="Z76" i="47"/>
  <c r="Z80" i="47"/>
  <c r="AB80" i="47"/>
  <c r="AB76" i="47"/>
  <c r="AK80" i="47"/>
  <c r="AK76" i="47"/>
  <c r="BC80" i="47"/>
  <c r="BC76" i="47"/>
  <c r="AH76" i="47"/>
  <c r="AH80" i="47"/>
  <c r="P40" i="47"/>
  <c r="AG40" i="47"/>
  <c r="K40" i="47"/>
  <c r="AQ40" i="47"/>
  <c r="AS40" i="47"/>
  <c r="AE40" i="47"/>
  <c r="G78" i="47"/>
  <c r="G74" i="47"/>
  <c r="V78" i="47"/>
  <c r="V74" i="47"/>
  <c r="AJ78" i="47"/>
  <c r="AJ74" i="47"/>
  <c r="N78" i="47"/>
  <c r="N74" i="47"/>
  <c r="AZ78" i="47"/>
  <c r="AZ74" i="47"/>
  <c r="AP78" i="47"/>
  <c r="AP74" i="47"/>
  <c r="X78" i="47"/>
  <c r="X74" i="47"/>
  <c r="X73" i="47" s="1"/>
  <c r="AJ53" i="47"/>
  <c r="AJ18" i="62"/>
  <c r="AJ20" i="62" s="1"/>
  <c r="AT18" i="62"/>
  <c r="AT20" i="62" s="1"/>
  <c r="AT53" i="47"/>
  <c r="AG53" i="47"/>
  <c r="AG18" i="62"/>
  <c r="AG20" i="62" s="1"/>
  <c r="BD18" i="62"/>
  <c r="BD20" i="62" s="1"/>
  <c r="BD53" i="47"/>
  <c r="AQ53" i="47"/>
  <c r="AQ18" i="62"/>
  <c r="AQ20" i="62" s="1"/>
  <c r="BA18" i="62"/>
  <c r="BA20" i="62" s="1"/>
  <c r="BA53" i="47"/>
  <c r="N53" i="47" l="1"/>
  <c r="P53" i="47"/>
  <c r="N18" i="62"/>
  <c r="E41" i="47"/>
  <c r="F62" i="47" s="1"/>
  <c r="F72" i="47" s="1"/>
  <c r="AW73" i="47"/>
  <c r="AR73" i="47"/>
  <c r="D42" i="62"/>
  <c r="D44" i="62" s="1"/>
  <c r="D47" i="62"/>
  <c r="AZ73" i="47"/>
  <c r="I73" i="47"/>
  <c r="D24" i="62"/>
  <c r="D25" i="62"/>
  <c r="D26" i="62"/>
  <c r="R73" i="47"/>
  <c r="I53" i="47"/>
  <c r="O53" i="47"/>
  <c r="O50" i="48"/>
  <c r="J53" i="47"/>
  <c r="G53" i="47"/>
  <c r="K53" i="47"/>
  <c r="H53" i="47"/>
  <c r="BF51" i="47"/>
  <c r="BF39" i="47"/>
  <c r="AG73" i="47"/>
  <c r="N73" i="47"/>
  <c r="L53" i="47"/>
  <c r="AC73" i="47"/>
  <c r="P142" i="48"/>
  <c r="Q142" i="48"/>
  <c r="G73" i="47"/>
  <c r="H142" i="48"/>
  <c r="L142" i="48"/>
  <c r="F20" i="62"/>
  <c r="F25" i="62" s="1"/>
  <c r="G123" i="48" s="1"/>
  <c r="G136" i="48"/>
  <c r="G138" i="48" s="1"/>
  <c r="BH76" i="47" a="1"/>
  <c r="BH76" i="47" s="1"/>
  <c r="BF76" i="47"/>
  <c r="T73" i="47"/>
  <c r="N20" i="62"/>
  <c r="N24" i="62" s="1"/>
  <c r="O122" i="48" s="1"/>
  <c r="O136" i="48"/>
  <c r="O137" i="48" s="1"/>
  <c r="L18" i="62"/>
  <c r="G20" i="62"/>
  <c r="G25" i="62" s="1"/>
  <c r="H123" i="48" s="1"/>
  <c r="H136" i="48"/>
  <c r="H138" i="48" s="1"/>
  <c r="M20" i="62"/>
  <c r="M24" i="62" s="1"/>
  <c r="N122" i="48" s="1"/>
  <c r="N136" i="48"/>
  <c r="N137" i="48" s="1"/>
  <c r="N142" i="48"/>
  <c r="G141" i="48"/>
  <c r="M50" i="48"/>
  <c r="K142" i="48"/>
  <c r="BF74" i="47"/>
  <c r="BH74" i="47" a="1"/>
  <c r="BH74" i="47" s="1"/>
  <c r="O73" i="47"/>
  <c r="E19" i="62"/>
  <c r="BF52" i="47"/>
  <c r="F53" i="47"/>
  <c r="AU73" i="47"/>
  <c r="BF78" i="47"/>
  <c r="BH78" i="47" a="1"/>
  <c r="BH78" i="47" s="1"/>
  <c r="BH80" i="47" a="1"/>
  <c r="BH80" i="47" s="1"/>
  <c r="BF80" i="47"/>
  <c r="F66" i="48" s="1"/>
  <c r="O142" i="48"/>
  <c r="G63" i="47"/>
  <c r="G42" i="47" s="1"/>
  <c r="I63" i="47" s="1"/>
  <c r="I42" i="47" s="1"/>
  <c r="K63" i="47" s="1"/>
  <c r="K42" i="47" s="1"/>
  <c r="M63" i="47" s="1"/>
  <c r="M42" i="47" s="1"/>
  <c r="O63" i="47" s="1"/>
  <c r="O42" i="47" s="1"/>
  <c r="Q63" i="47" s="1"/>
  <c r="Q42" i="47" s="1"/>
  <c r="S63" i="47" s="1"/>
  <c r="S42" i="47" s="1"/>
  <c r="U63" i="47" s="1"/>
  <c r="U42" i="47" s="1"/>
  <c r="W63" i="47" s="1"/>
  <c r="W42" i="47" s="1"/>
  <c r="Y63" i="47" s="1"/>
  <c r="Y42" i="47" s="1"/>
  <c r="AA63" i="47" s="1"/>
  <c r="AA42" i="47" s="1"/>
  <c r="AC63" i="47" s="1"/>
  <c r="AC42" i="47" s="1"/>
  <c r="AE63" i="47" s="1"/>
  <c r="AE42" i="47" s="1"/>
  <c r="AG63" i="47" s="1"/>
  <c r="AG42" i="47" s="1"/>
  <c r="AI63" i="47" s="1"/>
  <c r="AI42" i="47" s="1"/>
  <c r="AK63" i="47" s="1"/>
  <c r="AK42" i="47" s="1"/>
  <c r="AM63" i="47" s="1"/>
  <c r="AM42" i="47" s="1"/>
  <c r="AO63" i="47" s="1"/>
  <c r="AO42" i="47" s="1"/>
  <c r="AQ63" i="47" s="1"/>
  <c r="AQ42" i="47" s="1"/>
  <c r="AS63" i="47" s="1"/>
  <c r="AS42" i="47" s="1"/>
  <c r="AU63" i="47" s="1"/>
  <c r="AU42" i="47" s="1"/>
  <c r="AW63" i="47" s="1"/>
  <c r="AW42" i="47" s="1"/>
  <c r="AY63" i="47" s="1"/>
  <c r="AY42" i="47" s="1"/>
  <c r="BA63" i="47" s="1"/>
  <c r="BA42" i="47" s="1"/>
  <c r="BC63" i="47" s="1"/>
  <c r="BC42" i="47" s="1"/>
  <c r="E38" i="62"/>
  <c r="BF79" i="47"/>
  <c r="BH79" i="47" a="1"/>
  <c r="BH79" i="47" s="1"/>
  <c r="J142" i="48"/>
  <c r="BF40" i="47"/>
  <c r="I142" i="48"/>
  <c r="H20" i="62"/>
  <c r="H25" i="62" s="1"/>
  <c r="I123" i="48" s="1"/>
  <c r="I136" i="48"/>
  <c r="J18" i="62"/>
  <c r="O20" i="62"/>
  <c r="O26" i="62" s="1"/>
  <c r="P124" i="48" s="1"/>
  <c r="P136" i="48"/>
  <c r="P137" i="48" s="1"/>
  <c r="BF75" i="47"/>
  <c r="BH75" i="47" a="1"/>
  <c r="BH75" i="47" s="1"/>
  <c r="M142" i="48"/>
  <c r="N138" i="48"/>
  <c r="AP73" i="47"/>
  <c r="S73" i="47"/>
  <c r="J138" i="48"/>
  <c r="AJ73" i="47"/>
  <c r="V73" i="47"/>
  <c r="K20" i="62"/>
  <c r="K25" i="62" s="1"/>
  <c r="L123" i="48" s="1"/>
  <c r="L136" i="48"/>
  <c r="L137" i="48" s="1"/>
  <c r="P20" i="62"/>
  <c r="P24" i="62" s="1"/>
  <c r="Q122" i="48" s="1"/>
  <c r="Q136" i="48"/>
  <c r="Q137" i="48" s="1"/>
  <c r="M53" i="47"/>
  <c r="E67" i="47"/>
  <c r="BH68" i="47" a="1"/>
  <c r="BH68" i="47" s="1"/>
  <c r="BF68" i="47"/>
  <c r="E68" i="48" s="1"/>
  <c r="G142" i="48"/>
  <c r="H141" i="48"/>
  <c r="N50" i="48"/>
  <c r="G24" i="62"/>
  <c r="H122" i="48" s="1"/>
  <c r="Y73" i="47"/>
  <c r="AI33" i="62"/>
  <c r="AI34" i="62"/>
  <c r="AI32" i="62"/>
  <c r="AX37" i="62"/>
  <c r="AX39" i="62" s="1"/>
  <c r="AX77" i="47"/>
  <c r="E37" i="62"/>
  <c r="E77" i="47"/>
  <c r="O34" i="62"/>
  <c r="P127" i="48" s="1"/>
  <c r="O33" i="62"/>
  <c r="P126" i="48" s="1"/>
  <c r="O32" i="62"/>
  <c r="P125" i="48" s="1"/>
  <c r="U32" i="62"/>
  <c r="U33" i="62"/>
  <c r="U34" i="62"/>
  <c r="S25" i="62"/>
  <c r="S26" i="62"/>
  <c r="S24" i="62"/>
  <c r="M73" i="47"/>
  <c r="J33" i="62"/>
  <c r="K126" i="48" s="1"/>
  <c r="J32" i="62"/>
  <c r="K125" i="48" s="1"/>
  <c r="Q86" i="48" s="1"/>
  <c r="J34" i="62"/>
  <c r="K127" i="48" s="1"/>
  <c r="BC32" i="62"/>
  <c r="BC34" i="62"/>
  <c r="BC33" i="62"/>
  <c r="AF37" i="62"/>
  <c r="AF39" i="62" s="1"/>
  <c r="AF77" i="47"/>
  <c r="L73" i="47"/>
  <c r="L29" i="48"/>
  <c r="X37" i="62"/>
  <c r="X39" i="62" s="1"/>
  <c r="X77" i="47"/>
  <c r="AA73" i="47"/>
  <c r="X26" i="62"/>
  <c r="X24" i="62"/>
  <c r="X25" i="62"/>
  <c r="S77" i="47"/>
  <c r="S37" i="62"/>
  <c r="S39" i="62" s="1"/>
  <c r="AT37" i="62"/>
  <c r="AT39" i="62" s="1"/>
  <c r="AT77" i="47"/>
  <c r="AJ32" i="62"/>
  <c r="AJ34" i="62"/>
  <c r="AJ33" i="62"/>
  <c r="AO25" i="62"/>
  <c r="AO26" i="62"/>
  <c r="AO24" i="62"/>
  <c r="AD26" i="62"/>
  <c r="AD25" i="62"/>
  <c r="AD24" i="62"/>
  <c r="AU37" i="62"/>
  <c r="AU39" i="62" s="1"/>
  <c r="AU77" i="47"/>
  <c r="P73" i="47"/>
  <c r="Q73" i="47"/>
  <c r="F33" i="62"/>
  <c r="G126" i="48" s="1"/>
  <c r="F32" i="62"/>
  <c r="G125" i="48" s="1"/>
  <c r="M86" i="48" s="1"/>
  <c r="F34" i="62"/>
  <c r="G127" i="48" s="1"/>
  <c r="M77" i="47"/>
  <c r="M37" i="62"/>
  <c r="G33" i="62"/>
  <c r="H126" i="48" s="1"/>
  <c r="G34" i="62"/>
  <c r="H127" i="48" s="1"/>
  <c r="G32" i="62"/>
  <c r="H125" i="48" s="1"/>
  <c r="N86" i="48" s="1"/>
  <c r="AF73" i="47"/>
  <c r="L77" i="47"/>
  <c r="L37" i="62"/>
  <c r="AG34" i="62"/>
  <c r="AG33" i="62"/>
  <c r="AG32" i="62"/>
  <c r="P53" i="48"/>
  <c r="P54" i="48"/>
  <c r="Q49" i="48"/>
  <c r="P52" i="48"/>
  <c r="P51" i="48"/>
  <c r="P50" i="48"/>
  <c r="AX32" i="62"/>
  <c r="AX33" i="62"/>
  <c r="AX34" i="62"/>
  <c r="R25" i="62"/>
  <c r="R26" i="62"/>
  <c r="R24" i="62"/>
  <c r="AA77" i="47"/>
  <c r="AA37" i="62"/>
  <c r="AA39" i="62" s="1"/>
  <c r="O37" i="62"/>
  <c r="O77" i="47"/>
  <c r="AM34" i="62"/>
  <c r="AM33" i="62"/>
  <c r="AM32" i="62"/>
  <c r="AY34" i="62"/>
  <c r="AY32" i="62"/>
  <c r="AY33" i="62"/>
  <c r="AM73" i="47"/>
  <c r="AF34" i="62"/>
  <c r="AF32" i="62"/>
  <c r="AF33" i="62"/>
  <c r="T24" i="62"/>
  <c r="T25" i="62"/>
  <c r="T26" i="62"/>
  <c r="AT73" i="47"/>
  <c r="S33" i="62"/>
  <c r="S32" i="62"/>
  <c r="S34" i="62"/>
  <c r="AM24" i="62"/>
  <c r="AM25" i="62"/>
  <c r="AM26" i="62"/>
  <c r="I77" i="47"/>
  <c r="I37" i="62"/>
  <c r="AC33" i="62"/>
  <c r="AC32" i="62"/>
  <c r="AC34" i="62"/>
  <c r="AK34" i="62"/>
  <c r="AK33" i="62"/>
  <c r="AK32" i="62"/>
  <c r="W24" i="62"/>
  <c r="W25" i="62"/>
  <c r="W26" i="62"/>
  <c r="P37" i="62"/>
  <c r="P77" i="47"/>
  <c r="Q77" i="47"/>
  <c r="Q37" i="62"/>
  <c r="Q39" i="62" s="1"/>
  <c r="W32" i="62"/>
  <c r="W34" i="62"/>
  <c r="W33" i="62"/>
  <c r="AE25" i="62"/>
  <c r="AE24" i="62"/>
  <c r="AE26" i="62"/>
  <c r="AO73" i="47"/>
  <c r="BB73" i="47"/>
  <c r="AE34" i="62"/>
  <c r="AE32" i="62"/>
  <c r="AE33" i="62"/>
  <c r="AU25" i="62"/>
  <c r="AU24" i="62"/>
  <c r="AU26" i="62"/>
  <c r="Q25" i="62"/>
  <c r="Q24" i="62"/>
  <c r="Q26" i="62"/>
  <c r="BD73" i="47"/>
  <c r="AB77" i="47"/>
  <c r="AB37" i="62"/>
  <c r="AB39" i="62" s="1"/>
  <c r="E71" i="47"/>
  <c r="E70" i="47" s="1"/>
  <c r="AQ33" i="62"/>
  <c r="AQ32" i="62"/>
  <c r="AQ34" i="62"/>
  <c r="AR77" i="47"/>
  <c r="AR37" i="62"/>
  <c r="AR39" i="62" s="1"/>
  <c r="AG25" i="62"/>
  <c r="AG26" i="62"/>
  <c r="AG24" i="62"/>
  <c r="AP77" i="47"/>
  <c r="AP37" i="62"/>
  <c r="AP39" i="62" s="1"/>
  <c r="V77" i="47"/>
  <c r="V37" i="62"/>
  <c r="V39" i="62" s="1"/>
  <c r="AC26" i="62"/>
  <c r="AC24" i="62"/>
  <c r="AC25" i="62"/>
  <c r="AI25" i="62"/>
  <c r="AI26" i="62"/>
  <c r="AI24" i="62"/>
  <c r="E53" i="47"/>
  <c r="E18" i="62"/>
  <c r="AM77" i="47"/>
  <c r="AM37" i="62"/>
  <c r="AM39" i="62" s="1"/>
  <c r="P33" i="62"/>
  <c r="Q126" i="48" s="1"/>
  <c r="P34" i="62"/>
  <c r="Q127" i="48" s="1"/>
  <c r="P32" i="62"/>
  <c r="Q125" i="48" s="1"/>
  <c r="U37" i="62"/>
  <c r="U39" i="62" s="1"/>
  <c r="U77" i="47"/>
  <c r="AK73" i="47"/>
  <c r="AZ34" i="62"/>
  <c r="AZ32" i="62"/>
  <c r="AZ33" i="62"/>
  <c r="AK26" i="62"/>
  <c r="AK25" i="62"/>
  <c r="AK24" i="62"/>
  <c r="AH37" i="62"/>
  <c r="AH39" i="62" s="1"/>
  <c r="AH77" i="47"/>
  <c r="K73" i="47"/>
  <c r="E32" i="62"/>
  <c r="E34" i="62"/>
  <c r="F145" i="48"/>
  <c r="E33" i="62"/>
  <c r="AE73" i="47"/>
  <c r="Z24" i="62"/>
  <c r="Z26" i="62"/>
  <c r="Z25" i="62"/>
  <c r="AX25" i="62"/>
  <c r="AX24" i="62"/>
  <c r="AX26" i="62"/>
  <c r="AO77" i="47"/>
  <c r="AO37" i="62"/>
  <c r="AO39" i="62" s="1"/>
  <c r="BB77" i="47"/>
  <c r="BB37" i="62"/>
  <c r="BB39" i="62" s="1"/>
  <c r="BD77" i="47"/>
  <c r="BD37" i="62"/>
  <c r="BD39" i="62" s="1"/>
  <c r="AB73" i="47"/>
  <c r="I34" i="62"/>
  <c r="J127" i="48" s="1"/>
  <c r="I33" i="62"/>
  <c r="J126" i="48" s="1"/>
  <c r="I32" i="62"/>
  <c r="J125" i="48" s="1"/>
  <c r="P86" i="48" s="1"/>
  <c r="AR32" i="62"/>
  <c r="AR33" i="62"/>
  <c r="AR34" i="62"/>
  <c r="T37" i="62"/>
  <c r="T39" i="62" s="1"/>
  <c r="T77" i="47"/>
  <c r="AJ77" i="47"/>
  <c r="AJ37" i="62"/>
  <c r="AJ39" i="62" s="1"/>
  <c r="R37" i="62"/>
  <c r="R39" i="62" s="1"/>
  <c r="R77" i="47"/>
  <c r="X33" i="62"/>
  <c r="X32" i="62"/>
  <c r="X34" i="62"/>
  <c r="BB25" i="62"/>
  <c r="BB26" i="62"/>
  <c r="BB24" i="62"/>
  <c r="J73" i="47"/>
  <c r="AD73" i="47"/>
  <c r="H32" i="62"/>
  <c r="I125" i="48" s="1"/>
  <c r="O86" i="48" s="1"/>
  <c r="H33" i="62"/>
  <c r="I126" i="48" s="1"/>
  <c r="H34" i="62"/>
  <c r="I127" i="48" s="1"/>
  <c r="AV26" i="62"/>
  <c r="AV24" i="62"/>
  <c r="AV25" i="62"/>
  <c r="U73" i="47"/>
  <c r="AK37" i="62"/>
  <c r="AK39" i="62" s="1"/>
  <c r="AK77" i="47"/>
  <c r="AL34" i="62"/>
  <c r="AL32" i="62"/>
  <c r="AL33" i="62"/>
  <c r="K33" i="62"/>
  <c r="L126" i="48" s="1"/>
  <c r="K34" i="62"/>
  <c r="L127" i="48" s="1"/>
  <c r="K32" i="62"/>
  <c r="L125" i="48" s="1"/>
  <c r="AH73" i="47"/>
  <c r="K37" i="62"/>
  <c r="K77" i="47"/>
  <c r="AH33" i="62"/>
  <c r="AH34" i="62"/>
  <c r="AH32" i="62"/>
  <c r="V26" i="62"/>
  <c r="V25" i="62"/>
  <c r="V24" i="62"/>
  <c r="AE37" i="62"/>
  <c r="AE39" i="62" s="1"/>
  <c r="AE77" i="47"/>
  <c r="BA37" i="62"/>
  <c r="BA39" i="62" s="1"/>
  <c r="BA77" i="47"/>
  <c r="Z34" i="62"/>
  <c r="Z33" i="62"/>
  <c r="Z32" i="62"/>
  <c r="AV73" i="47"/>
  <c r="BC73" i="47"/>
  <c r="Y34" i="62"/>
  <c r="Y32" i="62"/>
  <c r="Y33" i="62"/>
  <c r="AS24" i="62"/>
  <c r="AS26" i="62"/>
  <c r="AS25" i="62"/>
  <c r="AY37" i="62"/>
  <c r="AY39" i="62" s="1"/>
  <c r="AY77" i="47"/>
  <c r="H37" i="62"/>
  <c r="H77" i="47"/>
  <c r="AY25" i="62"/>
  <c r="AY24" i="62"/>
  <c r="AY26" i="62"/>
  <c r="R33" i="62"/>
  <c r="R32" i="62"/>
  <c r="R34" i="62"/>
  <c r="Q33" i="62"/>
  <c r="Q32" i="62"/>
  <c r="Q34" i="62"/>
  <c r="AT25" i="62"/>
  <c r="AT26" i="62"/>
  <c r="AT24" i="62"/>
  <c r="AZ77" i="47"/>
  <c r="AZ37" i="62"/>
  <c r="AZ39" i="62" s="1"/>
  <c r="G77" i="47"/>
  <c r="G37" i="62"/>
  <c r="AT34" i="62"/>
  <c r="AT33" i="62"/>
  <c r="AT32" i="62"/>
  <c r="AN26" i="62"/>
  <c r="AN25" i="62"/>
  <c r="AN24" i="62"/>
  <c r="N33" i="62"/>
  <c r="O126" i="48" s="1"/>
  <c r="N32" i="62"/>
  <c r="O125" i="48" s="1"/>
  <c r="N34" i="62"/>
  <c r="O127" i="48" s="1"/>
  <c r="J77" i="47"/>
  <c r="J37" i="62"/>
  <c r="AD37" i="62"/>
  <c r="AD39" i="62" s="1"/>
  <c r="AD77" i="47"/>
  <c r="AP33" i="62"/>
  <c r="AP34" i="62"/>
  <c r="AP32" i="62"/>
  <c r="AN77" i="47"/>
  <c r="AN37" i="62"/>
  <c r="AN39" i="62" s="1"/>
  <c r="AL25" i="62"/>
  <c r="AL26" i="62"/>
  <c r="AL24" i="62"/>
  <c r="AQ73" i="47"/>
  <c r="AA34" i="62"/>
  <c r="AA33" i="62"/>
  <c r="AA32" i="62"/>
  <c r="AF25" i="62"/>
  <c r="AF26" i="62"/>
  <c r="AF24" i="62"/>
  <c r="AS73" i="47"/>
  <c r="AV77" i="47"/>
  <c r="AV37" i="62"/>
  <c r="AV39" i="62" s="1"/>
  <c r="BC37" i="62"/>
  <c r="BC39" i="62" s="1"/>
  <c r="BC77" i="47"/>
  <c r="AU34" i="62"/>
  <c r="AU33" i="62"/>
  <c r="AU32" i="62"/>
  <c r="R84" i="48"/>
  <c r="AR25" i="62"/>
  <c r="AR26" i="62"/>
  <c r="AR24" i="62"/>
  <c r="AY73" i="47"/>
  <c r="H73" i="47"/>
  <c r="AN32" i="62"/>
  <c r="AN34" i="62"/>
  <c r="AN33" i="62"/>
  <c r="BA33" i="62"/>
  <c r="BA32" i="62"/>
  <c r="BA34" i="62"/>
  <c r="BD24" i="62"/>
  <c r="BD25" i="62"/>
  <c r="BD26" i="62"/>
  <c r="AP26" i="62"/>
  <c r="AP25" i="62"/>
  <c r="AP24" i="62"/>
  <c r="AO33" i="62"/>
  <c r="AO32" i="62"/>
  <c r="AO34" i="62"/>
  <c r="AQ24" i="62"/>
  <c r="AQ26" i="62"/>
  <c r="AQ25" i="62"/>
  <c r="AJ26" i="62"/>
  <c r="AJ24" i="62"/>
  <c r="AJ25" i="62"/>
  <c r="AS34" i="62"/>
  <c r="AS32" i="62"/>
  <c r="AS33" i="62"/>
  <c r="AH25" i="62"/>
  <c r="AH24" i="62"/>
  <c r="AH26" i="62"/>
  <c r="W37" i="62"/>
  <c r="W39" i="62" s="1"/>
  <c r="W77" i="47"/>
  <c r="M33" i="62"/>
  <c r="N126" i="48" s="1"/>
  <c r="M34" i="62"/>
  <c r="N127" i="48" s="1"/>
  <c r="M32" i="62"/>
  <c r="N125" i="48" s="1"/>
  <c r="AG77" i="47"/>
  <c r="AG37" i="62"/>
  <c r="AG39" i="62" s="1"/>
  <c r="AQ37" i="62"/>
  <c r="AQ39" i="62" s="1"/>
  <c r="AQ77" i="47"/>
  <c r="AS77" i="47"/>
  <c r="AS37" i="62"/>
  <c r="AS39" i="62" s="1"/>
  <c r="AV32" i="62"/>
  <c r="AV33" i="62"/>
  <c r="AV34" i="62"/>
  <c r="L34" i="62"/>
  <c r="M127" i="48" s="1"/>
  <c r="L32" i="62"/>
  <c r="M125" i="48" s="1"/>
  <c r="L33" i="62"/>
  <c r="M126" i="48" s="1"/>
  <c r="AW25" i="62"/>
  <c r="AW26" i="62"/>
  <c r="AW24" i="62"/>
  <c r="AI73" i="47"/>
  <c r="F77" i="47"/>
  <c r="F37" i="62"/>
  <c r="F42" i="47"/>
  <c r="H63" i="47" s="1"/>
  <c r="H42" i="47" s="1"/>
  <c r="J63" i="47" s="1"/>
  <c r="J42" i="47" s="1"/>
  <c r="L63" i="47" s="1"/>
  <c r="L42" i="47" s="1"/>
  <c r="N63" i="47" s="1"/>
  <c r="N42" i="47" s="1"/>
  <c r="P63" i="47" s="1"/>
  <c r="P42" i="47" s="1"/>
  <c r="R63" i="47" s="1"/>
  <c r="R42" i="47" s="1"/>
  <c r="T63" i="47" s="1"/>
  <c r="T42" i="47" s="1"/>
  <c r="V63" i="47" s="1"/>
  <c r="V42" i="47" s="1"/>
  <c r="X63" i="47" s="1"/>
  <c r="X42" i="47" s="1"/>
  <c r="Z63" i="47" s="1"/>
  <c r="Z42" i="47" s="1"/>
  <c r="AB63" i="47" s="1"/>
  <c r="AB42" i="47" s="1"/>
  <c r="AD63" i="47" s="1"/>
  <c r="AD42" i="47" s="1"/>
  <c r="AF63" i="47" s="1"/>
  <c r="AF42" i="47" s="1"/>
  <c r="AH63" i="47" s="1"/>
  <c r="AH42" i="47" s="1"/>
  <c r="AJ63" i="47" s="1"/>
  <c r="AJ42" i="47" s="1"/>
  <c r="AL63" i="47" s="1"/>
  <c r="AL42" i="47" s="1"/>
  <c r="AN63" i="47" s="1"/>
  <c r="AN42" i="47" s="1"/>
  <c r="AP63" i="47" s="1"/>
  <c r="AP42" i="47" s="1"/>
  <c r="AR63" i="47" s="1"/>
  <c r="AR42" i="47" s="1"/>
  <c r="AT63" i="47" s="1"/>
  <c r="AT42" i="47" s="1"/>
  <c r="AV63" i="47" s="1"/>
  <c r="AV42" i="47" s="1"/>
  <c r="AX63" i="47" s="1"/>
  <c r="AX42" i="47" s="1"/>
  <c r="AZ63" i="47" s="1"/>
  <c r="AZ42" i="47" s="1"/>
  <c r="BB63" i="47" s="1"/>
  <c r="BB42" i="47" s="1"/>
  <c r="BD63" i="47" s="1"/>
  <c r="BD42" i="47" s="1"/>
  <c r="BB34" i="62"/>
  <c r="BB33" i="62"/>
  <c r="BB32" i="62"/>
  <c r="Z73" i="47"/>
  <c r="V32" i="62"/>
  <c r="V34" i="62"/>
  <c r="V33" i="62"/>
  <c r="BA26" i="62"/>
  <c r="BA24" i="62"/>
  <c r="BA25" i="62"/>
  <c r="AZ26" i="62"/>
  <c r="AZ25" i="62"/>
  <c r="AZ24" i="62"/>
  <c r="N37" i="62"/>
  <c r="N77" i="47"/>
  <c r="AL37" i="62"/>
  <c r="AL39" i="62" s="1"/>
  <c r="AL77" i="47"/>
  <c r="AW77" i="47"/>
  <c r="AW37" i="62"/>
  <c r="AW39" i="62" s="1"/>
  <c r="BD33" i="62"/>
  <c r="BD34" i="62"/>
  <c r="BD32" i="62"/>
  <c r="Y24" i="62"/>
  <c r="Y26" i="62"/>
  <c r="Y25" i="62"/>
  <c r="AC37" i="62"/>
  <c r="AC39" i="62" s="1"/>
  <c r="AC77" i="47"/>
  <c r="AD33" i="62"/>
  <c r="AD34" i="62"/>
  <c r="AD32" i="62"/>
  <c r="T32" i="62"/>
  <c r="T33" i="62"/>
  <c r="T34" i="62"/>
  <c r="Y77" i="47"/>
  <c r="Y37" i="62"/>
  <c r="Y39" i="62" s="1"/>
  <c r="AW32" i="62"/>
  <c r="AW34" i="62"/>
  <c r="AW33" i="62"/>
  <c r="I20" i="62"/>
  <c r="AA26" i="62"/>
  <c r="AA25" i="62"/>
  <c r="AA24" i="62"/>
  <c r="AX73" i="47"/>
  <c r="E73" i="47"/>
  <c r="AB26" i="62"/>
  <c r="AB25" i="62"/>
  <c r="AB24" i="62"/>
  <c r="AI37" i="62"/>
  <c r="AI39" i="62" s="1"/>
  <c r="AI77" i="47"/>
  <c r="F73" i="47"/>
  <c r="BC26" i="62"/>
  <c r="BC25" i="62"/>
  <c r="BC24" i="62"/>
  <c r="U25" i="62"/>
  <c r="U24" i="62"/>
  <c r="U26" i="62"/>
  <c r="Z37" i="62"/>
  <c r="Z39" i="62" s="1"/>
  <c r="Z77" i="47"/>
  <c r="AB32" i="62"/>
  <c r="AB34" i="62"/>
  <c r="AB33" i="62"/>
  <c r="M25" i="62" l="1"/>
  <c r="N123" i="48" s="1"/>
  <c r="P25" i="62"/>
  <c r="Q123" i="48" s="1"/>
  <c r="H24" i="62"/>
  <c r="I122" i="48" s="1"/>
  <c r="H26" i="62"/>
  <c r="I124" i="48" s="1"/>
  <c r="E47" i="62"/>
  <c r="K26" i="62"/>
  <c r="L124" i="48" s="1"/>
  <c r="K24" i="62"/>
  <c r="L122" i="48" s="1"/>
  <c r="N26" i="62"/>
  <c r="O124" i="48" s="1"/>
  <c r="G26" i="62"/>
  <c r="H124" i="48" s="1"/>
  <c r="F24" i="62"/>
  <c r="G122" i="48" s="1"/>
  <c r="O138" i="48"/>
  <c r="C36" i="63"/>
  <c r="C37" i="63" s="1"/>
  <c r="E72" i="93" s="1"/>
  <c r="N25" i="62"/>
  <c r="O123" i="48" s="1"/>
  <c r="F26" i="62"/>
  <c r="G124" i="48" s="1"/>
  <c r="M26" i="62"/>
  <c r="N124" i="48" s="1"/>
  <c r="P26" i="62"/>
  <c r="Q124" i="48" s="1"/>
  <c r="E66" i="48"/>
  <c r="F78" i="48" s="1"/>
  <c r="O25" i="62"/>
  <c r="P123" i="48" s="1"/>
  <c r="O39" i="62"/>
  <c r="P146" i="48"/>
  <c r="J39" i="62"/>
  <c r="K146" i="48"/>
  <c r="BF53" i="47"/>
  <c r="C59" i="63" s="1"/>
  <c r="F65" i="63" s="1"/>
  <c r="BE37" i="45" s="1"/>
  <c r="BH53" i="47" a="1"/>
  <c r="BH53" i="47" s="1"/>
  <c r="C58" i="63" s="1"/>
  <c r="F63" i="63" s="1"/>
  <c r="BE35" i="45" s="1"/>
  <c r="J20" i="62"/>
  <c r="K136" i="48"/>
  <c r="Q51" i="48" s="1"/>
  <c r="L138" i="48"/>
  <c r="F140" i="48"/>
  <c r="BF19" i="62"/>
  <c r="BH19" i="62" a="1"/>
  <c r="BH19" i="62" s="1"/>
  <c r="BH18" i="62" a="1"/>
  <c r="BH18" i="62" s="1"/>
  <c r="BF18" i="62"/>
  <c r="N39" i="62"/>
  <c r="O146" i="48"/>
  <c r="F126" i="48"/>
  <c r="BH33" i="62" a="1"/>
  <c r="BH33" i="62" s="1"/>
  <c r="BF33" i="62"/>
  <c r="I137" i="48"/>
  <c r="O51" i="48"/>
  <c r="L20" i="62"/>
  <c r="M136" i="48"/>
  <c r="O24" i="62"/>
  <c r="P122" i="48" s="1"/>
  <c r="BF73" i="47"/>
  <c r="BH73" i="47" a="1"/>
  <c r="BH73" i="47" s="1"/>
  <c r="BF38" i="62"/>
  <c r="BH38" i="62" a="1"/>
  <c r="BH38" i="62" s="1"/>
  <c r="F127" i="48"/>
  <c r="BF34" i="62"/>
  <c r="BH34" i="62" a="1"/>
  <c r="BH34" i="62" s="1"/>
  <c r="I39" i="62"/>
  <c r="J146" i="48"/>
  <c r="M39" i="62"/>
  <c r="N146" i="48"/>
  <c r="E42" i="62"/>
  <c r="E44" i="62" s="1"/>
  <c r="BF77" i="47"/>
  <c r="BH77" i="47" a="1"/>
  <c r="BH77" i="47" s="1"/>
  <c r="BF42" i="47"/>
  <c r="C52" i="48" s="1"/>
  <c r="F109" i="48" s="1"/>
  <c r="F39" i="62"/>
  <c r="G146" i="48"/>
  <c r="H39" i="62"/>
  <c r="I146" i="48"/>
  <c r="L39" i="62"/>
  <c r="M146" i="48"/>
  <c r="P138" i="48"/>
  <c r="H137" i="48"/>
  <c r="N51" i="48"/>
  <c r="G137" i="48"/>
  <c r="M51" i="48"/>
  <c r="K39" i="62"/>
  <c r="L146" i="48"/>
  <c r="F125" i="48"/>
  <c r="L86" i="48" s="1"/>
  <c r="BF32" i="62"/>
  <c r="BH32" i="62" a="1"/>
  <c r="BH32" i="62" s="1"/>
  <c r="BH37" i="62" a="1"/>
  <c r="BH37" i="62" s="1"/>
  <c r="BF37" i="62"/>
  <c r="G39" i="62"/>
  <c r="H146" i="48"/>
  <c r="P39" i="62"/>
  <c r="Q146" i="48"/>
  <c r="BF67" i="47"/>
  <c r="BH67" i="47" a="1"/>
  <c r="BH67" i="47" s="1"/>
  <c r="I138" i="48"/>
  <c r="Q138" i="48"/>
  <c r="AS42" i="62"/>
  <c r="AS47" i="62"/>
  <c r="T42" i="62"/>
  <c r="T47" i="62"/>
  <c r="Q42" i="62"/>
  <c r="Q47" i="62"/>
  <c r="I42" i="62"/>
  <c r="I47" i="62"/>
  <c r="F42" i="62"/>
  <c r="F47" i="62"/>
  <c r="AD42" i="62"/>
  <c r="AD47" i="62"/>
  <c r="AY42" i="62"/>
  <c r="AY47" i="62"/>
  <c r="BA42" i="62"/>
  <c r="BA47" i="62"/>
  <c r="AH42" i="62"/>
  <c r="AH47" i="62"/>
  <c r="AM42" i="62"/>
  <c r="AM47" i="62"/>
  <c r="P42" i="62"/>
  <c r="P47" i="62"/>
  <c r="M42" i="62"/>
  <c r="M47" i="62"/>
  <c r="E39" i="62"/>
  <c r="F146" i="48"/>
  <c r="AQ42" i="62"/>
  <c r="AQ47" i="62"/>
  <c r="Y42" i="62"/>
  <c r="Y47" i="62"/>
  <c r="N42" i="62"/>
  <c r="N47" i="62"/>
  <c r="AG42" i="62"/>
  <c r="AG47" i="62"/>
  <c r="AV42" i="62"/>
  <c r="AV47" i="62"/>
  <c r="G42" i="62"/>
  <c r="G47" i="62"/>
  <c r="BD42" i="62"/>
  <c r="BD47" i="62"/>
  <c r="F41" i="47"/>
  <c r="V42" i="62"/>
  <c r="V47" i="62"/>
  <c r="AX42" i="62"/>
  <c r="AX47" i="62"/>
  <c r="S84" i="48"/>
  <c r="R86" i="48"/>
  <c r="AE42" i="62"/>
  <c r="AE47" i="62"/>
  <c r="F136" i="48"/>
  <c r="L51" i="48" s="1"/>
  <c r="E20" i="62"/>
  <c r="AB42" i="62"/>
  <c r="AB47" i="62"/>
  <c r="O42" i="62"/>
  <c r="O47" i="62"/>
  <c r="R49" i="48"/>
  <c r="Q54" i="48"/>
  <c r="Q53" i="48"/>
  <c r="Q52" i="48"/>
  <c r="Q50" i="48"/>
  <c r="L42" i="62"/>
  <c r="L47" i="62"/>
  <c r="AF42" i="62"/>
  <c r="AF47" i="62"/>
  <c r="AL42" i="62"/>
  <c r="AL47" i="62"/>
  <c r="J42" i="62"/>
  <c r="J47" i="62"/>
  <c r="AZ42" i="62"/>
  <c r="AZ47" i="62"/>
  <c r="R42" i="62"/>
  <c r="R47" i="62"/>
  <c r="BB42" i="62"/>
  <c r="BB47" i="62"/>
  <c r="AP42" i="62"/>
  <c r="AP47" i="62"/>
  <c r="AR42" i="62"/>
  <c r="AR47" i="62"/>
  <c r="AW42" i="62"/>
  <c r="AW47" i="62"/>
  <c r="AI42" i="62"/>
  <c r="AI47" i="62"/>
  <c r="I24" i="62"/>
  <c r="J122" i="48" s="1"/>
  <c r="I26" i="62"/>
  <c r="J124" i="48" s="1"/>
  <c r="I25" i="62"/>
  <c r="J123" i="48" s="1"/>
  <c r="AN42" i="62"/>
  <c r="AN47" i="62"/>
  <c r="U42" i="62"/>
  <c r="U47" i="62"/>
  <c r="AU42" i="62"/>
  <c r="AU47" i="62"/>
  <c r="AC42" i="62"/>
  <c r="AC47" i="62"/>
  <c r="Z42" i="62"/>
  <c r="Z47" i="62"/>
  <c r="W42" i="62"/>
  <c r="W47" i="62"/>
  <c r="K42" i="62"/>
  <c r="K47" i="62"/>
  <c r="AO42" i="62"/>
  <c r="AO47" i="62"/>
  <c r="AA42" i="62"/>
  <c r="AA47" i="62"/>
  <c r="AT42" i="62"/>
  <c r="AT47" i="62"/>
  <c r="BC42" i="62"/>
  <c r="BC47" i="62"/>
  <c r="H42" i="62"/>
  <c r="H47" i="62"/>
  <c r="AK42" i="62"/>
  <c r="AK47" i="62"/>
  <c r="AJ42" i="62"/>
  <c r="AJ47" i="62"/>
  <c r="S42" i="62"/>
  <c r="S47" i="62"/>
  <c r="X42" i="62"/>
  <c r="X47" i="62"/>
  <c r="E73" i="93" l="1"/>
  <c r="I73" i="93" s="1"/>
  <c r="C33" i="63" s="1"/>
  <c r="D12" i="62" s="1"/>
  <c r="AH23" i="62" s="1"/>
  <c r="BF47" i="62"/>
  <c r="AC24" i="45"/>
  <c r="AC25" i="45"/>
  <c r="AC26" i="45"/>
  <c r="L25" i="62"/>
  <c r="M123" i="48" s="1"/>
  <c r="L26" i="62"/>
  <c r="M124" i="48" s="1"/>
  <c r="L24" i="62"/>
  <c r="M122" i="48" s="1"/>
  <c r="K137" i="48"/>
  <c r="K138" i="48"/>
  <c r="C43" i="63"/>
  <c r="C44" i="63" s="1"/>
  <c r="E66" i="93" s="1"/>
  <c r="I72" i="93"/>
  <c r="L28" i="62" s="1"/>
  <c r="J24" i="62"/>
  <c r="K122" i="48" s="1"/>
  <c r="J25" i="62"/>
  <c r="K123" i="48" s="1"/>
  <c r="J26" i="62"/>
  <c r="K124" i="48" s="1"/>
  <c r="G171" i="48"/>
  <c r="BF35" i="45"/>
  <c r="H171" i="48" s="1"/>
  <c r="I171" i="48" s="1"/>
  <c r="BH47" i="62" a="1"/>
  <c r="BH47" i="62" s="1"/>
  <c r="C74" i="63"/>
  <c r="C78" i="63" s="1"/>
  <c r="F105" i="48"/>
  <c r="G173" i="48"/>
  <c r="BF37" i="45"/>
  <c r="BF20" i="62"/>
  <c r="BH20" i="62" a="1"/>
  <c r="BH20" i="62" s="1"/>
  <c r="F104" i="48" s="1"/>
  <c r="C75" i="63"/>
  <c r="C79" i="63" s="1"/>
  <c r="F106" i="48"/>
  <c r="BH39" i="62" a="1"/>
  <c r="BH39" i="62" s="1"/>
  <c r="BF39" i="62"/>
  <c r="F141" i="48"/>
  <c r="L50" i="48"/>
  <c r="F142" i="48"/>
  <c r="BH42" i="62" a="1"/>
  <c r="BH42" i="62" s="1"/>
  <c r="BF42" i="62"/>
  <c r="M137" i="48"/>
  <c r="M138" i="48"/>
  <c r="AJ44" i="62"/>
  <c r="AT44" i="62"/>
  <c r="W44" i="62"/>
  <c r="U44" i="62"/>
  <c r="AP44" i="62"/>
  <c r="J44" i="62"/>
  <c r="AB44" i="62"/>
  <c r="G44" i="62"/>
  <c r="Y44" i="62"/>
  <c r="P44" i="62"/>
  <c r="AY44" i="62"/>
  <c r="I44" i="62"/>
  <c r="E25" i="62"/>
  <c r="E26" i="62"/>
  <c r="E24" i="62"/>
  <c r="AX44" i="62"/>
  <c r="X44" i="62"/>
  <c r="AK44" i="62"/>
  <c r="AA44" i="62"/>
  <c r="Z44" i="62"/>
  <c r="AN44" i="62"/>
  <c r="AI44" i="62"/>
  <c r="BB44" i="62"/>
  <c r="AL44" i="62"/>
  <c r="F137" i="48"/>
  <c r="F138" i="48"/>
  <c r="AV44" i="62"/>
  <c r="AQ44" i="62"/>
  <c r="AM44" i="62"/>
  <c r="AD44" i="62"/>
  <c r="Q44" i="62"/>
  <c r="V44" i="62"/>
  <c r="H44" i="62"/>
  <c r="AO44" i="62"/>
  <c r="AC44" i="62"/>
  <c r="AW44" i="62"/>
  <c r="R44" i="62"/>
  <c r="AF44" i="62"/>
  <c r="R53" i="48"/>
  <c r="S49" i="48"/>
  <c r="R54" i="48"/>
  <c r="R52" i="48"/>
  <c r="R50" i="48"/>
  <c r="R51" i="48"/>
  <c r="AE44" i="62"/>
  <c r="G62" i="47"/>
  <c r="F71" i="47"/>
  <c r="F70" i="47" s="1"/>
  <c r="AG44" i="62"/>
  <c r="AH44" i="62"/>
  <c r="F44" i="62"/>
  <c r="T44" i="62"/>
  <c r="S44" i="62"/>
  <c r="BC44" i="62"/>
  <c r="K44" i="62"/>
  <c r="AU44" i="62"/>
  <c r="AR44" i="62"/>
  <c r="AZ44" i="62"/>
  <c r="L44" i="62"/>
  <c r="O44" i="62"/>
  <c r="T84" i="48"/>
  <c r="S86" i="48"/>
  <c r="BD44" i="62"/>
  <c r="N44" i="62"/>
  <c r="M44" i="62"/>
  <c r="BA44" i="62"/>
  <c r="AS44" i="62"/>
  <c r="H173" i="48" l="1"/>
  <c r="I173" i="48" s="1"/>
  <c r="H10" i="97"/>
  <c r="J7" i="97" s="1"/>
  <c r="BH44" i="62" a="1"/>
  <c r="BH44" i="62" s="1"/>
  <c r="Q23" i="62"/>
  <c r="BC23" i="62"/>
  <c r="E23" i="62"/>
  <c r="AQ23" i="62"/>
  <c r="E28" i="62"/>
  <c r="N23" i="62"/>
  <c r="O121" i="48" s="1"/>
  <c r="AV23" i="62"/>
  <c r="T23" i="62"/>
  <c r="Y23" i="62"/>
  <c r="AO23" i="62"/>
  <c r="X23" i="62"/>
  <c r="K23" i="62"/>
  <c r="L121" i="48" s="1"/>
  <c r="AZ23" i="62"/>
  <c r="AR23" i="62"/>
  <c r="C80" i="63"/>
  <c r="F111" i="48" s="1"/>
  <c r="D23" i="62"/>
  <c r="BF44" i="62"/>
  <c r="J28" i="62"/>
  <c r="AU23" i="62"/>
  <c r="AG23" i="62"/>
  <c r="P23" i="62"/>
  <c r="Q121" i="48" s="1"/>
  <c r="J23" i="62"/>
  <c r="K121" i="48" s="1"/>
  <c r="L23" i="62"/>
  <c r="M121" i="48" s="1"/>
  <c r="W23" i="62"/>
  <c r="M23" i="62"/>
  <c r="N121" i="48" s="1"/>
  <c r="AB23" i="62"/>
  <c r="C78" i="48"/>
  <c r="F110" i="48" s="1"/>
  <c r="F23" i="62"/>
  <c r="G121" i="48" s="1"/>
  <c r="V23" i="62"/>
  <c r="AA23" i="62"/>
  <c r="BB23" i="62"/>
  <c r="F124" i="48"/>
  <c r="BH26" i="62" a="1"/>
  <c r="BH26" i="62" s="1"/>
  <c r="BF26" i="62"/>
  <c r="I23" i="62"/>
  <c r="J121" i="48" s="1"/>
  <c r="O23" i="62"/>
  <c r="P121" i="48" s="1"/>
  <c r="F123" i="48"/>
  <c r="BH25" i="62" a="1"/>
  <c r="BH25" i="62" s="1"/>
  <c r="BF25" i="62"/>
  <c r="F122" i="48"/>
  <c r="BF24" i="62"/>
  <c r="BH24" i="62" a="1"/>
  <c r="BH24" i="62" s="1"/>
  <c r="I66" i="93"/>
  <c r="E67" i="93"/>
  <c r="Y21" i="45"/>
  <c r="Y32" i="45"/>
  <c r="Y28" i="45"/>
  <c r="Y20" i="45"/>
  <c r="Y33" i="45"/>
  <c r="Y17" i="45"/>
  <c r="Y31" i="45"/>
  <c r="Y24" i="45"/>
  <c r="Y29" i="45"/>
  <c r="Y16" i="45"/>
  <c r="Y27" i="45"/>
  <c r="Y23" i="45"/>
  <c r="Y15" i="45"/>
  <c r="Y26" i="45"/>
  <c r="Y25" i="45"/>
  <c r="Y18" i="45"/>
  <c r="Y30" i="45"/>
  <c r="Y22" i="45"/>
  <c r="H23" i="62"/>
  <c r="I121" i="48" s="1"/>
  <c r="S23" i="62"/>
  <c r="AF23" i="62"/>
  <c r="AL23" i="62"/>
  <c r="U23" i="62"/>
  <c r="AP23" i="62"/>
  <c r="BA23" i="62"/>
  <c r="AY23" i="62"/>
  <c r="AT23" i="62"/>
  <c r="AE23" i="62"/>
  <c r="AJ23" i="62"/>
  <c r="AN23" i="62"/>
  <c r="F121" i="48"/>
  <c r="AK23" i="62"/>
  <c r="AW23" i="62"/>
  <c r="Z23" i="62"/>
  <c r="R23" i="62"/>
  <c r="BD23" i="62"/>
  <c r="AX23" i="62"/>
  <c r="D28" i="62"/>
  <c r="T28" i="62"/>
  <c r="N28" i="62"/>
  <c r="AQ28" i="62"/>
  <c r="U28" i="62"/>
  <c r="G28" i="62"/>
  <c r="P28" i="62"/>
  <c r="AX28" i="62"/>
  <c r="AL28" i="62"/>
  <c r="BD28" i="62"/>
  <c r="AA28" i="62"/>
  <c r="AB28" i="62"/>
  <c r="X28" i="62"/>
  <c r="M28" i="62"/>
  <c r="AT28" i="62"/>
  <c r="O28" i="62"/>
  <c r="BC28" i="62"/>
  <c r="AH28" i="62"/>
  <c r="Z28" i="62"/>
  <c r="AD28" i="62"/>
  <c r="R28" i="62"/>
  <c r="AE28" i="62"/>
  <c r="Q28" i="62"/>
  <c r="BB28" i="62"/>
  <c r="V28" i="62"/>
  <c r="AJ28" i="62"/>
  <c r="AM28" i="62"/>
  <c r="AO28" i="62"/>
  <c r="AG28" i="62"/>
  <c r="AI28" i="62"/>
  <c r="AK28" i="62"/>
  <c r="AF28" i="62"/>
  <c r="AR28" i="62"/>
  <c r="AZ28" i="62"/>
  <c r="K28" i="62"/>
  <c r="H28" i="62"/>
  <c r="BA28" i="62"/>
  <c r="Y28" i="62"/>
  <c r="AV28" i="62"/>
  <c r="AS28" i="62"/>
  <c r="AW28" i="62"/>
  <c r="S28" i="62"/>
  <c r="F28" i="62"/>
  <c r="W28" i="62"/>
  <c r="AU28" i="62"/>
  <c r="AC28" i="62"/>
  <c r="AY28" i="62"/>
  <c r="AN28" i="62"/>
  <c r="AP28" i="62"/>
  <c r="I28" i="62"/>
  <c r="AC23" i="62"/>
  <c r="AS23" i="62"/>
  <c r="AI23" i="62"/>
  <c r="G23" i="62"/>
  <c r="H121" i="48" s="1"/>
  <c r="AD23" i="62"/>
  <c r="AM23" i="62"/>
  <c r="J6" i="97"/>
  <c r="BE41" i="45" s="1"/>
  <c r="S52" i="48"/>
  <c r="S54" i="48"/>
  <c r="S53" i="48"/>
  <c r="T49" i="48"/>
  <c r="S50" i="48"/>
  <c r="S51" i="48"/>
  <c r="U84" i="48"/>
  <c r="T86" i="48"/>
  <c r="G72" i="47"/>
  <c r="G41" i="47"/>
  <c r="J5" i="97" l="1"/>
  <c r="BE40" i="45" s="1"/>
  <c r="G176" i="48" s="1"/>
  <c r="J8" i="97"/>
  <c r="BE42" i="45" s="1"/>
  <c r="BF42" i="45" s="1"/>
  <c r="H178" i="48" s="1"/>
  <c r="C57" i="63"/>
  <c r="F64" i="63" s="1"/>
  <c r="BE36" i="45" s="1"/>
  <c r="G172" i="48" s="1"/>
  <c r="BF28" i="62"/>
  <c r="BF41" i="45"/>
  <c r="H177" i="48" s="1"/>
  <c r="I177" i="48" s="1"/>
  <c r="G177" i="48"/>
  <c r="BF23" i="62"/>
  <c r="C68" i="93"/>
  <c r="I67" i="93"/>
  <c r="C30" i="63"/>
  <c r="BH28" i="62" a="1"/>
  <c r="BH28" i="62" s="1"/>
  <c r="G117" i="48" s="1"/>
  <c r="BH23" i="62" a="1"/>
  <c r="BH23" i="62" s="1"/>
  <c r="V84" i="48"/>
  <c r="U86" i="48"/>
  <c r="H62" i="47"/>
  <c r="G71" i="47"/>
  <c r="G70" i="47" s="1"/>
  <c r="T53" i="48"/>
  <c r="T52" i="48"/>
  <c r="U49" i="48"/>
  <c r="T54" i="48"/>
  <c r="T50" i="48"/>
  <c r="T51" i="48"/>
  <c r="BF36" i="45" l="1"/>
  <c r="H172" i="48" s="1"/>
  <c r="I172" i="48" s="1"/>
  <c r="G178" i="48"/>
  <c r="I178" i="48" s="1"/>
  <c r="C56" i="63"/>
  <c r="F69" i="63" s="1"/>
  <c r="BE39" i="45" s="1"/>
  <c r="BF40" i="45"/>
  <c r="H176" i="48" s="1"/>
  <c r="I176" i="48" s="1"/>
  <c r="C31" i="63"/>
  <c r="E62" i="93" s="1"/>
  <c r="I62" i="93" s="1"/>
  <c r="D67" i="93" s="1"/>
  <c r="H72" i="47"/>
  <c r="H41" i="47"/>
  <c r="V49" i="48"/>
  <c r="U54" i="48"/>
  <c r="U53" i="48"/>
  <c r="U52" i="48"/>
  <c r="U51" i="48"/>
  <c r="U50" i="48"/>
  <c r="W84" i="48"/>
  <c r="V86" i="48"/>
  <c r="F66" i="63" l="1"/>
  <c r="BE38" i="45" s="1"/>
  <c r="BF38" i="45" s="1"/>
  <c r="H174" i="48" s="1"/>
  <c r="I174" i="48" s="1"/>
  <c r="BF39" i="45"/>
  <c r="H175" i="48" s="1"/>
  <c r="I175" i="48" s="1"/>
  <c r="G175" i="48"/>
  <c r="G174" i="48"/>
  <c r="D9" i="62"/>
  <c r="B64" i="93"/>
  <c r="D65" i="93"/>
  <c r="D10" i="62"/>
  <c r="D66" i="93"/>
  <c r="V53" i="48"/>
  <c r="V52" i="48"/>
  <c r="V54" i="48"/>
  <c r="W49" i="48"/>
  <c r="V50" i="48"/>
  <c r="V51" i="48"/>
  <c r="H71" i="47"/>
  <c r="H70" i="47" s="1"/>
  <c r="I62" i="47"/>
  <c r="X84" i="48"/>
  <c r="W86" i="48"/>
  <c r="H117" i="48" l="1"/>
  <c r="E22" i="62"/>
  <c r="L22" i="62"/>
  <c r="M120" i="48" s="1"/>
  <c r="S85" i="48" s="1"/>
  <c r="J22" i="62"/>
  <c r="K120" i="48" s="1"/>
  <c r="Q85" i="48" s="1"/>
  <c r="AN22" i="62"/>
  <c r="Z22" i="62"/>
  <c r="Q22" i="62"/>
  <c r="AZ22" i="62"/>
  <c r="K22" i="62"/>
  <c r="L120" i="48" s="1"/>
  <c r="R85" i="48" s="1"/>
  <c r="D22" i="62"/>
  <c r="AS22" i="62"/>
  <c r="AB22" i="62"/>
  <c r="AX22" i="62"/>
  <c r="G22" i="62"/>
  <c r="H120" i="48" s="1"/>
  <c r="N85" i="48" s="1"/>
  <c r="M22" i="62"/>
  <c r="N120" i="48" s="1"/>
  <c r="T85" i="48" s="1"/>
  <c r="AI22" i="62"/>
  <c r="AP22" i="62"/>
  <c r="X22" i="62"/>
  <c r="AL22" i="62"/>
  <c r="R22" i="62"/>
  <c r="AT22" i="62"/>
  <c r="F22" i="62"/>
  <c r="G120" i="48" s="1"/>
  <c r="M85" i="48" s="1"/>
  <c r="N22" i="62"/>
  <c r="O120" i="48" s="1"/>
  <c r="U85" i="48" s="1"/>
  <c r="AG22" i="62"/>
  <c r="AY22" i="62"/>
  <c r="AH22" i="62"/>
  <c r="P22" i="62"/>
  <c r="Q120" i="48" s="1"/>
  <c r="W85" i="48" s="1"/>
  <c r="BD22" i="62"/>
  <c r="AE22" i="62"/>
  <c r="AU22" i="62"/>
  <c r="AO22" i="62"/>
  <c r="S22" i="62"/>
  <c r="AR22" i="62"/>
  <c r="AV22" i="62"/>
  <c r="Y22" i="62"/>
  <c r="T22" i="62"/>
  <c r="BC22" i="62"/>
  <c r="AC22" i="62"/>
  <c r="AF22" i="62"/>
  <c r="W22" i="62"/>
  <c r="AM22" i="62"/>
  <c r="AA22" i="62"/>
  <c r="AD22" i="62"/>
  <c r="BB22" i="62"/>
  <c r="O22" i="62"/>
  <c r="P120" i="48" s="1"/>
  <c r="V85" i="48" s="1"/>
  <c r="H22" i="62"/>
  <c r="I120" i="48" s="1"/>
  <c r="O85" i="48" s="1"/>
  <c r="I22" i="62"/>
  <c r="J120" i="48" s="1"/>
  <c r="P85" i="48" s="1"/>
  <c r="AJ22" i="62"/>
  <c r="BA22" i="62"/>
  <c r="U22" i="62"/>
  <c r="AQ22" i="62"/>
  <c r="AK22" i="62"/>
  <c r="V22" i="62"/>
  <c r="AW22" i="62"/>
  <c r="D43" i="62"/>
  <c r="E43" i="62"/>
  <c r="AT43" i="62"/>
  <c r="J43" i="62"/>
  <c r="K128" i="48" s="1"/>
  <c r="Q87" i="48" s="1"/>
  <c r="P43" i="62"/>
  <c r="Q128" i="48" s="1"/>
  <c r="W87" i="48" s="1"/>
  <c r="AK43" i="62"/>
  <c r="AC43" i="62"/>
  <c r="AU43" i="62"/>
  <c r="M43" i="62"/>
  <c r="N128" i="48" s="1"/>
  <c r="T87" i="48" s="1"/>
  <c r="AA43" i="62"/>
  <c r="W43" i="62"/>
  <c r="AB43" i="62"/>
  <c r="V43" i="62"/>
  <c r="AZ43" i="62"/>
  <c r="AS43" i="62"/>
  <c r="AI43" i="62"/>
  <c r="BB43" i="62"/>
  <c r="AR43" i="62"/>
  <c r="U43" i="62"/>
  <c r="G43" i="62"/>
  <c r="H128" i="48" s="1"/>
  <c r="N87" i="48" s="1"/>
  <c r="I43" i="62"/>
  <c r="J128" i="48" s="1"/>
  <c r="P87" i="48" s="1"/>
  <c r="AX43" i="62"/>
  <c r="Z43" i="62"/>
  <c r="AL43" i="62"/>
  <c r="AM43" i="62"/>
  <c r="H43" i="62"/>
  <c r="I128" i="48" s="1"/>
  <c r="O87" i="48" s="1"/>
  <c r="R43" i="62"/>
  <c r="AH43" i="62"/>
  <c r="BC43" i="62"/>
  <c r="BD43" i="62"/>
  <c r="AV43" i="62"/>
  <c r="AY43" i="62"/>
  <c r="AW43" i="62"/>
  <c r="S43" i="62"/>
  <c r="BA43" i="62"/>
  <c r="K43" i="62"/>
  <c r="L128" i="48" s="1"/>
  <c r="R87" i="48" s="1"/>
  <c r="N43" i="62"/>
  <c r="O128" i="48" s="1"/>
  <c r="U87" i="48" s="1"/>
  <c r="AJ43" i="62"/>
  <c r="AP43" i="62"/>
  <c r="Y43" i="62"/>
  <c r="X43" i="62"/>
  <c r="AN43" i="62"/>
  <c r="AD43" i="62"/>
  <c r="AO43" i="62"/>
  <c r="AF43" i="62"/>
  <c r="AE43" i="62"/>
  <c r="F43" i="62"/>
  <c r="G128" i="48" s="1"/>
  <c r="M87" i="48" s="1"/>
  <c r="L43" i="62"/>
  <c r="M128" i="48" s="1"/>
  <c r="S87" i="48" s="1"/>
  <c r="Q43" i="62"/>
  <c r="T43" i="62"/>
  <c r="O43" i="62"/>
  <c r="P128" i="48" s="1"/>
  <c r="V87" i="48" s="1"/>
  <c r="AQ43" i="62"/>
  <c r="AG43" i="62"/>
  <c r="H226" i="48"/>
  <c r="D86" i="48" s="1"/>
  <c r="I72" i="47"/>
  <c r="I41" i="47"/>
  <c r="W52" i="48"/>
  <c r="X49" i="48"/>
  <c r="W54" i="48"/>
  <c r="W53" i="48"/>
  <c r="W50" i="48"/>
  <c r="W51" i="48"/>
  <c r="Y84" i="48"/>
  <c r="X86" i="48"/>
  <c r="X87" i="48"/>
  <c r="X85" i="48"/>
  <c r="BH43" i="62" l="1" a="1"/>
  <c r="BH43" i="62" s="1"/>
  <c r="AC21" i="45" s="1"/>
  <c r="F128" i="48"/>
  <c r="L87" i="48" s="1"/>
  <c r="BF43" i="62"/>
  <c r="BH22" i="62" a="1"/>
  <c r="BH22" i="62" s="1"/>
  <c r="F120" i="48"/>
  <c r="L85" i="48" s="1"/>
  <c r="BF22" i="62"/>
  <c r="X53" i="48"/>
  <c r="Y49" i="48"/>
  <c r="X54" i="48"/>
  <c r="X52" i="48"/>
  <c r="X51" i="48"/>
  <c r="X50" i="48"/>
  <c r="J62" i="47"/>
  <c r="I71" i="47"/>
  <c r="I70" i="47" s="1"/>
  <c r="Z84" i="48"/>
  <c r="Y86" i="48"/>
  <c r="Y87" i="48"/>
  <c r="Y85" i="48"/>
  <c r="AC22" i="45" l="1"/>
  <c r="AC29" i="45"/>
  <c r="U27" i="45"/>
  <c r="U16" i="45"/>
  <c r="U30" i="45"/>
  <c r="U33" i="45"/>
  <c r="U31" i="45"/>
  <c r="U18" i="45"/>
  <c r="U17" i="45"/>
  <c r="U15" i="45"/>
  <c r="U20" i="45"/>
  <c r="U32" i="45"/>
  <c r="U23" i="45"/>
  <c r="U28" i="45"/>
  <c r="U22" i="45"/>
  <c r="U25" i="45"/>
  <c r="BE25" i="45" s="1"/>
  <c r="U21" i="45"/>
  <c r="BE21" i="45" s="1"/>
  <c r="U24" i="45"/>
  <c r="BE24" i="45" s="1"/>
  <c r="U26" i="45"/>
  <c r="BE26" i="45" s="1"/>
  <c r="U29" i="45"/>
  <c r="BE29" i="45" s="1"/>
  <c r="AC32" i="45"/>
  <c r="AC31" i="45"/>
  <c r="AC28" i="45"/>
  <c r="BE28" i="45" s="1"/>
  <c r="AC33" i="45"/>
  <c r="AC16" i="45"/>
  <c r="AC27" i="45"/>
  <c r="AC20" i="45"/>
  <c r="BE20" i="45" s="1"/>
  <c r="AC17" i="45"/>
  <c r="AC23" i="45"/>
  <c r="BE23" i="45" s="1"/>
  <c r="AC15" i="45"/>
  <c r="AC18" i="45"/>
  <c r="AC30" i="45"/>
  <c r="J72" i="47"/>
  <c r="J41" i="47"/>
  <c r="Z49" i="48"/>
  <c r="Y54" i="48"/>
  <c r="Y52" i="48"/>
  <c r="Y53" i="48"/>
  <c r="Y51" i="48"/>
  <c r="Y50" i="48"/>
  <c r="AA84" i="48"/>
  <c r="Z85" i="48"/>
  <c r="Z86" i="48"/>
  <c r="Z87" i="48"/>
  <c r="BE33" i="45" l="1"/>
  <c r="BE30" i="45"/>
  <c r="BF30" i="45" s="1"/>
  <c r="H166" i="48" s="1"/>
  <c r="I166" i="48" s="1"/>
  <c r="BE22" i="45"/>
  <c r="BF22" i="45" s="1"/>
  <c r="H158" i="48" s="1"/>
  <c r="I158" i="48" s="1"/>
  <c r="BE27" i="45"/>
  <c r="G163" i="48" s="1"/>
  <c r="BE18" i="45"/>
  <c r="G154" i="48" s="1"/>
  <c r="BE16" i="45"/>
  <c r="G152" i="48" s="1"/>
  <c r="BE32" i="45"/>
  <c r="BF32" i="45" s="1"/>
  <c r="H168" i="48" s="1"/>
  <c r="I168" i="48" s="1"/>
  <c r="BE31" i="45"/>
  <c r="G167" i="48" s="1"/>
  <c r="BE15" i="45"/>
  <c r="G151" i="48" s="1"/>
  <c r="BE17" i="45"/>
  <c r="BF17" i="45" s="1"/>
  <c r="H153" i="48" s="1"/>
  <c r="I153" i="48" s="1"/>
  <c r="G157" i="48"/>
  <c r="BF21" i="45"/>
  <c r="H157" i="48" s="1"/>
  <c r="I157" i="48" s="1"/>
  <c r="G164" i="48"/>
  <c r="BF28" i="45"/>
  <c r="H164" i="48" s="1"/>
  <c r="I164" i="48" s="1"/>
  <c r="BF24" i="45"/>
  <c r="H160" i="48" s="1"/>
  <c r="I160" i="48" s="1"/>
  <c r="G160" i="48"/>
  <c r="G161" i="48"/>
  <c r="BF25" i="45"/>
  <c r="H161" i="48" s="1"/>
  <c r="I161" i="48" s="1"/>
  <c r="BF29" i="45"/>
  <c r="H165" i="48" s="1"/>
  <c r="I165" i="48" s="1"/>
  <c r="G165" i="48"/>
  <c r="BF20" i="45"/>
  <c r="H156" i="48" s="1"/>
  <c r="I156" i="48" s="1"/>
  <c r="G156" i="48"/>
  <c r="BF23" i="45"/>
  <c r="H159" i="48" s="1"/>
  <c r="I159" i="48" s="1"/>
  <c r="G159" i="48"/>
  <c r="BF33" i="45"/>
  <c r="H169" i="48" s="1"/>
  <c r="I169" i="48" s="1"/>
  <c r="G169" i="48"/>
  <c r="G162" i="48"/>
  <c r="BF26" i="45"/>
  <c r="H162" i="48" s="1"/>
  <c r="I162" i="48" s="1"/>
  <c r="Z53" i="48"/>
  <c r="Z54" i="48"/>
  <c r="Z52" i="48"/>
  <c r="AA49" i="48"/>
  <c r="Z50" i="48"/>
  <c r="Z51" i="48"/>
  <c r="K62" i="47"/>
  <c r="J71" i="47"/>
  <c r="J70" i="47" s="1"/>
  <c r="AB84" i="48"/>
  <c r="AA86" i="48"/>
  <c r="AA85" i="48"/>
  <c r="AA87" i="48"/>
  <c r="G158" i="48" l="1"/>
  <c r="G166" i="48"/>
  <c r="BF16" i="45"/>
  <c r="H152" i="48" s="1"/>
  <c r="I152" i="48" s="1"/>
  <c r="G168" i="48"/>
  <c r="BF18" i="45"/>
  <c r="H154" i="48" s="1"/>
  <c r="I154" i="48" s="1"/>
  <c r="BF15" i="45"/>
  <c r="H151" i="48" s="1"/>
  <c r="I151" i="48" s="1"/>
  <c r="BF31" i="45"/>
  <c r="H167" i="48" s="1"/>
  <c r="I167" i="48" s="1"/>
  <c r="BF27" i="45"/>
  <c r="H163" i="48" s="1"/>
  <c r="I163" i="48" s="1"/>
  <c r="G153" i="48"/>
  <c r="AA53" i="48"/>
  <c r="AA52" i="48"/>
  <c r="AB49" i="48"/>
  <c r="AA54" i="48"/>
  <c r="AA51" i="48"/>
  <c r="AA50" i="48"/>
  <c r="K72" i="47"/>
  <c r="K41" i="47"/>
  <c r="AC84" i="48"/>
  <c r="AB87" i="48"/>
  <c r="AB86" i="48"/>
  <c r="AB85" i="48"/>
  <c r="H224" i="48" l="1"/>
  <c r="C84" i="48" s="1"/>
  <c r="C85" i="48" s="1"/>
  <c r="H225" i="48"/>
  <c r="D85" i="48" s="1"/>
  <c r="AB52" i="48"/>
  <c r="AC49" i="48"/>
  <c r="AB54" i="48"/>
  <c r="AB53" i="48"/>
  <c r="AB51" i="48"/>
  <c r="AB50" i="48"/>
  <c r="L62" i="47"/>
  <c r="K71" i="47"/>
  <c r="K70" i="47" s="1"/>
  <c r="AD84" i="48"/>
  <c r="AC86" i="48"/>
  <c r="AC87" i="48"/>
  <c r="AC85" i="48"/>
  <c r="C86" i="48" l="1"/>
  <c r="C87" i="48" s="1"/>
  <c r="L72" i="47"/>
  <c r="L41" i="47"/>
  <c r="AD49" i="48"/>
  <c r="AC54" i="48"/>
  <c r="AC53" i="48"/>
  <c r="AC52" i="48"/>
  <c r="AC51" i="48"/>
  <c r="AC50" i="48"/>
  <c r="AE84" i="48"/>
  <c r="AD86" i="48"/>
  <c r="AD85" i="48"/>
  <c r="AD87" i="48"/>
  <c r="AD53" i="48" l="1"/>
  <c r="AD52" i="48"/>
  <c r="AE49" i="48"/>
  <c r="AD54" i="48"/>
  <c r="AD50" i="48"/>
  <c r="AD51" i="48"/>
  <c r="M62" i="47"/>
  <c r="L71" i="47"/>
  <c r="L70" i="47" s="1"/>
  <c r="AF84" i="48"/>
  <c r="AE86" i="48"/>
  <c r="AE87" i="48"/>
  <c r="AE85" i="48"/>
  <c r="AE54" i="48" l="1"/>
  <c r="AE52" i="48"/>
  <c r="AF49" i="48"/>
  <c r="AE53" i="48"/>
  <c r="AE50" i="48"/>
  <c r="AE51" i="48"/>
  <c r="M72" i="47"/>
  <c r="M41" i="47"/>
  <c r="AG84" i="48"/>
  <c r="AF86" i="48"/>
  <c r="AF87" i="48"/>
  <c r="AF85" i="48"/>
  <c r="AF53" i="48" l="1"/>
  <c r="AF54" i="48"/>
  <c r="AG49" i="48"/>
  <c r="AF52" i="48"/>
  <c r="AF51" i="48"/>
  <c r="AF50" i="48"/>
  <c r="N62" i="47"/>
  <c r="M71" i="47"/>
  <c r="M70" i="47" s="1"/>
  <c r="AH84" i="48"/>
  <c r="AG87" i="48"/>
  <c r="AG86" i="48"/>
  <c r="AG85" i="48"/>
  <c r="AH49" i="48" l="1"/>
  <c r="AG54" i="48"/>
  <c r="AG52" i="48"/>
  <c r="AG53" i="48"/>
  <c r="AG51" i="48"/>
  <c r="AG50" i="48"/>
  <c r="N72" i="47"/>
  <c r="N41" i="47"/>
  <c r="AI84" i="48"/>
  <c r="AH85" i="48"/>
  <c r="AH87" i="48"/>
  <c r="AH86" i="48"/>
  <c r="O62" i="47" l="1"/>
  <c r="N71" i="47"/>
  <c r="N70" i="47" s="1"/>
  <c r="AJ84" i="48"/>
  <c r="AI86" i="48"/>
  <c r="AI87" i="48"/>
  <c r="AI85" i="48"/>
  <c r="AH52" i="48"/>
  <c r="AH54" i="48"/>
  <c r="AI49" i="48"/>
  <c r="AH53" i="48"/>
  <c r="AH50" i="48"/>
  <c r="AH51" i="48"/>
  <c r="AK84" i="48" l="1"/>
  <c r="AJ86" i="48"/>
  <c r="AJ85" i="48"/>
  <c r="AJ87" i="48"/>
  <c r="AI52" i="48"/>
  <c r="AJ49" i="48"/>
  <c r="AI53" i="48"/>
  <c r="AI54" i="48"/>
  <c r="AI51" i="48"/>
  <c r="AI50" i="48"/>
  <c r="O72" i="47"/>
  <c r="O41" i="47"/>
  <c r="P62" i="47" l="1"/>
  <c r="O71" i="47"/>
  <c r="O70" i="47" s="1"/>
  <c r="AJ52" i="48"/>
  <c r="AJ54" i="48"/>
  <c r="AK49" i="48"/>
  <c r="AJ53" i="48"/>
  <c r="AJ50" i="48"/>
  <c r="AJ51" i="48"/>
  <c r="AL84" i="48"/>
  <c r="AK86" i="48"/>
  <c r="AK87" i="48"/>
  <c r="AK85" i="48"/>
  <c r="AK53" i="48" l="1"/>
  <c r="AL49" i="48"/>
  <c r="AK54" i="48"/>
  <c r="AK52" i="48"/>
  <c r="AK51" i="48"/>
  <c r="AK50" i="48"/>
  <c r="AM84" i="48"/>
  <c r="AL85" i="48"/>
  <c r="AL86" i="48"/>
  <c r="AL87" i="48"/>
  <c r="P72" i="47"/>
  <c r="P41" i="47"/>
  <c r="AM86" i="48" l="1"/>
  <c r="AM87" i="48"/>
  <c r="AM85" i="48"/>
  <c r="AN84" i="48"/>
  <c r="AM49" i="48"/>
  <c r="AL54" i="48"/>
  <c r="AL52" i="48"/>
  <c r="AL53" i="48"/>
  <c r="AL51" i="48"/>
  <c r="AL50" i="48"/>
  <c r="P71" i="47"/>
  <c r="P70" i="47" s="1"/>
  <c r="Q62" i="47"/>
  <c r="AN85" i="48" l="1"/>
  <c r="AO84" i="48"/>
  <c r="AN86" i="48"/>
  <c r="AN87" i="48"/>
  <c r="Q72" i="47"/>
  <c r="Q41" i="47"/>
  <c r="AM51" i="48"/>
  <c r="AM53" i="48"/>
  <c r="AN49" i="48"/>
  <c r="AM54" i="48"/>
  <c r="AM50" i="48"/>
  <c r="AM52" i="48"/>
  <c r="AO86" i="48" l="1"/>
  <c r="AO87" i="48"/>
  <c r="AO85" i="48"/>
  <c r="AP84" i="48"/>
  <c r="R62" i="47"/>
  <c r="Q71" i="47"/>
  <c r="Q70" i="47" s="1"/>
  <c r="AN52" i="48"/>
  <c r="AN50" i="48"/>
  <c r="AN53" i="48"/>
  <c r="AN54" i="48"/>
  <c r="AN51" i="48"/>
  <c r="AO49" i="48"/>
  <c r="R72" i="47" l="1"/>
  <c r="R41" i="47"/>
  <c r="AP85" i="48"/>
  <c r="AQ84" i="48"/>
  <c r="AP86" i="48"/>
  <c r="AP87" i="48"/>
  <c r="AO53" i="48"/>
  <c r="AP49" i="48"/>
  <c r="AO54" i="48"/>
  <c r="AO50" i="48"/>
  <c r="AO51" i="48"/>
  <c r="AO52" i="48"/>
  <c r="AQ49" i="48" l="1"/>
  <c r="AP50" i="48"/>
  <c r="AP52" i="48"/>
  <c r="AP53" i="48"/>
  <c r="AP54" i="48"/>
  <c r="AP51" i="48"/>
  <c r="S62" i="47"/>
  <c r="R71" i="47"/>
  <c r="R70" i="47" s="1"/>
  <c r="AQ87" i="48"/>
  <c r="AQ85" i="48"/>
  <c r="AR84" i="48"/>
  <c r="AQ86" i="48"/>
  <c r="S72" i="47" l="1"/>
  <c r="S41" i="47"/>
  <c r="AR87" i="48"/>
  <c r="AR86" i="48"/>
  <c r="AR85" i="48"/>
  <c r="AS84" i="48"/>
  <c r="AQ54" i="48"/>
  <c r="AQ51" i="48"/>
  <c r="AQ52" i="48"/>
  <c r="AR49" i="48"/>
  <c r="AQ53" i="48"/>
  <c r="AQ50" i="48"/>
  <c r="AT84" i="48" l="1"/>
  <c r="AS86" i="48"/>
  <c r="AS87" i="48"/>
  <c r="AS85" i="48"/>
  <c r="AS49" i="48"/>
  <c r="AR52" i="48"/>
  <c r="AR51" i="48"/>
  <c r="AR53" i="48"/>
  <c r="AR54" i="48"/>
  <c r="AR50" i="48"/>
  <c r="S71" i="47"/>
  <c r="S70" i="47" s="1"/>
  <c r="T62" i="47"/>
  <c r="AS50" i="48" l="1"/>
  <c r="AS52" i="48"/>
  <c r="AS51" i="48"/>
  <c r="AS53" i="48"/>
  <c r="AT49" i="48"/>
  <c r="AS54" i="48"/>
  <c r="T72" i="47"/>
  <c r="T41" i="47"/>
  <c r="AT85" i="48"/>
  <c r="AU84" i="48"/>
  <c r="AT87" i="48"/>
  <c r="AT86" i="48"/>
  <c r="U62" i="47" l="1"/>
  <c r="T71" i="47"/>
  <c r="T70" i="47" s="1"/>
  <c r="AT52" i="48"/>
  <c r="AT50" i="48"/>
  <c r="AT53" i="48"/>
  <c r="AT54" i="48"/>
  <c r="AT51" i="48"/>
  <c r="AU49" i="48"/>
  <c r="AV84" i="48"/>
  <c r="AU85" i="48"/>
  <c r="AU86" i="48"/>
  <c r="AU87" i="48"/>
  <c r="AU51" i="48" l="1"/>
  <c r="AV49" i="48"/>
  <c r="AU53" i="48"/>
  <c r="AU52" i="48"/>
  <c r="AU54" i="48"/>
  <c r="AU50" i="48"/>
  <c r="AV85" i="48"/>
  <c r="AV86" i="48"/>
  <c r="AW84" i="48"/>
  <c r="AV87" i="48"/>
  <c r="U72" i="47"/>
  <c r="U41" i="47"/>
  <c r="V62" i="47" l="1"/>
  <c r="U71" i="47"/>
  <c r="U70" i="47" s="1"/>
  <c r="AV51" i="48"/>
  <c r="AW49" i="48"/>
  <c r="AV54" i="48"/>
  <c r="AV52" i="48"/>
  <c r="AV53" i="48"/>
  <c r="AV50" i="48"/>
  <c r="AW87" i="48"/>
  <c r="AW86" i="48"/>
  <c r="AX84" i="48"/>
  <c r="AW85" i="48"/>
  <c r="AW52" i="48" l="1"/>
  <c r="AW51" i="48"/>
  <c r="AW50" i="48"/>
  <c r="AW53" i="48"/>
  <c r="AX49" i="48"/>
  <c r="AW54" i="48"/>
  <c r="AX85" i="48"/>
  <c r="AX86" i="48"/>
  <c r="AY84" i="48"/>
  <c r="AX87" i="48"/>
  <c r="V72" i="47"/>
  <c r="V41" i="47"/>
  <c r="W62" i="47" l="1"/>
  <c r="V71" i="47"/>
  <c r="V70" i="47" s="1"/>
  <c r="AX51" i="48"/>
  <c r="AY49" i="48"/>
  <c r="AX54" i="48"/>
  <c r="AX52" i="48"/>
  <c r="AX50" i="48"/>
  <c r="AX53" i="48"/>
  <c r="AY86" i="48"/>
  <c r="AY87" i="48"/>
  <c r="AY85" i="48"/>
  <c r="AZ84" i="48"/>
  <c r="AZ86" i="48" l="1"/>
  <c r="AZ87" i="48"/>
  <c r="BA84" i="48"/>
  <c r="AZ85" i="48"/>
  <c r="AY50" i="48"/>
  <c r="AY53" i="48"/>
  <c r="AY54" i="48"/>
  <c r="AY51" i="48"/>
  <c r="AY52" i="48"/>
  <c r="AZ49" i="48"/>
  <c r="W72" i="47"/>
  <c r="W41" i="47"/>
  <c r="BB84" i="48" l="1"/>
  <c r="BA87" i="48"/>
  <c r="BA85" i="48"/>
  <c r="BA86" i="48"/>
  <c r="X62" i="47"/>
  <c r="W71" i="47"/>
  <c r="W70" i="47" s="1"/>
  <c r="AZ51" i="48"/>
  <c r="BA49" i="48"/>
  <c r="AZ54" i="48"/>
  <c r="AZ50" i="48"/>
  <c r="AZ53" i="48"/>
  <c r="AZ52" i="48"/>
  <c r="X72" i="47" l="1"/>
  <c r="X41" i="47"/>
  <c r="BA50" i="48"/>
  <c r="BA52" i="48"/>
  <c r="BA53" i="48"/>
  <c r="BA51" i="48"/>
  <c r="BA54" i="48"/>
  <c r="BB49" i="48"/>
  <c r="BB85" i="48"/>
  <c r="BC84" i="48"/>
  <c r="BB86" i="48"/>
  <c r="BB87" i="48"/>
  <c r="BC86" i="48" l="1"/>
  <c r="BC85" i="48"/>
  <c r="BC87" i="48"/>
  <c r="BD84" i="48"/>
  <c r="X71" i="47"/>
  <c r="X70" i="47" s="1"/>
  <c r="Y62" i="47"/>
  <c r="BB52" i="48"/>
  <c r="BB51" i="48"/>
  <c r="BB53" i="48"/>
  <c r="BC49" i="48"/>
  <c r="BB50" i="48"/>
  <c r="BB54" i="48"/>
  <c r="Y72" i="47" l="1"/>
  <c r="Y41" i="47"/>
  <c r="BD87" i="48"/>
  <c r="BD86" i="48"/>
  <c r="BE84" i="48"/>
  <c r="BD85" i="48"/>
  <c r="BC54" i="48"/>
  <c r="BC53" i="48"/>
  <c r="BC50" i="48"/>
  <c r="BC51" i="48"/>
  <c r="BD49" i="48"/>
  <c r="BC52" i="48"/>
  <c r="BE86" i="48" l="1"/>
  <c r="BE85" i="48"/>
  <c r="BE87" i="48"/>
  <c r="BF84" i="48"/>
  <c r="Y71" i="47"/>
  <c r="Y70" i="47" s="1"/>
  <c r="Z62" i="47"/>
  <c r="BD50" i="48"/>
  <c r="BD53" i="48"/>
  <c r="BD52" i="48"/>
  <c r="BD51" i="48"/>
  <c r="BE49" i="48"/>
  <c r="BD54" i="48"/>
  <c r="BE51" i="48" l="1"/>
  <c r="BF49" i="48"/>
  <c r="BE54" i="48"/>
  <c r="BE50" i="48"/>
  <c r="BE53" i="48"/>
  <c r="BE52" i="48"/>
  <c r="BF85" i="48"/>
  <c r="BG84" i="48"/>
  <c r="BF86" i="48"/>
  <c r="BF87" i="48"/>
  <c r="Z72" i="47"/>
  <c r="Z41" i="47"/>
  <c r="BF41" i="47"/>
  <c r="BF72" i="47"/>
  <c r="BH84" i="48" l="1"/>
  <c r="BG86" i="48"/>
  <c r="BG87" i="48"/>
  <c r="BG85" i="48"/>
  <c r="AA62" i="47"/>
  <c r="Z71" i="47"/>
  <c r="Z70" i="47" s="1"/>
  <c r="BF51" i="48"/>
  <c r="BF54" i="48"/>
  <c r="BF52" i="48"/>
  <c r="BF53" i="48"/>
  <c r="BG49" i="48"/>
  <c r="BF50" i="48"/>
  <c r="BE47" i="45"/>
  <c r="C51" i="48"/>
  <c r="U102" i="45"/>
  <c r="BE102" i="45" s="1"/>
  <c r="BF102" i="45" s="1"/>
  <c r="U64" i="45"/>
  <c r="BE64" i="45" s="1"/>
  <c r="U79" i="45"/>
  <c r="BE79" i="45" s="1"/>
  <c r="U56" i="45"/>
  <c r="BE56" i="45" s="1"/>
  <c r="U59" i="45"/>
  <c r="BE59" i="45" s="1"/>
  <c r="U105" i="45"/>
  <c r="BE105" i="45" s="1"/>
  <c r="BF105" i="45" s="1"/>
  <c r="U69" i="45"/>
  <c r="BE69" i="45" s="1"/>
  <c r="U67" i="45"/>
  <c r="BE67" i="45" s="1"/>
  <c r="U58" i="45"/>
  <c r="BE58" i="45" s="1"/>
  <c r="U75" i="45"/>
  <c r="BE75" i="45" s="1"/>
  <c r="U51" i="45"/>
  <c r="BE51" i="45" s="1"/>
  <c r="U101" i="45"/>
  <c r="BE101" i="45" s="1"/>
  <c r="BF101" i="45" s="1"/>
  <c r="U80" i="45"/>
  <c r="BE80" i="45" s="1"/>
  <c r="U61" i="45"/>
  <c r="BE61" i="45" s="1"/>
  <c r="G197" i="48" s="1"/>
  <c r="U66" i="45"/>
  <c r="BE66" i="45" s="1"/>
  <c r="U88" i="45"/>
  <c r="BE88" i="45" s="1"/>
  <c r="BF88" i="45" s="1"/>
  <c r="U82" i="45"/>
  <c r="BE82" i="45" s="1"/>
  <c r="U62" i="45"/>
  <c r="BE62" i="45" s="1"/>
  <c r="U111" i="45"/>
  <c r="BE111" i="45" s="1"/>
  <c r="BF111" i="45" s="1"/>
  <c r="U85" i="45"/>
  <c r="BE85" i="45" s="1"/>
  <c r="U74" i="45"/>
  <c r="BE74" i="45" s="1"/>
  <c r="U52" i="45"/>
  <c r="BE52" i="45" s="1"/>
  <c r="G188" i="48" s="1"/>
  <c r="I188" i="48" s="1"/>
  <c r="U72" i="45"/>
  <c r="BE72" i="45" s="1"/>
  <c r="U106" i="45"/>
  <c r="BE106" i="45" s="1"/>
  <c r="BF106" i="45" s="1"/>
  <c r="U107" i="45"/>
  <c r="BE107" i="45" s="1"/>
  <c r="BF107" i="45" s="1"/>
  <c r="U60" i="45"/>
  <c r="BE60" i="45" s="1"/>
  <c r="U57" i="45"/>
  <c r="BE57" i="45" s="1"/>
  <c r="U68" i="45"/>
  <c r="BE68" i="45" s="1"/>
  <c r="U78" i="45"/>
  <c r="BE78" i="45" s="1"/>
  <c r="U76" i="45"/>
  <c r="BE76" i="45" s="1"/>
  <c r="U104" i="45"/>
  <c r="BE104" i="45" s="1"/>
  <c r="BF104" i="45" s="1"/>
  <c r="U71" i="45"/>
  <c r="BE71" i="45" s="1"/>
  <c r="U53" i="45"/>
  <c r="BE53" i="45" s="1"/>
  <c r="U83" i="45"/>
  <c r="BE83" i="45" s="1"/>
  <c r="BE48" i="45"/>
  <c r="U70" i="45"/>
  <c r="BE70" i="45" s="1"/>
  <c r="U103" i="45"/>
  <c r="BE103" i="45" s="1"/>
  <c r="BF103" i="45" s="1"/>
  <c r="U108" i="45"/>
  <c r="BE108" i="45" s="1"/>
  <c r="BF108" i="45" s="1"/>
  <c r="U109" i="45"/>
  <c r="BE109" i="45" s="1"/>
  <c r="BF109" i="45" s="1"/>
  <c r="U84" i="45"/>
  <c r="BE84" i="45" s="1"/>
  <c r="U81" i="45"/>
  <c r="BE81" i="45" s="1"/>
  <c r="U110" i="45"/>
  <c r="BE110" i="45" s="1"/>
  <c r="BF110" i="45" s="1"/>
  <c r="U73" i="45"/>
  <c r="BE73" i="45" s="1"/>
  <c r="U65" i="45"/>
  <c r="BE65" i="45" s="1"/>
  <c r="U55" i="45"/>
  <c r="BE55" i="45" s="1"/>
  <c r="G191" i="48" s="1"/>
  <c r="I191" i="48" s="1"/>
  <c r="U54" i="45"/>
  <c r="BE54" i="45" s="1"/>
  <c r="U77" i="45"/>
  <c r="BE77" i="45" s="1"/>
  <c r="U63" i="45"/>
  <c r="BE63" i="45" s="1"/>
  <c r="BF71" i="47"/>
  <c r="AA72" i="47" l="1"/>
  <c r="AA41" i="47"/>
  <c r="BG51" i="48"/>
  <c r="BG50" i="48"/>
  <c r="BG52" i="48"/>
  <c r="BH49" i="48"/>
  <c r="BG53" i="48"/>
  <c r="BG54" i="48"/>
  <c r="BH85" i="48"/>
  <c r="BH87" i="48"/>
  <c r="BI84" i="48"/>
  <c r="BH86" i="48"/>
  <c r="BF61" i="45"/>
  <c r="H197" i="48" s="1"/>
  <c r="BF78" i="45"/>
  <c r="H214" i="48" s="1"/>
  <c r="I214" i="48" s="1"/>
  <c r="G214" i="48"/>
  <c r="BF74" i="45"/>
  <c r="H210" i="48" s="1"/>
  <c r="I210" i="48" s="1"/>
  <c r="G210" i="48"/>
  <c r="BF80" i="45"/>
  <c r="H216" i="48" s="1"/>
  <c r="I216" i="48" s="1"/>
  <c r="G216" i="48"/>
  <c r="BF59" i="45"/>
  <c r="H195" i="48" s="1"/>
  <c r="I195" i="48" s="1"/>
  <c r="G195" i="48"/>
  <c r="BF70" i="45"/>
  <c r="H206" i="48" s="1"/>
  <c r="I206" i="48" s="1"/>
  <c r="G206" i="48"/>
  <c r="BF68" i="45"/>
  <c r="H204" i="48" s="1"/>
  <c r="I204" i="48" s="1"/>
  <c r="G204" i="48"/>
  <c r="BF85" i="45"/>
  <c r="H221" i="48" s="1"/>
  <c r="I221" i="48" s="1"/>
  <c r="G221" i="48"/>
  <c r="BF56" i="45"/>
  <c r="H192" i="48" s="1"/>
  <c r="I192" i="48" s="1"/>
  <c r="G192" i="48"/>
  <c r="G209" i="48"/>
  <c r="BF73" i="45"/>
  <c r="H209" i="48" s="1"/>
  <c r="I209" i="48" s="1"/>
  <c r="BF48" i="45"/>
  <c r="H184" i="48" s="1"/>
  <c r="I184" i="48" s="1"/>
  <c r="G184" i="48"/>
  <c r="G193" i="48"/>
  <c r="BF57" i="45"/>
  <c r="H193" i="48" s="1"/>
  <c r="I193" i="48" s="1"/>
  <c r="BF51" i="45"/>
  <c r="H187" i="48" s="1"/>
  <c r="I187" i="48" s="1"/>
  <c r="G187" i="48"/>
  <c r="BF79" i="45"/>
  <c r="H215" i="48" s="1"/>
  <c r="I215" i="48" s="1"/>
  <c r="G215" i="48"/>
  <c r="BF83" i="45"/>
  <c r="H219" i="48" s="1"/>
  <c r="I219" i="48" s="1"/>
  <c r="G219" i="48"/>
  <c r="BF60" i="45"/>
  <c r="H196" i="48" s="1"/>
  <c r="I196" i="48" s="1"/>
  <c r="G196" i="48"/>
  <c r="BF62" i="45"/>
  <c r="H198" i="48" s="1"/>
  <c r="I198" i="48" s="1"/>
  <c r="G198" i="48"/>
  <c r="BF75" i="45"/>
  <c r="H211" i="48" s="1"/>
  <c r="I211" i="48" s="1"/>
  <c r="G211" i="48"/>
  <c r="BF64" i="45"/>
  <c r="H200" i="48" s="1"/>
  <c r="I200" i="48" s="1"/>
  <c r="G200" i="48"/>
  <c r="BF81" i="45"/>
  <c r="H217" i="48" s="1"/>
  <c r="I217" i="48" s="1"/>
  <c r="G217" i="48"/>
  <c r="BF53" i="45"/>
  <c r="H189" i="48" s="1"/>
  <c r="I189" i="48" s="1"/>
  <c r="G189" i="48"/>
  <c r="BF82" i="45"/>
  <c r="H218" i="48" s="1"/>
  <c r="I218" i="48" s="1"/>
  <c r="G218" i="48"/>
  <c r="BF58" i="45"/>
  <c r="H194" i="48" s="1"/>
  <c r="I194" i="48" s="1"/>
  <c r="G194" i="48"/>
  <c r="BF63" i="45"/>
  <c r="H199" i="48" s="1"/>
  <c r="I199" i="48" s="1"/>
  <c r="G199" i="48"/>
  <c r="BF84" i="45"/>
  <c r="H220" i="48" s="1"/>
  <c r="I220" i="48" s="1"/>
  <c r="G220" i="48"/>
  <c r="BF71" i="45"/>
  <c r="H207" i="48" s="1"/>
  <c r="I207" i="48" s="1"/>
  <c r="G207" i="48"/>
  <c r="BF67" i="45"/>
  <c r="H203" i="48" s="1"/>
  <c r="I203" i="48" s="1"/>
  <c r="G203" i="48"/>
  <c r="F108" i="48"/>
  <c r="C48" i="48"/>
  <c r="C58" i="48"/>
  <c r="F107" i="48" s="1"/>
  <c r="BF54" i="45"/>
  <c r="H190" i="48" s="1"/>
  <c r="I190" i="48" s="1"/>
  <c r="G190" i="48"/>
  <c r="BF76" i="45"/>
  <c r="H212" i="48" s="1"/>
  <c r="I212" i="48" s="1"/>
  <c r="G212" i="48"/>
  <c r="BF65" i="45"/>
  <c r="H201" i="48" s="1"/>
  <c r="I201" i="48" s="1"/>
  <c r="G201" i="48"/>
  <c r="BF70" i="47"/>
  <c r="G213" i="48"/>
  <c r="BF77" i="45"/>
  <c r="H213" i="48" s="1"/>
  <c r="I213" i="48" s="1"/>
  <c r="BF72" i="45"/>
  <c r="H208" i="48" s="1"/>
  <c r="I208" i="48" s="1"/>
  <c r="G208" i="48"/>
  <c r="BF66" i="45"/>
  <c r="H202" i="48" s="1"/>
  <c r="I202" i="48" s="1"/>
  <c r="G202" i="48"/>
  <c r="BF69" i="45"/>
  <c r="H205" i="48" s="1"/>
  <c r="I205" i="48" s="1"/>
  <c r="G205" i="48"/>
  <c r="BF47" i="45"/>
  <c r="H183" i="48" s="1"/>
  <c r="I183" i="48" s="1"/>
  <c r="G183" i="48"/>
  <c r="I197" i="48" l="1"/>
  <c r="BH54" i="48"/>
  <c r="BI49" i="48"/>
  <c r="BH53" i="48"/>
  <c r="BH52" i="48"/>
  <c r="BH50" i="48"/>
  <c r="BH51" i="48"/>
  <c r="BI86" i="48"/>
  <c r="BI85" i="48"/>
  <c r="BI87" i="48"/>
  <c r="BJ84" i="48"/>
  <c r="AB62" i="47"/>
  <c r="AA71" i="47"/>
  <c r="F220" i="45"/>
  <c r="F217" i="45"/>
  <c r="F214" i="45"/>
  <c r="F232" i="45"/>
  <c r="F236" i="45"/>
  <c r="F228" i="45"/>
  <c r="F213" i="45"/>
  <c r="F237" i="45"/>
  <c r="F223" i="45"/>
  <c r="F225" i="45"/>
  <c r="F221" i="45"/>
  <c r="F233" i="45"/>
  <c r="F239" i="45"/>
  <c r="F240" i="45"/>
  <c r="F212" i="45"/>
  <c r="F226" i="45"/>
  <c r="F238" i="45"/>
  <c r="F215" i="45"/>
  <c r="F216" i="45"/>
  <c r="F234" i="45"/>
  <c r="F219" i="45"/>
  <c r="F230" i="45"/>
  <c r="F241" i="45"/>
  <c r="F231" i="45"/>
  <c r="F224" i="45"/>
  <c r="F227" i="45"/>
  <c r="F229" i="45"/>
  <c r="F218" i="45"/>
  <c r="F222" i="45"/>
  <c r="F235" i="45"/>
  <c r="H229" i="48"/>
  <c r="D89" i="48" s="1"/>
  <c r="F139" i="45"/>
  <c r="F131" i="45"/>
  <c r="F155" i="45"/>
  <c r="F199" i="45"/>
  <c r="F157" i="45"/>
  <c r="F122" i="45"/>
  <c r="F200" i="45"/>
  <c r="F123" i="45"/>
  <c r="F207" i="45"/>
  <c r="F170" i="45"/>
  <c r="F198" i="45"/>
  <c r="F191" i="45"/>
  <c r="F137" i="45"/>
  <c r="F169" i="45"/>
  <c r="F151" i="45"/>
  <c r="F202" i="45"/>
  <c r="F196" i="45"/>
  <c r="F182" i="45"/>
  <c r="F195" i="45"/>
  <c r="F187" i="45"/>
  <c r="F120" i="45"/>
  <c r="F125" i="45"/>
  <c r="F134" i="45"/>
  <c r="F148" i="45"/>
  <c r="F183" i="45"/>
  <c r="F192" i="45"/>
  <c r="F135" i="45"/>
  <c r="F119" i="45"/>
  <c r="F173" i="45"/>
  <c r="F156" i="45"/>
  <c r="F153" i="45"/>
  <c r="F168" i="45"/>
  <c r="F178" i="45"/>
  <c r="F143" i="45"/>
  <c r="F204" i="45"/>
  <c r="F203" i="45"/>
  <c r="F144" i="45"/>
  <c r="F175" i="45"/>
  <c r="F160" i="45"/>
  <c r="F176" i="45"/>
  <c r="F185" i="45"/>
  <c r="F206" i="45"/>
  <c r="F174" i="45"/>
  <c r="F190" i="45"/>
  <c r="F147" i="45"/>
  <c r="F133" i="45"/>
  <c r="F128" i="45"/>
  <c r="F189" i="45"/>
  <c r="F167" i="45"/>
  <c r="F138" i="45"/>
  <c r="F130" i="45"/>
  <c r="F146" i="45"/>
  <c r="F186" i="45"/>
  <c r="F162" i="45"/>
  <c r="F166" i="45"/>
  <c r="F184" i="45"/>
  <c r="F180" i="45"/>
  <c r="F127" i="45"/>
  <c r="F149" i="45"/>
  <c r="F194" i="45"/>
  <c r="F124" i="45"/>
  <c r="F201" i="45"/>
  <c r="F172" i="45"/>
  <c r="F179" i="45"/>
  <c r="F188" i="45"/>
  <c r="F126" i="45"/>
  <c r="F205" i="45"/>
  <c r="F181" i="45"/>
  <c r="F164" i="45"/>
  <c r="F142" i="45"/>
  <c r="F163" i="45"/>
  <c r="F165" i="45"/>
  <c r="F140" i="45"/>
  <c r="F177" i="45"/>
  <c r="F152" i="45"/>
  <c r="F129" i="45"/>
  <c r="F132" i="45"/>
  <c r="F121" i="45"/>
  <c r="F158" i="45"/>
  <c r="F171" i="45"/>
  <c r="F193" i="45"/>
  <c r="F154" i="45"/>
  <c r="F145" i="45"/>
  <c r="F161" i="45"/>
  <c r="F197" i="45"/>
  <c r="F136" i="45"/>
  <c r="F150" i="45"/>
  <c r="F159" i="45"/>
  <c r="F141" i="45"/>
  <c r="H227" i="48"/>
  <c r="H228" i="48"/>
  <c r="D88" i="48" s="1"/>
  <c r="AA70" i="47" l="1"/>
  <c r="AB72" i="47"/>
  <c r="AB41" i="47"/>
  <c r="BJ86" i="48"/>
  <c r="BK84" i="48"/>
  <c r="BJ87" i="48"/>
  <c r="BJ85" i="48"/>
  <c r="BI51" i="48"/>
  <c r="BJ49" i="48"/>
  <c r="BI54" i="48"/>
  <c r="BI50" i="48"/>
  <c r="BI53" i="48"/>
  <c r="BI52" i="48"/>
  <c r="D87" i="48"/>
  <c r="C88" i="48" s="1"/>
  <c r="C89" i="48" s="1"/>
  <c r="C90" i="48" s="1"/>
  <c r="H231" i="48"/>
  <c r="C95" i="48" s="1"/>
  <c r="BK87" i="48" l="1"/>
  <c r="BK86" i="48"/>
  <c r="BK85" i="48"/>
  <c r="BJ52" i="48"/>
  <c r="BK49" i="48"/>
  <c r="BJ51" i="48"/>
  <c r="BJ50" i="48"/>
  <c r="BJ53" i="48"/>
  <c r="BJ54" i="48"/>
  <c r="AB71" i="47"/>
  <c r="AC62" i="47"/>
  <c r="AB70" i="47" l="1"/>
  <c r="AC72" i="47"/>
  <c r="AC41" i="47"/>
  <c r="BK54" i="48"/>
  <c r="BK50" i="48"/>
  <c r="BK51" i="48"/>
  <c r="BK53" i="48"/>
  <c r="BK52" i="48"/>
  <c r="AD62" i="47" l="1"/>
  <c r="AC71" i="47"/>
  <c r="G58" i="48"/>
  <c r="I58" i="48"/>
  <c r="AC70" i="47" l="1"/>
  <c r="AD72" i="47"/>
  <c r="AD41" i="47"/>
  <c r="AD71" i="47" l="1"/>
  <c r="AE62" i="47"/>
  <c r="AD70" i="47" l="1"/>
  <c r="AE72" i="47"/>
  <c r="AE41" i="47"/>
  <c r="AF62" i="47" l="1"/>
  <c r="AE71" i="47"/>
  <c r="AE70" i="47" l="1"/>
  <c r="AF72" i="47"/>
  <c r="AF41" i="47"/>
  <c r="AG62" i="47" l="1"/>
  <c r="AF71" i="47"/>
  <c r="AF70" i="47" l="1"/>
  <c r="AG72" i="47"/>
  <c r="AG41" i="47"/>
  <c r="AH62" i="47" l="1"/>
  <c r="AG71" i="47"/>
  <c r="AG70" i="47" l="1"/>
  <c r="AH72" i="47"/>
  <c r="AH41" i="47"/>
  <c r="AH71" i="47" l="1"/>
  <c r="AI62" i="47"/>
  <c r="AH70" i="47" l="1"/>
  <c r="AI72" i="47"/>
  <c r="AI41" i="47"/>
  <c r="AJ62" i="47" l="1"/>
  <c r="AI71" i="47"/>
  <c r="AI70" i="47" l="1"/>
  <c r="AJ72" i="47"/>
  <c r="AJ41" i="47"/>
  <c r="AK62" i="47" l="1"/>
  <c r="AJ71" i="47"/>
  <c r="AJ70" i="47" l="1"/>
  <c r="AK72" i="47"/>
  <c r="AK41" i="47"/>
  <c r="AK71" i="47" l="1"/>
  <c r="AL62" i="47"/>
  <c r="AK70" i="47" l="1"/>
  <c r="AL41" i="47"/>
  <c r="AL72" i="47"/>
  <c r="AM62" i="47" l="1"/>
  <c r="AL71" i="47"/>
  <c r="AL70" i="47" l="1"/>
  <c r="AM41" i="47"/>
  <c r="AM72" i="47"/>
  <c r="AM71" i="47" l="1"/>
  <c r="AN62" i="47"/>
  <c r="AM70" i="47" l="1"/>
  <c r="AN72" i="47"/>
  <c r="AN41" i="47"/>
  <c r="AO62" i="47" l="1"/>
  <c r="AN71" i="47"/>
  <c r="AN70" i="47" l="1"/>
  <c r="AO72" i="47"/>
  <c r="AO41" i="47"/>
  <c r="AP62" i="47" l="1"/>
  <c r="AO71" i="47"/>
  <c r="AO70" i="47" l="1"/>
  <c r="AP72" i="47"/>
  <c r="AP41" i="47"/>
  <c r="AQ62" i="47" l="1"/>
  <c r="AP71" i="47"/>
  <c r="AP70" i="47" l="1"/>
  <c r="AQ72" i="47"/>
  <c r="AQ41" i="47"/>
  <c r="AQ71" i="47" l="1"/>
  <c r="AR62" i="47"/>
  <c r="AQ70" i="47" l="1"/>
  <c r="AR72" i="47"/>
  <c r="AR41" i="47"/>
  <c r="AS62" i="47" l="1"/>
  <c r="AR71" i="47"/>
  <c r="AR70" i="47" l="1"/>
  <c r="AS72" i="47"/>
  <c r="AS41" i="47"/>
  <c r="AS71" i="47" l="1"/>
  <c r="AT62" i="47"/>
  <c r="AS70" i="47" l="1"/>
  <c r="AT72" i="47"/>
  <c r="AT41" i="47"/>
  <c r="AT71" i="47" l="1"/>
  <c r="AU62" i="47"/>
  <c r="AT70" i="47" l="1"/>
  <c r="AU72" i="47"/>
  <c r="AU41" i="47"/>
  <c r="AU71" i="47" l="1"/>
  <c r="AV62" i="47"/>
  <c r="AU70" i="47" l="1"/>
  <c r="AV72" i="47"/>
  <c r="AV41" i="47"/>
  <c r="AW62" i="47" l="1"/>
  <c r="AV71" i="47"/>
  <c r="AV70" i="47" l="1"/>
  <c r="AW72" i="47"/>
  <c r="AW41" i="47"/>
  <c r="AX62" i="47" l="1"/>
  <c r="AW71" i="47"/>
  <c r="AW70" i="47" l="1"/>
  <c r="AX41" i="47"/>
  <c r="AX72" i="47"/>
  <c r="AX71" i="47" l="1"/>
  <c r="AY62" i="47"/>
  <c r="AX70" i="47" l="1"/>
  <c r="AY72" i="47"/>
  <c r="AY41" i="47"/>
  <c r="AY71" i="47" l="1"/>
  <c r="AZ62" i="47"/>
  <c r="AY70" i="47" l="1"/>
  <c r="AZ72" i="47"/>
  <c r="AZ41" i="47"/>
  <c r="BA62" i="47" l="1"/>
  <c r="AZ71" i="47"/>
  <c r="AZ70" i="47" l="1"/>
  <c r="BA72" i="47"/>
  <c r="BA41" i="47"/>
  <c r="BB62" i="47" l="1"/>
  <c r="BA71" i="47"/>
  <c r="BA70" i="47" l="1"/>
  <c r="BB41" i="47"/>
  <c r="BB72" i="47"/>
  <c r="BB71" i="47" l="1"/>
  <c r="BC62" i="47"/>
  <c r="BB70" i="47" l="1"/>
  <c r="BC41" i="47"/>
  <c r="BC72" i="47"/>
  <c r="BD62" i="47" l="1"/>
  <c r="BC71" i="47"/>
  <c r="BC70" i="47" l="1"/>
  <c r="BH71" i="47" a="1"/>
  <c r="BH71" i="47" s="1"/>
  <c r="BD72" i="47"/>
  <c r="BH72" i="47" s="1" a="1"/>
  <c r="BH72" i="47" s="1"/>
  <c r="BD41" i="47"/>
  <c r="BD71" i="47" s="1"/>
  <c r="BH70" i="47" l="1" a="1"/>
  <c r="BH70" i="47" s="1"/>
  <c r="BD70"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Beth Evans</author>
    <author>Zack Panos</author>
  </authors>
  <commentList>
    <comment ref="B62" authorId="0" shapeId="0" xr:uid="{00000000-0006-0000-0400-000001000000}">
      <text>
        <r>
          <rPr>
            <sz val="9"/>
            <color indexed="81"/>
            <rFont val="Tahoma"/>
            <family val="2"/>
          </rPr>
          <t>Refers to all medical practitioners, including physicians, nursing professionals, and paramedical practitioners (ILO ISCO codes 2240, 2211, 2212, 2221, 3221, 5321, 3256)</t>
        </r>
      </text>
    </comment>
    <comment ref="B72" authorId="1" shapeId="0" xr:uid="{00000000-0006-0000-0400-000002000000}">
      <text>
        <r>
          <rPr>
            <sz val="9"/>
            <color indexed="81"/>
            <rFont val="Tahoma"/>
            <family val="2"/>
          </rPr>
          <t xml:space="preserve">Refers to all medical practitioners, including physicians, nursing professionals, and paramedical practitioners (ILO ISCO codes 2240, 2211, 2212, 2221, 3221, 5321, 3256)
</t>
        </r>
      </text>
    </comment>
    <comment ref="B73" authorId="1" shapeId="0" xr:uid="{00000000-0006-0000-0400-000003000000}">
      <text>
        <r>
          <rPr>
            <sz val="9"/>
            <color indexed="81"/>
            <rFont val="Tahoma"/>
            <family val="2"/>
          </rPr>
          <t>ILO ISCO code 9112</t>
        </r>
      </text>
    </comment>
    <comment ref="B74" authorId="1" shapeId="0" xr:uid="{00000000-0006-0000-0400-000004000000}">
      <text>
        <r>
          <rPr>
            <sz val="9"/>
            <color indexed="81"/>
            <rFont val="Tahoma"/>
            <family val="2"/>
          </rPr>
          <t xml:space="preserve">ILO ISCO codes 8322, 3258
</t>
        </r>
      </text>
    </comment>
    <comment ref="B139" authorId="1" shapeId="0" xr:uid="{00000000-0006-0000-0400-000005000000}">
      <text>
        <r>
          <rPr>
            <sz val="9"/>
            <color indexed="81"/>
            <rFont val="Tahoma"/>
            <family val="2"/>
          </rPr>
          <t>Real-time PCR systems (Applied Biosystems 7500 FAST, QuantStudio 5, Bio-Rad CFX 96, Qiagen RotorQ, etc.)</t>
        </r>
      </text>
    </comment>
    <comment ref="B158" authorId="1" shapeId="0" xr:uid="{00000000-0006-0000-0400-000006000000}">
      <text>
        <r>
          <rPr>
            <sz val="9"/>
            <color indexed="81"/>
            <rFont val="Tahoma"/>
            <family val="2"/>
          </rPr>
          <t>Real-time PCR systems (Applied Biosystems 7500 FAST, QuantStudio 5, Bio-Rad CFX 96, Qiagen RotorQ, etc.)</t>
        </r>
      </text>
    </comment>
    <comment ref="B163" authorId="1" shapeId="0" xr:uid="{00000000-0006-0000-0400-000007000000}">
      <text>
        <r>
          <rPr>
            <sz val="9"/>
            <color indexed="81"/>
            <rFont val="Tahoma"/>
            <family val="2"/>
          </rPr>
          <t>(ILO ISCO code 3212)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B12" authorId="0" shapeId="0" xr:uid="{00000000-0006-0000-0500-000001000000}">
      <text>
        <r>
          <rPr>
            <b/>
            <sz val="9"/>
            <color indexed="81"/>
            <rFont val="Tahoma"/>
            <family val="2"/>
          </rPr>
          <t>Administrator:</t>
        </r>
        <r>
          <rPr>
            <sz val="9"/>
            <color indexed="81"/>
            <rFont val="Tahoma"/>
            <family val="2"/>
          </rPr>
          <t xml:space="preserve">
The selection of this cell determines the strategy for estimating the number of infections. Most users will choose 'Exponential Growth' and this is what is recommended. If you select 'Manual Entry', the 'Manual Patient Calcs' tab must be filled in.</t>
        </r>
      </text>
    </comment>
    <comment ref="T12" authorId="0" shapeId="0" xr:uid="{00000000-0006-0000-0500-000002000000}">
      <text>
        <r>
          <rPr>
            <sz val="9"/>
            <color indexed="81"/>
            <rFont val="Tahoma"/>
            <family val="2"/>
          </rPr>
          <t>Source: Prem K, et al. The effect of control strategies to reduce social mixing on outcomes of the COVID-19 epidemic in Wuhan, China: a modelling study. Lancet Public Health. 2020 Mar 25. pii: S2468-2667(20)30073-6. doi: 10.1016/S2468-2667(20)30073-6. [Epub ahead of print]:
Woelfel R, et al. Clinical presentation and virological assessment of hospitalized cases of coronavirus disease 2019 in a travel-associated transmission cluster. medRxiv. 2020; (published online March 5.) (preprint). DOI: 10.1101/2020.03.05.20030502.</t>
        </r>
      </text>
    </comment>
    <comment ref="B13" authorId="0" shapeId="0" xr:uid="{00000000-0006-0000-0500-000003000000}">
      <text>
        <r>
          <rPr>
            <b/>
            <sz val="9"/>
            <color indexed="81"/>
            <rFont val="Tahoma"/>
            <family val="2"/>
          </rPr>
          <t>Administrator:</t>
        </r>
        <r>
          <rPr>
            <sz val="9"/>
            <color indexed="81"/>
            <rFont val="Tahoma"/>
            <family val="2"/>
          </rPr>
          <t xml:space="preserve">
This determines the estimated proportion of your population that will become infected your country. The estimated rates are based on empirical findings and academic modelling groups. Select 'manual' to enter a custom rate.</t>
        </r>
      </text>
    </comment>
    <comment ref="B14" authorId="0" shapeId="0" xr:uid="{00000000-0006-0000-0500-000004000000}">
      <text>
        <r>
          <rPr>
            <b/>
            <sz val="9"/>
            <color indexed="81"/>
            <rFont val="Tahoma"/>
            <family val="2"/>
          </rPr>
          <t>Administrator:</t>
        </r>
        <r>
          <rPr>
            <sz val="9"/>
            <color indexed="81"/>
            <rFont val="Tahoma"/>
            <family val="2"/>
          </rPr>
          <t xml:space="preserve">
This cell determines the number of days that it takes for the number of infections to double. For example a selection of 'slow' give a doubling rate of '5', meaning that it takes 5 days for the number of infections to be twice the current number. 
These rates are based on the most recent information available from WHO and academic modelling groups.</t>
        </r>
      </text>
    </comment>
    <comment ref="T14" authorId="0" shapeId="0" xr:uid="{00000000-0006-0000-0500-000005000000}">
      <text>
        <r>
          <rPr>
            <sz val="9"/>
            <color indexed="81"/>
            <rFont val="Tahoma"/>
            <family val="2"/>
          </rPr>
          <t>Sources: Prem K, Cook AR, Jit M. Projecting social contact matrices in 152 countries using contact surveys and demographic data. PLoS Comput Biol. 2017;13(9):e1005697. Published 2017 Sep 12. doi:10.1371/journal.pcbi.1005697
Mossong J, Hens N, Jit M, et al. Social contacts and mixing patterns relevant to the spread of infectious diseases. PLoS Med. 2008;5(3):e74. doi:10.1371/journal.pmed.0050074 (POLYMOD)
For countries not estimated for in the Prem paper, the average contacts per person per day for</t>
        </r>
        <r>
          <rPr>
            <b/>
            <sz val="9"/>
            <color indexed="81"/>
            <rFont val="Tahoma"/>
            <family val="2"/>
          </rPr>
          <t xml:space="preserve"> </t>
        </r>
        <r>
          <rPr>
            <sz val="9"/>
            <color indexed="81"/>
            <rFont val="Tahoma"/>
            <family val="2"/>
          </rPr>
          <t>countries in that country's World Bank Income Group was used.</t>
        </r>
      </text>
    </comment>
    <comment ref="T15" authorId="0" shapeId="0" xr:uid="{00000000-0006-0000-0500-000006000000}">
      <text>
        <r>
          <rPr>
            <sz val="9"/>
            <color indexed="81"/>
            <rFont val="Tahoma"/>
            <family val="2"/>
          </rPr>
          <t>Source for 2.35 basic reproduction number: Kucharski AJ, Russell TW, Diamond C, et al. Early dynamics of transmission and control of COVID-19: a mathematical modelling study. Lancet Infect Dis 2020; published online March 11. https://doi.org/10.1016/S1473-3099(20)30144-4)</t>
        </r>
      </text>
    </comment>
    <comment ref="G16" authorId="0" shapeId="0" xr:uid="{00000000-0006-0000-0500-000007000000}">
      <text>
        <r>
          <rPr>
            <u/>
            <sz val="9"/>
            <color rgb="FF000000"/>
            <rFont val="Tahoma"/>
            <family val="2"/>
          </rPr>
          <t>All suspected cases</t>
        </r>
        <r>
          <rPr>
            <sz val="9"/>
            <color rgb="FF000000"/>
            <rFont val="Tahoma"/>
            <family val="2"/>
          </rPr>
          <t xml:space="preserve">: all cases that present, regardless of severity, and number of negatives per positive as input below
</t>
        </r>
        <r>
          <rPr>
            <sz val="9"/>
            <color rgb="FF000000"/>
            <rFont val="Tahoma"/>
            <family val="2"/>
          </rPr>
          <t xml:space="preserve">
</t>
        </r>
        <r>
          <rPr>
            <u/>
            <sz val="9"/>
            <color rgb="FF000000"/>
            <rFont val="Tahoma"/>
            <family val="2"/>
          </rPr>
          <t>Targeted</t>
        </r>
        <r>
          <rPr>
            <sz val="9"/>
            <color rgb="FF000000"/>
            <rFont val="Tahoma"/>
            <family val="2"/>
          </rPr>
          <t>: restricted testing of mild/moderate presenting cases may be employed if limited tests available. All required severe and critical cases will still be tested</t>
        </r>
      </text>
    </comment>
    <comment ref="G17" authorId="0" shapeId="0" xr:uid="{00000000-0006-0000-0500-000008000000}">
      <text>
        <r>
          <rPr>
            <sz val="9"/>
            <color indexed="81"/>
            <rFont val="Tahoma"/>
            <family val="2"/>
          </rPr>
          <t>If "Targeted" testing strategy, only the percent of suspected/mild/moderate cases input here will be tested (typically high-risk patients)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J14" authorId="0" shapeId="0" xr:uid="{00000000-0006-0000-0600-000001000000}">
      <text>
        <r>
          <rPr>
            <sz val="9"/>
            <color indexed="81"/>
            <rFont val="Tahoma"/>
            <family val="2"/>
          </rPr>
          <t xml:space="preserve">HCWs refers to physicians, nursing professionals, and paramedical practitioners (ILO ISCO codes 2240, 2211, 2212, 2221, 3221, 5321, 3256)
</t>
        </r>
      </text>
    </comment>
    <comment ref="K14" authorId="0" shapeId="0" xr:uid="{00000000-0006-0000-0600-000002000000}">
      <text>
        <r>
          <rPr>
            <sz val="9"/>
            <color indexed="81"/>
            <rFont val="Tahoma"/>
            <family val="2"/>
          </rPr>
          <t xml:space="preserve">Cleaners and Helpers (ILO ISCO code 9112)
</t>
        </r>
      </text>
    </comment>
    <comment ref="M14" authorId="0" shapeId="0" xr:uid="{00000000-0006-0000-0600-000003000000}">
      <text>
        <r>
          <rPr>
            <sz val="9"/>
            <color indexed="81"/>
            <rFont val="Tahoma"/>
            <family val="2"/>
          </rPr>
          <t xml:space="preserve">Refers to Ambulance personnel (ILO ISCO codes 8322, 3258)
</t>
        </r>
      </text>
    </comment>
    <comment ref="AA14" authorId="0" shapeId="0" xr:uid="{00000000-0006-0000-0600-000004000000}">
      <text>
        <r>
          <rPr>
            <sz val="9"/>
            <color indexed="81"/>
            <rFont val="Tahoma"/>
            <family val="2"/>
          </rPr>
          <t xml:space="preserve">HCWs refers to all medical practitioners, including physicians, nursing professionals, and paramedical practitioners (ILO ISCO codes 2240, 2211, 2212, 2221, 3221, 5321, 3253)
</t>
        </r>
      </text>
    </comment>
    <comment ref="AE14" authorId="0" shapeId="0" xr:uid="{00000000-0006-0000-0600-000005000000}">
      <text>
        <r>
          <rPr>
            <sz val="9"/>
            <color indexed="81"/>
            <rFont val="Tahoma"/>
            <family val="2"/>
          </rPr>
          <t>Refers to Medical and Pathology Laboratory Technicians (ILO ISCO code 3212)</t>
        </r>
      </text>
    </comment>
    <comment ref="AF14" authorId="0" shapeId="0" xr:uid="{00000000-0006-0000-0600-000006000000}">
      <text>
        <r>
          <rPr>
            <sz val="9"/>
            <color indexed="81"/>
            <rFont val="Tahoma"/>
            <family val="2"/>
          </rPr>
          <t xml:space="preserve">ILO ISCO code 9112
</t>
        </r>
      </text>
    </comment>
    <comment ref="AI14" authorId="0" shapeId="0" xr:uid="{00000000-0006-0000-0600-000007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J14" authorId="0" shapeId="0" xr:uid="{00000000-0006-0000-0600-000008000000}">
      <text>
        <r>
          <rPr>
            <b/>
            <sz val="9"/>
            <color indexed="81"/>
            <rFont val="Tahoma"/>
            <family val="2"/>
          </rPr>
          <t xml:space="preserve">Cleaners and Helpers (ILO ISCO codes 9112)
</t>
        </r>
      </text>
    </comment>
    <comment ref="AP14" authorId="0" shapeId="0" xr:uid="{00000000-0006-0000-0600-000009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Q14" authorId="0" shapeId="0" xr:uid="{00000000-0006-0000-0600-00000A000000}">
      <text>
        <r>
          <rPr>
            <b/>
            <sz val="9"/>
            <color indexed="81"/>
            <rFont val="Tahoma"/>
            <family val="2"/>
          </rPr>
          <t xml:space="preserve">Cleaners and Helpers (ILO ISCO codes 9112)
</t>
        </r>
      </text>
    </comment>
    <comment ref="AW14" authorId="0" shapeId="0" xr:uid="{00000000-0006-0000-0600-00000B000000}">
      <text>
        <r>
          <rPr>
            <sz val="9"/>
            <color indexed="81"/>
            <rFont val="Tahoma"/>
            <family val="2"/>
          </rPr>
          <t xml:space="preserve"> HCWs refers to all medical practitioners, including physicians, nursing professionals, community health workers and paramedical practitioners (ILO ISCO codes 2240, 2211, 2212, 2221, 3221, 5321, 3256, 3253)
</t>
        </r>
      </text>
    </comment>
    <comment ref="AX14" authorId="0" shapeId="0" xr:uid="{00000000-0006-0000-0600-00000C000000}">
      <text>
        <r>
          <rPr>
            <b/>
            <sz val="9"/>
            <color indexed="81"/>
            <rFont val="Tahoma"/>
            <family val="2"/>
          </rPr>
          <t xml:space="preserve">Cleaners and Helpers (ILO ISCO codes 9112)
</t>
        </r>
      </text>
    </comment>
    <comment ref="AZ14" authorId="0" shapeId="0" xr:uid="{00000000-0006-0000-0600-00000D000000}">
      <text>
        <r>
          <rPr>
            <b/>
            <sz val="9"/>
            <color indexed="81"/>
            <rFont val="Tahoma"/>
            <family val="2"/>
          </rPr>
          <t>Refers to Ambulance personnel (ILO ISCO codes 8322, 3258)</t>
        </r>
        <r>
          <rPr>
            <sz val="9"/>
            <color indexed="81"/>
            <rFont val="Tahoma"/>
            <family val="2"/>
          </rPr>
          <t xml:space="preserve">
</t>
        </r>
      </text>
    </comment>
    <comment ref="D25" authorId="0" shapeId="0" xr:uid="{00000000-0006-0000-0600-00000E000000}">
      <text>
        <r>
          <rPr>
            <sz val="9"/>
            <color indexed="81"/>
            <rFont val="Tahoma"/>
            <family val="2"/>
          </rPr>
          <t xml:space="preserve">Note that gum boots may not be relevant for all contexts. They are best practice for muddy environments.
</t>
        </r>
      </text>
    </comment>
    <comment ref="H52" authorId="0" shapeId="0" xr:uid="{00000000-0006-0000-0600-00000F000000}">
      <text>
        <r>
          <rPr>
            <b/>
            <sz val="9"/>
            <color indexed="81"/>
            <rFont val="Tahoma"/>
            <family val="2"/>
          </rPr>
          <t>Administrator:</t>
        </r>
        <r>
          <rPr>
            <sz val="9"/>
            <color indexed="81"/>
            <rFont val="Tahoma"/>
            <family val="2"/>
          </rPr>
          <t xml:space="preserve">
Please refer to catalogue for pricing, as there are 3 different pulse oximeters (portable handheld, fingertip, and table top) with a range of prices. Users are advised to insert the price, or weighted average price, corresponding to the type used in modelled setting.</t>
        </r>
      </text>
    </comment>
    <comment ref="H55" authorId="0" shapeId="0" xr:uid="{00000000-0006-0000-0600-000010000000}">
      <text>
        <r>
          <rPr>
            <b/>
            <sz val="9"/>
            <color indexed="81"/>
            <rFont val="Tahoma"/>
            <family val="2"/>
          </rPr>
          <t xml:space="preserve">Administrator:
</t>
        </r>
        <r>
          <rPr>
            <sz val="9"/>
            <color indexed="81"/>
            <rFont val="Tahoma"/>
            <family val="2"/>
          </rPr>
          <t>Please refer to catalogue for pricing, as there are 3 different oxygen sources (concentrator, cylinder and pipe supply) with a range of prices. Users are advised to insert the price, or weighted average price, corresponding to the type used in modelled setting.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Beth Evans</author>
  </authors>
  <commentList>
    <comment ref="B22" authorId="0" shapeId="0" xr:uid="{00000000-0006-0000-0900-000001000000}">
      <text>
        <r>
          <rPr>
            <sz val="9"/>
            <color indexed="81"/>
            <rFont val="Tahoma"/>
            <family val="2"/>
          </rPr>
          <t xml:space="preserve">HCWs refers to physicians, nursing professionals, and paramedical practitioners (ILO ISCO codes 2240, 2211, 2212, 2221, 3221, 5321, 3256)
</t>
        </r>
      </text>
    </comment>
    <comment ref="B23" authorId="0" shapeId="0" xr:uid="{00000000-0006-0000-0900-000002000000}">
      <text>
        <r>
          <rPr>
            <sz val="9"/>
            <color indexed="81"/>
            <rFont val="Tahoma"/>
            <family val="2"/>
          </rPr>
          <t>ILO ISCO code 9112</t>
        </r>
      </text>
    </comment>
    <comment ref="B25" authorId="0" shapeId="0" xr:uid="{00000000-0006-0000-0900-000003000000}">
      <text>
        <r>
          <rPr>
            <sz val="9"/>
            <color indexed="81"/>
            <rFont val="Tahoma"/>
            <family val="2"/>
          </rPr>
          <t xml:space="preserve">ILO ISCO codes 8322, 3258
</t>
        </r>
      </text>
    </comment>
    <comment ref="B32" authorId="0" shapeId="0" xr:uid="{00000000-0006-0000-0900-000004000000}">
      <text>
        <r>
          <rPr>
            <sz val="9"/>
            <color indexed="81"/>
            <rFont val="Tahoma"/>
            <family val="2"/>
          </rPr>
          <t xml:space="preserve">HCWs refers to physicians, nursing professionals, and paramedical practitioners (ILO ISCO codes 2240, 2211, 2212, 2221, 3221, 5321, 3256)
</t>
        </r>
      </text>
    </comment>
    <comment ref="B33" authorId="0" shapeId="0" xr:uid="{00000000-0006-0000-0900-000005000000}">
      <text>
        <r>
          <rPr>
            <sz val="9"/>
            <color indexed="81"/>
            <rFont val="Tahoma"/>
            <family val="2"/>
          </rPr>
          <t>ILO ISCO code 9112</t>
        </r>
      </text>
    </comment>
    <comment ref="B43" authorId="0" shapeId="0" xr:uid="{00000000-0006-0000-0900-000006000000}">
      <text>
        <r>
          <rPr>
            <sz val="9"/>
            <color indexed="81"/>
            <rFont val="Tahoma"/>
            <family val="2"/>
          </rPr>
          <t xml:space="preserve">HCWs refers to physicians, nursing professionals, and paramedical practitioners (ILO ISCO codes 2240, 2211, 2212, 2221, 3221, 5321, 3256)
</t>
        </r>
      </text>
    </comment>
    <comment ref="B48" authorId="0" shapeId="0" xr:uid="{00000000-0006-0000-0900-000007000000}">
      <text>
        <r>
          <rPr>
            <sz val="9"/>
            <color indexed="81"/>
            <rFont val="Tahoma"/>
            <family val="2"/>
          </rPr>
          <t>Refers to Medical and Pathology Laboratory Technicians (ILO ISCO code 3212)</t>
        </r>
      </text>
    </comment>
    <comment ref="B49" authorId="0" shapeId="0" xr:uid="{00000000-0006-0000-0900-000008000000}">
      <text>
        <r>
          <rPr>
            <sz val="9"/>
            <color indexed="81"/>
            <rFont val="Tahoma"/>
            <family val="2"/>
          </rPr>
          <t>ILO ISCO code 9112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Zack Panos</author>
  </authors>
  <commentList>
    <comment ref="Q6" authorId="0" shapeId="0" xr:uid="{00000000-0006-0000-0F00-000001000000}">
      <text>
        <r>
          <rPr>
            <sz val="9"/>
            <color indexed="81"/>
            <rFont val="Tahoma"/>
            <family val="2"/>
          </rPr>
          <t>Community health workers, ILO 3253</t>
        </r>
        <r>
          <rPr>
            <sz val="9"/>
            <color indexed="81"/>
            <rFont val="Tahoma"/>
            <family val="2"/>
          </rPr>
          <t xml:space="preserve">
</t>
        </r>
      </text>
    </comment>
  </commentList>
</comments>
</file>

<file path=xl/sharedStrings.xml><?xml version="1.0" encoding="utf-8"?>
<sst xmlns="http://schemas.openxmlformats.org/spreadsheetml/2006/main" count="9445" uniqueCount="1879">
  <si>
    <t>AFG</t>
  </si>
  <si>
    <t>AND</t>
  </si>
  <si>
    <t>ARE</t>
  </si>
  <si>
    <t>ARM</t>
  </si>
  <si>
    <t>AUS</t>
  </si>
  <si>
    <t>AUT</t>
  </si>
  <si>
    <t>AZE</t>
  </si>
  <si>
    <t>BDI</t>
  </si>
  <si>
    <t>BEL</t>
  </si>
  <si>
    <t>BEN</t>
  </si>
  <si>
    <t>BFA</t>
  </si>
  <si>
    <t>BGD</t>
  </si>
  <si>
    <t>BGR</t>
  </si>
  <si>
    <t>BHR</t>
  </si>
  <si>
    <t>BHS</t>
  </si>
  <si>
    <t>BIH</t>
  </si>
  <si>
    <t>BLR</t>
  </si>
  <si>
    <t>BLZ</t>
  </si>
  <si>
    <t>BOL</t>
  </si>
  <si>
    <t>BRA</t>
  </si>
  <si>
    <t>BRN</t>
  </si>
  <si>
    <t>BTN</t>
  </si>
  <si>
    <t>BWA</t>
  </si>
  <si>
    <t>CHE</t>
  </si>
  <si>
    <t>CHL</t>
  </si>
  <si>
    <t>CHN</t>
  </si>
  <si>
    <t>CIV</t>
  </si>
  <si>
    <t>CMR</t>
  </si>
  <si>
    <t>COD</t>
  </si>
  <si>
    <t>COG</t>
  </si>
  <si>
    <t>CPV</t>
  </si>
  <si>
    <t>CRI</t>
  </si>
  <si>
    <t>CYP</t>
  </si>
  <si>
    <t>CZE</t>
  </si>
  <si>
    <t>DEU</t>
  </si>
  <si>
    <t>DJI</t>
  </si>
  <si>
    <t>DNK</t>
  </si>
  <si>
    <t>DZA</t>
  </si>
  <si>
    <t>ECU</t>
  </si>
  <si>
    <t>EGY</t>
  </si>
  <si>
    <t>ESP</t>
  </si>
  <si>
    <t>EST</t>
  </si>
  <si>
    <t>ETH</t>
  </si>
  <si>
    <t>FIN</t>
  </si>
  <si>
    <t>FJI</t>
  </si>
  <si>
    <t>FRA</t>
  </si>
  <si>
    <t>GAB</t>
  </si>
  <si>
    <t>GBR</t>
  </si>
  <si>
    <t>GEO</t>
  </si>
  <si>
    <t>GIN</t>
  </si>
  <si>
    <t>GMB</t>
  </si>
  <si>
    <t>GRC</t>
  </si>
  <si>
    <t>GRD</t>
  </si>
  <si>
    <t>GTM</t>
  </si>
  <si>
    <t>GUY</t>
  </si>
  <si>
    <t>HRV</t>
  </si>
  <si>
    <t>HTI</t>
  </si>
  <si>
    <t>HUN</t>
  </si>
  <si>
    <t>IDN</t>
  </si>
  <si>
    <t>IND</t>
  </si>
  <si>
    <t>IRL</t>
  </si>
  <si>
    <t>IRN</t>
  </si>
  <si>
    <t>IRQ</t>
  </si>
  <si>
    <t>ISL</t>
  </si>
  <si>
    <t>ISR</t>
  </si>
  <si>
    <t>ITA</t>
  </si>
  <si>
    <t>JAM</t>
  </si>
  <si>
    <t>JOR</t>
  </si>
  <si>
    <t>JPN</t>
  </si>
  <si>
    <t>KAZ</t>
  </si>
  <si>
    <t>KEN</t>
  </si>
  <si>
    <t>KGZ</t>
  </si>
  <si>
    <t>KHM</t>
  </si>
  <si>
    <t>KIR</t>
  </si>
  <si>
    <t>KOR</t>
  </si>
  <si>
    <t>KWT</t>
  </si>
  <si>
    <t>LAO</t>
  </si>
  <si>
    <t>LBN</t>
  </si>
  <si>
    <t>LBR</t>
  </si>
  <si>
    <t>LBY</t>
  </si>
  <si>
    <t>LCA</t>
  </si>
  <si>
    <t>LKA</t>
  </si>
  <si>
    <t>LTU</t>
  </si>
  <si>
    <t>LUX</t>
  </si>
  <si>
    <t>LVA</t>
  </si>
  <si>
    <t>MAR</t>
  </si>
  <si>
    <t>MCO</t>
  </si>
  <si>
    <t>MDA</t>
  </si>
  <si>
    <t>MDG</t>
  </si>
  <si>
    <t>MDV</t>
  </si>
  <si>
    <t>MEX</t>
  </si>
  <si>
    <t>MHL</t>
  </si>
  <si>
    <t>MLI</t>
  </si>
  <si>
    <t>MLT</t>
  </si>
  <si>
    <t>MMR</t>
  </si>
  <si>
    <t>MNE</t>
  </si>
  <si>
    <t>MNG</t>
  </si>
  <si>
    <t>MOZ</t>
  </si>
  <si>
    <t>MRT</t>
  </si>
  <si>
    <t>MUS</t>
  </si>
  <si>
    <t>MWI</t>
  </si>
  <si>
    <t>MYS</t>
  </si>
  <si>
    <t>NAM</t>
  </si>
  <si>
    <t>NER</t>
  </si>
  <si>
    <t>NGA</t>
  </si>
  <si>
    <t>NIC</t>
  </si>
  <si>
    <t>NLD</t>
  </si>
  <si>
    <t>NOR</t>
  </si>
  <si>
    <t>NPL</t>
  </si>
  <si>
    <t>NRU</t>
  </si>
  <si>
    <t>NZL</t>
  </si>
  <si>
    <t>OMN</t>
  </si>
  <si>
    <t>PAK</t>
  </si>
  <si>
    <t>PAN</t>
  </si>
  <si>
    <t>PER</t>
  </si>
  <si>
    <t>PHL</t>
  </si>
  <si>
    <t>PNG</t>
  </si>
  <si>
    <t>POL</t>
  </si>
  <si>
    <t>PRT</t>
  </si>
  <si>
    <t>PRY</t>
  </si>
  <si>
    <t>QAT</t>
  </si>
  <si>
    <t>ROU</t>
  </si>
  <si>
    <t>RUS</t>
  </si>
  <si>
    <t>RWA</t>
  </si>
  <si>
    <t>SAU</t>
  </si>
  <si>
    <t>SDN</t>
  </si>
  <si>
    <t>SEN</t>
  </si>
  <si>
    <t>SGP</t>
  </si>
  <si>
    <t>SLB</t>
  </si>
  <si>
    <t>SLE</t>
  </si>
  <si>
    <t>SMR</t>
  </si>
  <si>
    <t>SRB</t>
  </si>
  <si>
    <t>SVN</t>
  </si>
  <si>
    <t>SWE</t>
  </si>
  <si>
    <t>SWZ</t>
  </si>
  <si>
    <t>SYC</t>
  </si>
  <si>
    <t>SYR</t>
  </si>
  <si>
    <t>TGO</t>
  </si>
  <si>
    <t>THA</t>
  </si>
  <si>
    <t>TKM</t>
  </si>
  <si>
    <t>TLS</t>
  </si>
  <si>
    <t>TON</t>
  </si>
  <si>
    <t>TTO</t>
  </si>
  <si>
    <t>TUN</t>
  </si>
  <si>
    <t>TUR</t>
  </si>
  <si>
    <t>TUV</t>
  </si>
  <si>
    <t>TZA</t>
  </si>
  <si>
    <t>UGA</t>
  </si>
  <si>
    <t>UKR</t>
  </si>
  <si>
    <t>USA</t>
  </si>
  <si>
    <t>UZB</t>
  </si>
  <si>
    <t>VUT</t>
  </si>
  <si>
    <t>WSM</t>
  </si>
  <si>
    <t>YEM</t>
  </si>
  <si>
    <t>ZAF</t>
  </si>
  <si>
    <t>ZMB</t>
  </si>
  <si>
    <t>ZWE</t>
  </si>
  <si>
    <t>COM</t>
  </si>
  <si>
    <t>PRK</t>
  </si>
  <si>
    <t>CAN</t>
  </si>
  <si>
    <t>VNM</t>
  </si>
  <si>
    <t>CUB</t>
  </si>
  <si>
    <t>GHA</t>
  </si>
  <si>
    <t>TJK</t>
  </si>
  <si>
    <t>SLV</t>
  </si>
  <si>
    <t>AGO</t>
  </si>
  <si>
    <t>HND</t>
  </si>
  <si>
    <t>LSO</t>
  </si>
  <si>
    <t>ERI</t>
  </si>
  <si>
    <t>TCD</t>
  </si>
  <si>
    <t>SUR</t>
  </si>
  <si>
    <t>SOM</t>
  </si>
  <si>
    <t>GNB</t>
  </si>
  <si>
    <t>CAF</t>
  </si>
  <si>
    <t>GNQ</t>
  </si>
  <si>
    <t>STP</t>
  </si>
  <si>
    <t>Pakistan</t>
  </si>
  <si>
    <t>Nigeria</t>
  </si>
  <si>
    <t>South Africa</t>
  </si>
  <si>
    <t>Nepal</t>
  </si>
  <si>
    <t>Country code</t>
  </si>
  <si>
    <t>Population</t>
  </si>
  <si>
    <t>Angola</t>
  </si>
  <si>
    <t>Benin</t>
  </si>
  <si>
    <t>Botswana</t>
  </si>
  <si>
    <t>Burkina Faso</t>
  </si>
  <si>
    <t>Burundi</t>
  </si>
  <si>
    <t>Cameroon</t>
  </si>
  <si>
    <t>Central African Republic</t>
  </si>
  <si>
    <t>Chad</t>
  </si>
  <si>
    <t>Comoros</t>
  </si>
  <si>
    <t>Equatorial Guinea</t>
  </si>
  <si>
    <t>Eritrea</t>
  </si>
  <si>
    <t>ASM</t>
  </si>
  <si>
    <t>Ethiopia</t>
  </si>
  <si>
    <t>Gabon</t>
  </si>
  <si>
    <t>Ghana</t>
  </si>
  <si>
    <t>Guinea</t>
  </si>
  <si>
    <t>Guinea-Bissau</t>
  </si>
  <si>
    <t>Kenya</t>
  </si>
  <si>
    <t>Lesotho</t>
  </si>
  <si>
    <t>Liberia</t>
  </si>
  <si>
    <t>Madagascar</t>
  </si>
  <si>
    <t>Malawi</t>
  </si>
  <si>
    <t>Mali</t>
  </si>
  <si>
    <t>Mauritania</t>
  </si>
  <si>
    <t>Mauritius</t>
  </si>
  <si>
    <t>Mozambique</t>
  </si>
  <si>
    <t>Namibia</t>
  </si>
  <si>
    <t>Niger</t>
  </si>
  <si>
    <t>Rwanda</t>
  </si>
  <si>
    <t>Sao Tome and Principe</t>
  </si>
  <si>
    <t>Senegal</t>
  </si>
  <si>
    <t>Seychelles</t>
  </si>
  <si>
    <t>Sierra Leone</t>
  </si>
  <si>
    <t>Togo</t>
  </si>
  <si>
    <t>Uganda</t>
  </si>
  <si>
    <t>Zambia</t>
  </si>
  <si>
    <t>Zimbabwe</t>
  </si>
  <si>
    <t>Bolivia</t>
  </si>
  <si>
    <t>Chile</t>
  </si>
  <si>
    <t>Cuba</t>
  </si>
  <si>
    <t>El Salvador</t>
  </si>
  <si>
    <t>Guatemala</t>
  </si>
  <si>
    <t>Guyana</t>
  </si>
  <si>
    <t>Haiti</t>
  </si>
  <si>
    <t>Honduras</t>
  </si>
  <si>
    <t>Nicaragua</t>
  </si>
  <si>
    <t>Paraguay</t>
  </si>
  <si>
    <t>Suriname</t>
  </si>
  <si>
    <t>Afghanistan</t>
  </si>
  <si>
    <t>Djibouti</t>
  </si>
  <si>
    <t>Somalia</t>
  </si>
  <si>
    <t>Sudan</t>
  </si>
  <si>
    <t>Armenia</t>
  </si>
  <si>
    <t>Azerbaijan</t>
  </si>
  <si>
    <t>Georgia</t>
  </si>
  <si>
    <t>Kosovo</t>
  </si>
  <si>
    <t>Tajikistan</t>
  </si>
  <si>
    <t>Ukraine</t>
  </si>
  <si>
    <t>Bangladesh</t>
  </si>
  <si>
    <t>Bhutan</t>
  </si>
  <si>
    <t>Indonesia</t>
  </si>
  <si>
    <t>Maldives</t>
  </si>
  <si>
    <t>Myanmar</t>
  </si>
  <si>
    <t>Sri Lanka</t>
  </si>
  <si>
    <t>Timor-Leste</t>
  </si>
  <si>
    <t>Cambodia</t>
  </si>
  <si>
    <t>Fiji</t>
  </si>
  <si>
    <t>Kiribati</t>
  </si>
  <si>
    <t>Mongolia</t>
  </si>
  <si>
    <t>Nauru</t>
  </si>
  <si>
    <t>Papua New Guinea</t>
  </si>
  <si>
    <t>Philippines</t>
  </si>
  <si>
    <t>Samoa</t>
  </si>
  <si>
    <t>Solomon Islands</t>
  </si>
  <si>
    <t>Tonga</t>
  </si>
  <si>
    <t>Tuvalu</t>
  </si>
  <si>
    <t>Vanuatu</t>
  </si>
  <si>
    <t>Total</t>
  </si>
  <si>
    <t>Country</t>
  </si>
  <si>
    <t>Triple packaging boxes</t>
  </si>
  <si>
    <t>Diagnostics</t>
  </si>
  <si>
    <t>PPE</t>
  </si>
  <si>
    <t>Face shield</t>
  </si>
  <si>
    <t>Scrubs, tops</t>
  </si>
  <si>
    <t>Scrubs, pants</t>
  </si>
  <si>
    <t>Alcohol-based hand rub</t>
  </si>
  <si>
    <t>Bio-hazardous bag</t>
  </si>
  <si>
    <t>Gum boots</t>
  </si>
  <si>
    <t>HCW</t>
  </si>
  <si>
    <t>Hygienist</t>
  </si>
  <si>
    <t>Lt</t>
  </si>
  <si>
    <t>Liquid soap</t>
  </si>
  <si>
    <t>Kg</t>
  </si>
  <si>
    <t>Gloves, surgical</t>
  </si>
  <si>
    <t>Reusable</t>
  </si>
  <si>
    <t>Labs</t>
  </si>
  <si>
    <t>Key</t>
  </si>
  <si>
    <t>Input from other tab</t>
  </si>
  <si>
    <t>Assumption entered in this tab</t>
  </si>
  <si>
    <t>Output variable calculated in this tab</t>
  </si>
  <si>
    <t>Patient</t>
  </si>
  <si>
    <t>Caretaker</t>
  </si>
  <si>
    <t>Ambulancier</t>
  </si>
  <si>
    <t>Gloves, examination</t>
  </si>
  <si>
    <t>Laboratories</t>
  </si>
  <si>
    <t>Unit</t>
  </si>
  <si>
    <t>Pair</t>
  </si>
  <si>
    <t>Each</t>
  </si>
  <si>
    <t>Goggles, protective</t>
  </si>
  <si>
    <t>Apron, heavy duty, reusable</t>
  </si>
  <si>
    <t>Category</t>
  </si>
  <si>
    <t>Item</t>
  </si>
  <si>
    <t>Grouping</t>
  </si>
  <si>
    <t>IPC</t>
  </si>
  <si>
    <t>Gloves, heavy duty</t>
  </si>
  <si>
    <t>Hygiene</t>
  </si>
  <si>
    <t>Chlorine, HTH 70%</t>
  </si>
  <si>
    <t>Safety box</t>
  </si>
  <si>
    <t>Apron, disposable</t>
  </si>
  <si>
    <t>Gown, protective</t>
  </si>
  <si>
    <t>Case management</t>
  </si>
  <si>
    <t xml:space="preserve">    of which, severe</t>
  </si>
  <si>
    <t xml:space="preserve">    of which, mild</t>
  </si>
  <si>
    <t xml:space="preserve">    of which, critical</t>
  </si>
  <si>
    <t>Week</t>
  </si>
  <si>
    <t>Suction bulb, for newborn, reusable, autoclavable</t>
  </si>
  <si>
    <t>Table, resuscitation, neonate</t>
  </si>
  <si>
    <t>Bed</t>
  </si>
  <si>
    <t>Total number for calculated weeks</t>
  </si>
  <si>
    <t>Population, total</t>
  </si>
  <si>
    <t>Albania</t>
  </si>
  <si>
    <t>ALB</t>
  </si>
  <si>
    <t>Algeria</t>
  </si>
  <si>
    <t>American Samoa</t>
  </si>
  <si>
    <t>Andorra</t>
  </si>
  <si>
    <t>Antigua and Barbuda</t>
  </si>
  <si>
    <t>ATG</t>
  </si>
  <si>
    <t>Arab World</t>
  </si>
  <si>
    <t>ARB</t>
  </si>
  <si>
    <t>Argentina</t>
  </si>
  <si>
    <t>ARG</t>
  </si>
  <si>
    <t>Aruba</t>
  </si>
  <si>
    <t>ABW</t>
  </si>
  <si>
    <t>Australia</t>
  </si>
  <si>
    <t>Austria</t>
  </si>
  <si>
    <t>Bahamas, The</t>
  </si>
  <si>
    <t>Bahrain</t>
  </si>
  <si>
    <t>Barbados</t>
  </si>
  <si>
    <t>BRB</t>
  </si>
  <si>
    <t>Belarus</t>
  </si>
  <si>
    <t>Belgium</t>
  </si>
  <si>
    <t>Belize</t>
  </si>
  <si>
    <t>Bermuda</t>
  </si>
  <si>
    <t>BMU</t>
  </si>
  <si>
    <t>Bosnia and Herzegovina</t>
  </si>
  <si>
    <t>Brazil</t>
  </si>
  <si>
    <t>British Virgin Islands</t>
  </si>
  <si>
    <t>VGB</t>
  </si>
  <si>
    <t>Brunei Darussalam</t>
  </si>
  <si>
    <t>Bulgaria</t>
  </si>
  <si>
    <t>Cabo Verde</t>
  </si>
  <si>
    <t>Canada</t>
  </si>
  <si>
    <t>Caribbean small states</t>
  </si>
  <si>
    <t>CSS</t>
  </si>
  <si>
    <t>Cayman Islands</t>
  </si>
  <si>
    <t>CYM</t>
  </si>
  <si>
    <t>Central Europe and the Baltics</t>
  </si>
  <si>
    <t>CEB</t>
  </si>
  <si>
    <t>Channel Islands</t>
  </si>
  <si>
    <t>CHI</t>
  </si>
  <si>
    <t>China</t>
  </si>
  <si>
    <t>Colombia</t>
  </si>
  <si>
    <t>COL</t>
  </si>
  <si>
    <t>Congo, Dem. Rep.</t>
  </si>
  <si>
    <t>Congo, Rep.</t>
  </si>
  <si>
    <t>Costa Rica</t>
  </si>
  <si>
    <t>Cote d'Ivoire</t>
  </si>
  <si>
    <t>Croatia</t>
  </si>
  <si>
    <t>Curacao</t>
  </si>
  <si>
    <t>CUW</t>
  </si>
  <si>
    <t>Cyprus</t>
  </si>
  <si>
    <t>Czech Republic</t>
  </si>
  <si>
    <t>Denmark</t>
  </si>
  <si>
    <t>Dominica</t>
  </si>
  <si>
    <t>DMA</t>
  </si>
  <si>
    <t>Dominican Republic</t>
  </si>
  <si>
    <t>DOM</t>
  </si>
  <si>
    <t>Early-demographic dividend</t>
  </si>
  <si>
    <t>EAR</t>
  </si>
  <si>
    <t>East Asia &amp; Pacific</t>
  </si>
  <si>
    <t>EAS</t>
  </si>
  <si>
    <t>East Asia &amp; Pacific (excluding high income)</t>
  </si>
  <si>
    <t>EAP</t>
  </si>
  <si>
    <t>East Asia &amp; Pacific (IDA &amp; IBRD countries)</t>
  </si>
  <si>
    <t>TEA</t>
  </si>
  <si>
    <t>Ecuador</t>
  </si>
  <si>
    <t>Egypt, Arab Rep.</t>
  </si>
  <si>
    <t>Estonia</t>
  </si>
  <si>
    <t>Eswatini</t>
  </si>
  <si>
    <t>Euro area</t>
  </si>
  <si>
    <t>EMU</t>
  </si>
  <si>
    <t>Europe &amp; Central Asia</t>
  </si>
  <si>
    <t>ECS</t>
  </si>
  <si>
    <t>Europe &amp; Central Asia (excluding high income)</t>
  </si>
  <si>
    <t>ECA</t>
  </si>
  <si>
    <t>Europe &amp; Central Asia (IDA &amp; IBRD countries)</t>
  </si>
  <si>
    <t>TEC</t>
  </si>
  <si>
    <t>European Union</t>
  </si>
  <si>
    <t>EUU</t>
  </si>
  <si>
    <t>Faroe Islands</t>
  </si>
  <si>
    <t>FRO</t>
  </si>
  <si>
    <t>Finland</t>
  </si>
  <si>
    <t>Fragile and conflict affected situations</t>
  </si>
  <si>
    <t>FCS</t>
  </si>
  <si>
    <t>France</t>
  </si>
  <si>
    <t>French Polynesia</t>
  </si>
  <si>
    <t>PYF</t>
  </si>
  <si>
    <t>Gambia, The</t>
  </si>
  <si>
    <t>Germany</t>
  </si>
  <si>
    <t>Gibraltar</t>
  </si>
  <si>
    <t>GIB</t>
  </si>
  <si>
    <t>Greece</t>
  </si>
  <si>
    <t>Greenland</t>
  </si>
  <si>
    <t>GRL</t>
  </si>
  <si>
    <t>Grenada</t>
  </si>
  <si>
    <t>Guam</t>
  </si>
  <si>
    <t>GUM</t>
  </si>
  <si>
    <t>Heavily indebted poor countries (HIPC)</t>
  </si>
  <si>
    <t>HPC</t>
  </si>
  <si>
    <t>High income</t>
  </si>
  <si>
    <t>HIC</t>
  </si>
  <si>
    <t>Hong Kong SAR, China</t>
  </si>
  <si>
    <t>HKG</t>
  </si>
  <si>
    <t>Hungary</t>
  </si>
  <si>
    <t>Iceland</t>
  </si>
  <si>
    <t>India</t>
  </si>
  <si>
    <t>Iran, Islamic Rep.</t>
  </si>
  <si>
    <t>Iraq</t>
  </si>
  <si>
    <t>Ireland</t>
  </si>
  <si>
    <t>Isle of Man</t>
  </si>
  <si>
    <t>IMN</t>
  </si>
  <si>
    <t>Israel</t>
  </si>
  <si>
    <t>Italy</t>
  </si>
  <si>
    <t>Jamaica</t>
  </si>
  <si>
    <t>Japan</t>
  </si>
  <si>
    <t>Jordan</t>
  </si>
  <si>
    <t>Kazakhstan</t>
  </si>
  <si>
    <t>Korea, Dem. People’s Rep.</t>
  </si>
  <si>
    <t>Korea, Rep.</t>
  </si>
  <si>
    <t>XKX</t>
  </si>
  <si>
    <t>Kuwait</t>
  </si>
  <si>
    <t>Kyrgyz Republic</t>
  </si>
  <si>
    <t>Lao PDR</t>
  </si>
  <si>
    <t>Late-demographic dividend</t>
  </si>
  <si>
    <t>LTE</t>
  </si>
  <si>
    <t>Latin America &amp; Caribbean</t>
  </si>
  <si>
    <t>LCN</t>
  </si>
  <si>
    <t>Latin America &amp; Caribbean (excluding high income)</t>
  </si>
  <si>
    <t>LAC</t>
  </si>
  <si>
    <t>Latin America &amp; the Caribbean (IDA &amp; IBRD countries)</t>
  </si>
  <si>
    <t>TLA</t>
  </si>
  <si>
    <t>Latvia</t>
  </si>
  <si>
    <t>Least developed countries: UN classification</t>
  </si>
  <si>
    <t>LDC</t>
  </si>
  <si>
    <t>Lebanon</t>
  </si>
  <si>
    <t>Libya</t>
  </si>
  <si>
    <t>Liechtenstein</t>
  </si>
  <si>
    <t>LIE</t>
  </si>
  <si>
    <t>Lithuania</t>
  </si>
  <si>
    <t>Low &amp; middle income</t>
  </si>
  <si>
    <t>LMY</t>
  </si>
  <si>
    <t>Low income</t>
  </si>
  <si>
    <t>LIC</t>
  </si>
  <si>
    <t>Lower middle income</t>
  </si>
  <si>
    <t>LMC</t>
  </si>
  <si>
    <t>Luxembourg</t>
  </si>
  <si>
    <t>Macao SAR, China</t>
  </si>
  <si>
    <t>MAC</t>
  </si>
  <si>
    <t>Malaysia</t>
  </si>
  <si>
    <t>Malta</t>
  </si>
  <si>
    <t>Marshall Islands</t>
  </si>
  <si>
    <t>Mexico</t>
  </si>
  <si>
    <t>Micronesia, Fed. Sts.</t>
  </si>
  <si>
    <t>FSM</t>
  </si>
  <si>
    <t>Middle East &amp; North Africa</t>
  </si>
  <si>
    <t>MEA</t>
  </si>
  <si>
    <t>Middle East &amp; North Africa (excluding high income)</t>
  </si>
  <si>
    <t>MNA</t>
  </si>
  <si>
    <t>Middle East &amp; North Africa (IDA &amp; IBRD countries)</t>
  </si>
  <si>
    <t>TMN</t>
  </si>
  <si>
    <t>Middle income</t>
  </si>
  <si>
    <t>MIC</t>
  </si>
  <si>
    <t>Moldova</t>
  </si>
  <si>
    <t>Monaco</t>
  </si>
  <si>
    <t>Montenegro</t>
  </si>
  <si>
    <t>Morocco</t>
  </si>
  <si>
    <t>Netherlands</t>
  </si>
  <si>
    <t>New Caledonia</t>
  </si>
  <si>
    <t>NCL</t>
  </si>
  <si>
    <t>New Zealand</t>
  </si>
  <si>
    <t>North America</t>
  </si>
  <si>
    <t>NAC</t>
  </si>
  <si>
    <t>North Macedonia</t>
  </si>
  <si>
    <t>MKD</t>
  </si>
  <si>
    <t>Northern Mariana Islands</t>
  </si>
  <si>
    <t>MNP</t>
  </si>
  <si>
    <t>Norway</t>
  </si>
  <si>
    <t>Not classified</t>
  </si>
  <si>
    <t>INX</t>
  </si>
  <si>
    <t>OECD members</t>
  </si>
  <si>
    <t>OED</t>
  </si>
  <si>
    <t>Oman</t>
  </si>
  <si>
    <t>Other small states</t>
  </si>
  <si>
    <t>OSS</t>
  </si>
  <si>
    <t>Pacific island small states</t>
  </si>
  <si>
    <t>PSS</t>
  </si>
  <si>
    <t>Palau</t>
  </si>
  <si>
    <t>PLW</t>
  </si>
  <si>
    <t>Panama</t>
  </si>
  <si>
    <t>Peru</t>
  </si>
  <si>
    <t>Poland</t>
  </si>
  <si>
    <t>Portugal</t>
  </si>
  <si>
    <t>Post-demographic dividend</t>
  </si>
  <si>
    <t>PST</t>
  </si>
  <si>
    <t>Pre-demographic dividend</t>
  </si>
  <si>
    <t>PRE</t>
  </si>
  <si>
    <t>Puerto Rico</t>
  </si>
  <si>
    <t>PRI</t>
  </si>
  <si>
    <t>Qatar</t>
  </si>
  <si>
    <t>Romania</t>
  </si>
  <si>
    <t>Russian Federation</t>
  </si>
  <si>
    <t>San Marino</t>
  </si>
  <si>
    <t>Saudi Arabia</t>
  </si>
  <si>
    <t>Serbia</t>
  </si>
  <si>
    <t>Singapore</t>
  </si>
  <si>
    <t>Sint Maarten (Dutch part)</t>
  </si>
  <si>
    <t>SXM</t>
  </si>
  <si>
    <t>Slovak Republic</t>
  </si>
  <si>
    <t>SVK</t>
  </si>
  <si>
    <t>Slovenia</t>
  </si>
  <si>
    <t>Small states</t>
  </si>
  <si>
    <t>SST</t>
  </si>
  <si>
    <t>South Asia</t>
  </si>
  <si>
    <t>SAS</t>
  </si>
  <si>
    <t>South Asia (IDA &amp; IBRD)</t>
  </si>
  <si>
    <t>TSA</t>
  </si>
  <si>
    <t>South Sudan</t>
  </si>
  <si>
    <t>SSD</t>
  </si>
  <si>
    <t>Spain</t>
  </si>
  <si>
    <t>St. Kitts and Nevis</t>
  </si>
  <si>
    <t>KNA</t>
  </si>
  <si>
    <t>St. Lucia</t>
  </si>
  <si>
    <t>St. Martin (French part)</t>
  </si>
  <si>
    <t>MAF</t>
  </si>
  <si>
    <t>St. Vincent and the Grenadines</t>
  </si>
  <si>
    <t>VCT</t>
  </si>
  <si>
    <t>Sub-Saharan Africa</t>
  </si>
  <si>
    <t>SSF</t>
  </si>
  <si>
    <t>Sub-Saharan Africa (excluding high income)</t>
  </si>
  <si>
    <t>SSA</t>
  </si>
  <si>
    <t>Sub-Saharan Africa (IDA &amp; IBRD countries)</t>
  </si>
  <si>
    <t>TSS</t>
  </si>
  <si>
    <t>Sweden</t>
  </si>
  <si>
    <t>Switzerland</t>
  </si>
  <si>
    <t>Syrian Arab Republic</t>
  </si>
  <si>
    <t>Tanzania</t>
  </si>
  <si>
    <t>Thailand</t>
  </si>
  <si>
    <t>Trinidad and Tobago</t>
  </si>
  <si>
    <t>Tunisia</t>
  </si>
  <si>
    <t>Turkey</t>
  </si>
  <si>
    <t>Turkmenistan</t>
  </si>
  <si>
    <t>Turks and Caicos Islands</t>
  </si>
  <si>
    <t>TCA</t>
  </si>
  <si>
    <t>United Arab Emirates</t>
  </si>
  <si>
    <t>United Kingdom</t>
  </si>
  <si>
    <t>United States</t>
  </si>
  <si>
    <t>Upper middle income</t>
  </si>
  <si>
    <t>UMC</t>
  </si>
  <si>
    <t>Uruguay</t>
  </si>
  <si>
    <t>URY</t>
  </si>
  <si>
    <t>Uzbekistan</t>
  </si>
  <si>
    <t>Venezuela, RB</t>
  </si>
  <si>
    <t>VEN</t>
  </si>
  <si>
    <t>Vietnam</t>
  </si>
  <si>
    <t>Virgin Islands (U.S.)</t>
  </si>
  <si>
    <t>VIR</t>
  </si>
  <si>
    <t>West Bank and Gaza</t>
  </si>
  <si>
    <t>PSE</t>
  </si>
  <si>
    <t>World</t>
  </si>
  <si>
    <t>WLD</t>
  </si>
  <si>
    <t>Yemen, Rep.</t>
  </si>
  <si>
    <t>Country Name</t>
  </si>
  <si>
    <t>Country Code</t>
  </si>
  <si>
    <t>Lab extraction kit (250 extractions)</t>
  </si>
  <si>
    <t>RT-PCR kit (100 tests)</t>
  </si>
  <si>
    <t>High</t>
  </si>
  <si>
    <t>Low</t>
  </si>
  <si>
    <t>Medium</t>
  </si>
  <si>
    <t>Covid19 doubling time: 11 March AEM Presentation WHO</t>
  </si>
  <si>
    <t>Worst-case scenario, early Italy</t>
  </si>
  <si>
    <t>Clinical Attack Rate scenario</t>
  </si>
  <si>
    <t>Clinical Attack Rate</t>
  </si>
  <si>
    <t>Country population</t>
  </si>
  <si>
    <t>Fastest doubling rate of virus - highest case load expected</t>
  </si>
  <si>
    <t>Medium doubling rate of virus - medium case load expected</t>
  </si>
  <si>
    <t>Slowest doubling rate of virus - based on strict containment, lowest case load expected</t>
  </si>
  <si>
    <t>Intentionally blank</t>
  </si>
  <si>
    <t>Max # in any of the selected weeks</t>
  </si>
  <si>
    <t># of beds used by end of each week</t>
  </si>
  <si>
    <t>Yes</t>
  </si>
  <si>
    <t>No</t>
  </si>
  <si>
    <t>Inputs</t>
  </si>
  <si>
    <t>Patients recovering (or dying) from illness, per week</t>
  </si>
  <si>
    <t>Usage</t>
  </si>
  <si>
    <t>1/250 per test - wastage</t>
  </si>
  <si>
    <t>1/100 per test - wastage</t>
  </si>
  <si>
    <t>Total number of cases (based on epi curves)</t>
  </si>
  <si>
    <t xml:space="preserve">     of which severe beds</t>
  </si>
  <si>
    <t>1 per test</t>
  </si>
  <si>
    <t>Total for selected period</t>
  </si>
  <si>
    <t xml:space="preserve">     of which, total # of mild cases</t>
  </si>
  <si>
    <t xml:space="preserve">     of which, total # of severe hospitalized patients</t>
  </si>
  <si>
    <t xml:space="preserve">    of which, total # of critical hospitalized patients</t>
  </si>
  <si>
    <t>Slow</t>
  </si>
  <si>
    <t>Fast</t>
  </si>
  <si>
    <t>Combined</t>
  </si>
  <si>
    <t>Switches doubling speed from medium to slow after a certain number of weeks to flatten the curve</t>
  </si>
  <si>
    <t>Based on China</t>
  </si>
  <si>
    <t>Hospital facilities in use</t>
  </si>
  <si>
    <t>4 per facility (at max capacity)</t>
  </si>
  <si>
    <t>Max number of facilities with patients at end of period</t>
  </si>
  <si>
    <t>8 per facility per week</t>
  </si>
  <si>
    <t>Biomedical Equipment</t>
  </si>
  <si>
    <t>Based on China, low</t>
  </si>
  <si>
    <t>Based on China, high</t>
  </si>
  <si>
    <t>Very low</t>
  </si>
  <si>
    <t>Doubling rate options</t>
  </si>
  <si>
    <t>Explanation</t>
  </si>
  <si>
    <t>Diagnostic testing options</t>
  </si>
  <si>
    <t>Test everyone suspected, mild, severe + critical for COVID-19</t>
  </si>
  <si>
    <t>Attack rate options</t>
  </si>
  <si>
    <t>Details explanation behind all toggle-able options in "Total forecast by item" tab</t>
  </si>
  <si>
    <t>LPM needed for severe patients</t>
  </si>
  <si>
    <t>LPM needed for critical patients</t>
  </si>
  <si>
    <t>m3</t>
  </si>
  <si>
    <t>Detailed Equipment Quantification</t>
  </si>
  <si>
    <t>Toggles</t>
  </si>
  <si>
    <t>Indicator Name</t>
  </si>
  <si>
    <t>Indicator Code</t>
  </si>
  <si>
    <t>Most recent</t>
  </si>
  <si>
    <t>Hospital beds (per 1,000 people)</t>
  </si>
  <si>
    <t>SH.MED.BEDS.ZS</t>
  </si>
  <si>
    <t>IBRD only</t>
  </si>
  <si>
    <t>IBD</t>
  </si>
  <si>
    <t>IDA &amp; IBRD total</t>
  </si>
  <si>
    <t>IBT</t>
  </si>
  <si>
    <t>IDA total</t>
  </si>
  <si>
    <t>IDA</t>
  </si>
  <si>
    <t>IDA blend</t>
  </si>
  <si>
    <t>IDB</t>
  </si>
  <si>
    <t>IDA only</t>
  </si>
  <si>
    <t>IDX</t>
  </si>
  <si>
    <t>Use value</t>
  </si>
  <si>
    <t xml:space="preserve">   of which, critical</t>
  </si>
  <si>
    <t xml:space="preserve">   of which, severe</t>
  </si>
  <si>
    <t>Drugs and consumables</t>
  </si>
  <si>
    <t>Max severe beds, capped</t>
  </si>
  <si>
    <t>Max critical beds, capped</t>
  </si>
  <si>
    <t xml:space="preserve">     of which, total # of severe cases</t>
  </si>
  <si>
    <t xml:space="preserve">    of which, total # of critical cases</t>
  </si>
  <si>
    <t>Drugs modules 40 patients (severe + critical)</t>
  </si>
  <si>
    <t>Medical supply, consumables, 40 patients (severe + critical)</t>
  </si>
  <si>
    <t>With bed capping, severe patients that get admitted</t>
  </si>
  <si>
    <t>With bed capping, critical patients that get admitted</t>
  </si>
  <si>
    <t>With bed capping, severe patients that get discharged</t>
  </si>
  <si>
    <t>With bed capping, critical patients that get discharged</t>
  </si>
  <si>
    <t>With bed capping, severe beds in use</t>
  </si>
  <si>
    <t>With bed capping, critical beds in use</t>
  </si>
  <si>
    <t>New patients presenting per week</t>
  </si>
  <si>
    <t>Max per week for selected period</t>
  </si>
  <si>
    <t>Cumulative Mild Cases</t>
  </si>
  <si>
    <t>New Mild Cases</t>
  </si>
  <si>
    <t>Cumulative Severe Cases</t>
  </si>
  <si>
    <t>New Severe Cases</t>
  </si>
  <si>
    <t>Cumulative Critical Cases</t>
  </si>
  <si>
    <t>New Critical Cases</t>
  </si>
  <si>
    <t>Cumulative Removed (Recovered or Dead) Mild Cases</t>
  </si>
  <si>
    <t>New Removed Mild Cases</t>
  </si>
  <si>
    <t>Cumulative Removed (Recovered or Dead) Severe Cases</t>
  </si>
  <si>
    <t>New Removed Severe Cases</t>
  </si>
  <si>
    <t>Cumulative Removed (Recovered or Dead) Critical Cases</t>
  </si>
  <si>
    <t>New Removed Critical Cases</t>
  </si>
  <si>
    <t>Quarantined Mild Cases</t>
  </si>
  <si>
    <t>Admitted Severe Cases</t>
  </si>
  <si>
    <t>Admitted Critical Cases</t>
  </si>
  <si>
    <t xml:space="preserve">Cumulative Suspect Cases Tested Negative </t>
  </si>
  <si>
    <t>New Suspect Cases Tested Negative</t>
  </si>
  <si>
    <t>General Epi Curve Calculations</t>
  </si>
  <si>
    <t>Current Cases</t>
  </si>
  <si>
    <t>Expected Total Cumulative Cases</t>
  </si>
  <si>
    <t>Current Week of Outbreak</t>
  </si>
  <si>
    <t>Estimated Current Week of Outbreak</t>
  </si>
  <si>
    <t>Estimated Week When Total Cumulative Cases Reached</t>
  </si>
  <si>
    <t>Changes from:</t>
  </si>
  <si>
    <t>to</t>
  </si>
  <si>
    <t xml:space="preserve">at week </t>
  </si>
  <si>
    <t>Total Cases at rate switch point</t>
  </si>
  <si>
    <t>Time to total Cumulative Cases</t>
  </si>
  <si>
    <t>Facility-Weeks in Operation throughout period</t>
  </si>
  <si>
    <t>Week Label</t>
  </si>
  <si>
    <t>Cumulative Cases at end of week</t>
  </si>
  <si>
    <t>Known Cumulative Cases (#)</t>
  </si>
  <si>
    <t>Very fast</t>
  </si>
  <si>
    <t>Manual</t>
  </si>
  <si>
    <t>Cumulative Case Estimation Method</t>
  </si>
  <si>
    <t>Exponential Growth</t>
  </si>
  <si>
    <t>Manual Entry</t>
  </si>
  <si>
    <t>Cumulative Cases at end of week (Manual Entry)</t>
  </si>
  <si>
    <t>Doubling Rate (days)</t>
  </si>
  <si>
    <t>Initial Doubling Rate (days):</t>
  </si>
  <si>
    <t>Second Doubling Rate (days):</t>
  </si>
  <si>
    <t>New Cases this week</t>
  </si>
  <si>
    <t>Based on academic modelling groups</t>
  </si>
  <si>
    <t>Estimated population (2020):</t>
  </si>
  <si>
    <t>Cumulative Case 
Estimation Method</t>
  </si>
  <si>
    <t>All output pages are to the left (&lt;------) of this tab, all subsequent tabs are for reference and will not be used by users</t>
  </si>
  <si>
    <t>Determine Forecast Period</t>
  </si>
  <si>
    <t>Brief Descriptions of Other Tabs</t>
  </si>
  <si>
    <t>Inpatient</t>
  </si>
  <si>
    <t>Total number of caretakers required</t>
  </si>
  <si>
    <t>SET, INFUSION 'Y', Luer lock, air inlet, sterile, s.u.</t>
  </si>
  <si>
    <t>IV CATHETER, retractable, 16G (1.7 x 45mm), wings, grey</t>
  </si>
  <si>
    <t>IV CATHETER, retractable, 18G (1.2 x 45mm), wings, green</t>
  </si>
  <si>
    <t>IV CATHETER, retractable, 20G (1.0 x 32mm), wings, pink</t>
  </si>
  <si>
    <t>IV CATHETER, retractable, 22G (0.8 x  25mm), wings, blue</t>
  </si>
  <si>
    <t>IV CATHETER, retractable, 24G (0.7 x 19mm), wings, yellow</t>
  </si>
  <si>
    <t>SCALP VEIN, butterfly needle, 21G (0.8x19mm), s.u, ster., green</t>
  </si>
  <si>
    <t>SCALP VEIN, butterfly needle, 23 G (0.6x19 mm), s.u., ster., blue</t>
  </si>
  <si>
    <t>SCALP VEIN, butterfly needle, 25G (0.5x19mm), s.u., ster., orange</t>
  </si>
  <si>
    <t>Stopcock, 3-way, for infusion giving set, with connection line, sterile, single use</t>
  </si>
  <si>
    <t>NEEDLE, hypodermic, Luer, 18G, ster., s.u., pink</t>
  </si>
  <si>
    <t>NEEDLE, hypodermic, Luer, 19Gx1.5" (1.1x40mm), ster., s.u., cream</t>
  </si>
  <si>
    <t>NEEDLE, hypodermic, Luer, 21Gx1.5" (0.8x40mm), ster., s.u., green</t>
  </si>
  <si>
    <t>NEEDLE, hypodermic, Luer, 22G, ster., s.u., black</t>
  </si>
  <si>
    <t>NEEDLE, hypodermic, Luer, 23Gx1"(0.6x25mm), ster., s.u., blue</t>
  </si>
  <si>
    <t>SYRINGE, Luer, 20mL, ster., s.u.</t>
  </si>
  <si>
    <t>SYRINGE, Luer, 5mL, ster., s.u.</t>
  </si>
  <si>
    <t>SYRINGE, Luer, 2mL, ster., s.u.</t>
  </si>
  <si>
    <t>SYRINGE, Luer, 10mL, ster., s.u.</t>
  </si>
  <si>
    <t>TOURNIQUET, elastic, rubber, latex free, s.u., 100 x 1.8 cm</t>
  </si>
  <si>
    <t>SAFETY BOX, needles/syringes, 5l, cardboard for incineration</t>
  </si>
  <si>
    <t>Adhesive plasters, washproof, spot shape or 2x1.3 cm</t>
  </si>
  <si>
    <t>IODINE POVIDONE, 10%, solution, 1L, btl.</t>
  </si>
  <si>
    <t>COTTON WOOL, hydrophillic, 500 g, roll</t>
  </si>
  <si>
    <t>COMPRESS, GAUZE, 10 x 10 cm, 8 plys, 17 thr., ster., 2 pcs</t>
  </si>
  <si>
    <t>COMPRESS, GAUZE, 10 x 20 cm, 12 plys, 17 threads, non-ster.</t>
  </si>
  <si>
    <t>FORCEPS, DRESSING, BLANK, 14.5 cm, atraumatic serration</t>
  </si>
  <si>
    <t>BOWL, ROUND, 100 ml, 80 x 35 mm, stainless steel</t>
  </si>
  <si>
    <t>ZINC OXIDE, TAPE, self-adhesive, 2.5 cm x 5 m, white, roll</t>
  </si>
  <si>
    <t>Quantity/ package for 40 severe/ critical patients</t>
  </si>
  <si>
    <t>Total quantity for modelled scenario</t>
  </si>
  <si>
    <t>Setting</t>
  </si>
  <si>
    <t>Number of Staff Required Each Week</t>
  </si>
  <si>
    <t>High-Level Results</t>
  </si>
  <si>
    <t>Health Care Workers and Staff Required by Setting</t>
  </si>
  <si>
    <t>HCW &amp; Staff Summary</t>
  </si>
  <si>
    <t>Patient &amp; Case Type Summary</t>
  </si>
  <si>
    <t>Staff &amp; Infrastructure Assumptions</t>
  </si>
  <si>
    <t>OUT</t>
  </si>
  <si>
    <t>Nurses &amp; midwives</t>
  </si>
  <si>
    <t>CHWs</t>
  </si>
  <si>
    <t>Doctors</t>
  </si>
  <si>
    <t>#/1000</t>
  </si>
  <si>
    <t>year</t>
  </si>
  <si>
    <t>Income group</t>
  </si>
  <si>
    <t>SH.MED.PHYS.ZS</t>
  </si>
  <si>
    <t>Physicians (per 1,000 people)</t>
  </si>
  <si>
    <t>Latest year</t>
  </si>
  <si>
    <t>Latest Value</t>
  </si>
  <si>
    <t/>
  </si>
  <si>
    <t>Niue</t>
  </si>
  <si>
    <t>Côte d'Ivoire</t>
  </si>
  <si>
    <t>Cook Islands</t>
  </si>
  <si>
    <t>Average</t>
  </si>
  <si>
    <t># per 1,000</t>
  </si>
  <si>
    <t>Population in year</t>
  </si>
  <si>
    <t>Medical and Pathology Laboratory Technicians (number)</t>
  </si>
  <si>
    <t>Medical and Pathology Laboratory scientists (number)</t>
  </si>
  <si>
    <t>SH.MED.CMHW.P3</t>
  </si>
  <si>
    <t>Community health workers (per 1,000 people)</t>
  </si>
  <si>
    <t>Value</t>
  </si>
  <si>
    <t>Latest value</t>
  </si>
  <si>
    <t>Source: World Bank - World Development Indicators https://data.worldbank.org/indicator/SH.MED.CMHW.P3</t>
  </si>
  <si>
    <t>Description: Number of CHWs per 1,000 people by country by year. Note that most recent year of data varies by country.</t>
  </si>
  <si>
    <t>Community Health Workers</t>
  </si>
  <si>
    <t>SH.MED.NUMW.P3</t>
  </si>
  <si>
    <t>Nurses and midwives (per 1,000 people)</t>
  </si>
  <si>
    <t>Source: World Bank population data - https://data.worldbank.org/indicator/SH.MED.NUMW.P3</t>
  </si>
  <si>
    <t>Description: Number of nurses and midwives per 1,000 people by country by year. Note that most recent year of data varies by country</t>
  </si>
  <si>
    <t>Number of doctors</t>
  </si>
  <si>
    <t>Number of community health workers</t>
  </si>
  <si>
    <t>Capped # of HCWs for inpatients</t>
  </si>
  <si>
    <t>Capped # of HCWs for outpatients</t>
  </si>
  <si>
    <t>Number of laboratory staff</t>
  </si>
  <si>
    <t>Caps</t>
  </si>
  <si>
    <t>Unconstrained inpatient HCW</t>
  </si>
  <si>
    <t>Summary Tabs</t>
  </si>
  <si>
    <t>Patient Calcs</t>
  </si>
  <si>
    <t>Reference Data</t>
  </si>
  <si>
    <t>Hospital Beds</t>
  </si>
  <si>
    <t>Supplied with:
1  - 6.0 mm, cuffed cricothyroidotomy tube
1  - cricothyroidotomy, tube holder
1  - dilator
1  - scalpel blade, No. 15, for handle No. 3, sterile, single use
1  - suture, surgical, synthetic, non absorbable, monofilament, DEC 3.5 (0), 45 cm, with needle, 3/8 circle, 29.9 mm, cutting point
1  - syringe, 10 mL, two or three pieces, Luer type, sterile, single use
1  - Thermovent T (HME)</t>
  </si>
  <si>
    <t>Compressible self-refilling ventilation bag, capacity: 1475-2000mL.
Oxygen reservoir bag complete.
Non-rebreathing patient valve with pressure limiting valve, patient connector outside/inside diameter: 22/15 mm.
Inlet valve with nipple for 02 tubing.
Masks, silicon, in 3 sizes (adult small, adult medium and adult large).</t>
  </si>
  <si>
    <t>It includes all accessories for operation, including the CO2 detector.</t>
  </si>
  <si>
    <t>Supplied With?</t>
  </si>
  <si>
    <t>Physicians</t>
  </si>
  <si>
    <t>Source: World Bank - World Development Indicators https://data.worldbank.org/indicator/SH.MED.PHYS.ZS</t>
  </si>
  <si>
    <t>Description: Physicians per 1,000 people by country by year. Note that most recent year of data varies by country.</t>
  </si>
  <si>
    <t>Multiplier for non-reusable per-day equipment</t>
  </si>
  <si>
    <t>Reference if unknown</t>
  </si>
  <si>
    <t>Cricothyrotomy, set, emergency, 6 mm, sterile, single use</t>
  </si>
  <si>
    <t>Defibrillator, semiautomatic, w/accessories</t>
  </si>
  <si>
    <t xml:space="preserve">Infant scale, electronic, 0-20 kg </t>
  </si>
  <si>
    <t>Scale, electronic, 50g/0-200kg</t>
  </si>
  <si>
    <t>Autoclave, 40-60L, with accessories</t>
  </si>
  <si>
    <t>Autoclave, 90L, with accessories</t>
  </si>
  <si>
    <t>Very slow</t>
  </si>
  <si>
    <t>DISCLAIMER</t>
  </si>
  <si>
    <t>I understand</t>
  </si>
  <si>
    <t>The user has reviewed the disclaimer and understand the model's scope and limitations</t>
  </si>
  <si>
    <t>Check?</t>
  </si>
  <si>
    <t>Source: WHO - https://apps.who.int/gho/data/node.main.HWFGRP?lang=en</t>
  </si>
  <si>
    <t>Note that in the absence of good data on CHWs in many countries we have taken a proxy of 0.4/1000 in population. This is likely an overestimate and is to be conservative on potential demand/ need.</t>
  </si>
  <si>
    <t>* Supplied with one of:
PATIENT CABLE 10 leads,
SET SUCTION ELECTRODES, reusable
ELECTRODES CLIP, limb, set 4 pcs/colours</t>
  </si>
  <si>
    <t>Ultrasound, portable, w/ transducers and trolley</t>
  </si>
  <si>
    <t>Total number of lab staff required</t>
  </si>
  <si>
    <t>Lab staff</t>
  </si>
  <si>
    <t>Capped # of lab staff for labs</t>
  </si>
  <si>
    <r>
      <t xml:space="preserve">Please check to confirm you have read and understand </t>
    </r>
    <r>
      <rPr>
        <b/>
        <sz val="11"/>
        <color theme="0"/>
        <rFont val="Calibri"/>
        <family val="2"/>
      </rPr>
      <t>↓</t>
    </r>
  </si>
  <si>
    <t>Personnel Descriptions (these definitions and ILO ISCO codes are in use in all tabs of the tool):</t>
  </si>
  <si>
    <t>Total quantity</t>
  </si>
  <si>
    <t>100 cases in 3 months</t>
  </si>
  <si>
    <t>1,000 cases in 3 months</t>
  </si>
  <si>
    <t>100,000 cases in 6 months</t>
  </si>
  <si>
    <t>For modelling: week # for placement on curve</t>
  </si>
  <si>
    <t>Scenario running</t>
  </si>
  <si>
    <t>For modelling: end Week (Inclusive) To Forecast Through</t>
  </si>
  <si>
    <t>Price</t>
  </si>
  <si>
    <t>10,000 cases in 6 months</t>
  </si>
  <si>
    <t>All Suspected Cases</t>
  </si>
  <si>
    <t>Targeted</t>
  </si>
  <si>
    <t>Country income group</t>
  </si>
  <si>
    <t>Imperial college reported LIC average</t>
  </si>
  <si>
    <t>Imperial college reported HIC average</t>
  </si>
  <si>
    <t>Imperial college reported LMIC average</t>
  </si>
  <si>
    <t>Imperial college reported UMIC average</t>
  </si>
  <si>
    <t>Proxies to use if unknown for # of beds</t>
  </si>
  <si>
    <t>Based on entered or WB estimated total beds</t>
  </si>
  <si>
    <t>Estimated total price</t>
  </si>
  <si>
    <t>Manual Population Entry</t>
  </si>
  <si>
    <t>User Inputs</t>
  </si>
  <si>
    <t>Country/Territory Selection</t>
  </si>
  <si>
    <t>HCWs</t>
  </si>
  <si>
    <t>Cleaners</t>
  </si>
  <si>
    <t>Caretakers</t>
  </si>
  <si>
    <t>Ambulance Personnel</t>
  </si>
  <si>
    <t># Lab Staff In Country</t>
  </si>
  <si>
    <t>Lab Operations and Transport</t>
  </si>
  <si>
    <t>Patients and Case Severity</t>
  </si>
  <si>
    <t>% of Cases</t>
  </si>
  <si>
    <t>Length of Stay by Case Severity</t>
  </si>
  <si>
    <r>
      <t xml:space="preserve">% </t>
    </r>
    <r>
      <rPr>
        <u/>
        <sz val="11"/>
        <color theme="1"/>
        <rFont val="Calibri"/>
        <family val="2"/>
        <scheme val="minor"/>
      </rPr>
      <t>Severe</t>
    </r>
    <r>
      <rPr>
        <sz val="11"/>
        <color theme="1"/>
        <rFont val="Calibri"/>
        <family val="2"/>
        <scheme val="minor"/>
      </rPr>
      <t xml:space="preserve"> (inpatient, needs O2)</t>
    </r>
  </si>
  <si>
    <t># of Weeks</t>
  </si>
  <si>
    <t># per Bed</t>
  </si>
  <si>
    <t>Current Cumulative Case Count</t>
  </si>
  <si>
    <t>Notes</t>
  </si>
  <si>
    <t>Oxygen Use</t>
  </si>
  <si>
    <t>.001 used to convert liters to m3</t>
  </si>
  <si>
    <t>Liters per Minute (LPM)</t>
  </si>
  <si>
    <t>Severe Patients</t>
  </si>
  <si>
    <t>50% of Critical Patients</t>
  </si>
  <si>
    <t>Quick Navigation</t>
  </si>
  <si>
    <t>Input Quick Navigation</t>
  </si>
  <si>
    <t>Equipment Use</t>
  </si>
  <si>
    <t>Controlled Drugs</t>
  </si>
  <si>
    <t>Consumable Equipment</t>
  </si>
  <si>
    <t>Jump to Equipment Assumption Inputs</t>
  </si>
  <si>
    <t>Standard Drugs</t>
  </si>
  <si>
    <t>Refrigerated Drugs</t>
  </si>
  <si>
    <t>Mild Cases</t>
  </si>
  <si>
    <t>Severe Cases</t>
  </si>
  <si>
    <t>Critical Cases</t>
  </si>
  <si>
    <t>Removed Mild Cases</t>
  </si>
  <si>
    <t>Removed Severe Cases</t>
  </si>
  <si>
    <t>Removed Critical Cases</t>
  </si>
  <si>
    <t>Total Cases</t>
  </si>
  <si>
    <t>Suspect Cases Tested Negative</t>
  </si>
  <si>
    <t>Patient Calculations</t>
  </si>
  <si>
    <t>Manual Calculations: "Manual Entry"</t>
  </si>
  <si>
    <t>Back to Top</t>
  </si>
  <si>
    <t>Community Health Worker Data</t>
  </si>
  <si>
    <t>Nurse and Midwife Data</t>
  </si>
  <si>
    <t>Physician Data</t>
  </si>
  <si>
    <t>x</t>
  </si>
  <si>
    <t>Hospital Bed Data</t>
  </si>
  <si>
    <t>Source: World Bank population data - https://data.worldbank.org/indicator/SH.MED.BEDS.ZS</t>
  </si>
  <si>
    <t>Description: Number of hospital beds per 1,000 people by country by year. Note that most recent year of data varies by country</t>
  </si>
  <si>
    <t>HCW Summary Data</t>
  </si>
  <si>
    <t>Description: Consolidates all HCW and labs data</t>
  </si>
  <si>
    <t>Go to Manual Patient Calculations</t>
  </si>
  <si>
    <t>World Bank Population Data (2020)</t>
  </si>
  <si>
    <t>Based on WHO global estimates</t>
  </si>
  <si>
    <t>N/A</t>
  </si>
  <si>
    <t>User Dashboard</t>
  </si>
  <si>
    <t>Week Where Doubling Rate Changes:</t>
  </si>
  <si>
    <t>Click to see list of drugs</t>
  </si>
  <si>
    <t>Click to see list of consumables</t>
  </si>
  <si>
    <t>Product</t>
  </si>
  <si>
    <t>Item #</t>
  </si>
  <si>
    <t>Infusion giving set, with air intake, with injection port, with burette, sterile, single use (paediatric use)</t>
  </si>
  <si>
    <t>Consumable Products</t>
  </si>
  <si>
    <t>Delivery lead time until shipments received (weeks) (0-1)</t>
  </si>
  <si>
    <t>Capped # of cleaners for inpatients</t>
  </si>
  <si>
    <r>
      <t xml:space="preserve">Capped # of HCWs for </t>
    </r>
    <r>
      <rPr>
        <u/>
        <sz val="11"/>
        <color theme="1"/>
        <rFont val="Calibri"/>
        <family val="2"/>
        <scheme val="minor"/>
      </rPr>
      <t>inpatients</t>
    </r>
  </si>
  <si>
    <t>WHO COVID-19 Essential Supplies Forecasting Tool (COVID-ESFT) v2.0</t>
  </si>
  <si>
    <t>Totals</t>
  </si>
  <si>
    <t>Points of Entry</t>
  </si>
  <si>
    <t># of points of entry with triage</t>
  </si>
  <si>
    <t>Hospitals</t>
  </si>
  <si>
    <t># of community care locations for mild patients</t>
  </si>
  <si>
    <t>Average # of beds per community care locations for mild patients</t>
  </si>
  <si>
    <t>Cost</t>
  </si>
  <si>
    <t>Case Severity</t>
  </si>
  <si>
    <t>Points of Entry: Health Care Staff Ratios</t>
  </si>
  <si>
    <t># HCWs per POE checkpoint</t>
  </si>
  <si>
    <t>Manual rt-PRC</t>
  </si>
  <si>
    <t>GeneXpert</t>
  </si>
  <si>
    <t>Hologic Panther Fusion</t>
  </si>
  <si>
    <t>Hologic Panther</t>
  </si>
  <si>
    <t>Abbott m2000</t>
  </si>
  <si>
    <t>Roche 8800</t>
  </si>
  <si>
    <t>Roche 6800</t>
  </si>
  <si>
    <t>Platforms available for Covid testing</t>
  </si>
  <si>
    <t>Days/week (Manual)</t>
  </si>
  <si>
    <t>Days/week (GeneXpert)</t>
  </si>
  <si>
    <t>Days/week (Conventional)</t>
  </si>
  <si>
    <t>Operating hours</t>
  </si>
  <si>
    <t>% manual capacity remaining after accounting for other tests run</t>
  </si>
  <si>
    <t>% GeneXpert capacity remaining after accounting for TB tests run</t>
  </si>
  <si>
    <t>% of conventional instrument capacity remaining after after accounting for HIV VL/EID tests run</t>
  </si>
  <si>
    <t># activated</t>
  </si>
  <si>
    <t>Diagnostic platforms and operations</t>
  </si>
  <si>
    <t>Max Tests per Week</t>
  </si>
  <si>
    <t>Max Tests per Day</t>
  </si>
  <si>
    <t>Total Estimated Cost</t>
  </si>
  <si>
    <t>Inpatient HCW</t>
  </si>
  <si>
    <t>Keeping below for now so it doesn't get overwritten but will hide before release</t>
  </si>
  <si>
    <t xml:space="preserve">Diagnostics: Country Absorption Capacity (Max Tests Run) per Week </t>
  </si>
  <si>
    <t>Sev/Crit Diag</t>
  </si>
  <si>
    <t>Sev/Crit Release</t>
  </si>
  <si>
    <t>Mild/Mod Diag</t>
  </si>
  <si>
    <t>Suspect but neg</t>
  </si>
  <si>
    <t>Based on WHO China Joint Mission Report</t>
  </si>
  <si>
    <t>Testing options</t>
  </si>
  <si>
    <t>Uncapped</t>
  </si>
  <si>
    <t>Bed cap?</t>
  </si>
  <si>
    <t>Tests for severe + critical, with bed cap (total)</t>
  </si>
  <si>
    <t>Tests for severe + critical, uncapped (total)</t>
  </si>
  <si>
    <t>Shifts/day (Conventional)</t>
  </si>
  <si>
    <t>Shifts/day (GeneXpert)</t>
  </si>
  <si>
    <t>Shifts/day (Manual)</t>
  </si>
  <si>
    <t>Shifts</t>
  </si>
  <si>
    <t>Capacity</t>
  </si>
  <si>
    <t>Capacity for COVID-19</t>
  </si>
  <si>
    <t>Split evenly - 50%</t>
  </si>
  <si>
    <t>Primarily COVID - 75%</t>
  </si>
  <si>
    <t>Fully dedicated - 100%</t>
  </si>
  <si>
    <t>Limited capacity - 25%</t>
  </si>
  <si>
    <t>User Input Maximum # Tests per Day</t>
  </si>
  <si>
    <t>Conventional</t>
  </si>
  <si>
    <t>Gx</t>
  </si>
  <si>
    <t>Shifts/week</t>
  </si>
  <si>
    <t>2 (16 hours)</t>
  </si>
  <si>
    <t>3 (24 hours)</t>
  </si>
  <si>
    <t># Shifts</t>
  </si>
  <si>
    <t>Lab Staff (1 per shift)</t>
  </si>
  <si>
    <t>Case Fatality Rates</t>
  </si>
  <si>
    <t>Moderate Patients - Community Care - Qty/Person/Day</t>
  </si>
  <si>
    <t>Quantity</t>
  </si>
  <si>
    <t>Mild or Presumptive Patients (Quarantine Centers)</t>
  </si>
  <si>
    <t>Lab Staff</t>
  </si>
  <si>
    <t>Capped</t>
  </si>
  <si>
    <t xml:space="preserve">    of which, suspected but are negative</t>
  </si>
  <si>
    <t>Diagnosis</t>
  </si>
  <si>
    <t>Mild/Moderate</t>
  </si>
  <si>
    <t>Severe/Critical</t>
  </si>
  <si>
    <t>Mild positives</t>
  </si>
  <si>
    <t>Suspected but negative</t>
  </si>
  <si>
    <t>Confirmation of negative for release</t>
  </si>
  <si>
    <t>Infrared thermometer</t>
  </si>
  <si>
    <t>Conductive gel, container</t>
  </si>
  <si>
    <t>Stethoscope, binaural, adult/child</t>
  </si>
  <si>
    <t>Lubricating jelly - for critical patient gastro-enteral feeding and airway management &amp; intubation</t>
  </si>
  <si>
    <t>Cumulative Moderate Cases</t>
  </si>
  <si>
    <t>New Moderate cases</t>
  </si>
  <si>
    <t>Cumulative Removed (Recovered or dead) Moderate cases</t>
  </si>
  <si>
    <t>New Removed (Recovered or dead) moderate cases</t>
  </si>
  <si>
    <t>Quarantined Moderate Cases</t>
  </si>
  <si>
    <t xml:space="preserve">    of which, moderate</t>
  </si>
  <si>
    <t>Tests for mild, moderate + suspected (All Suspected Cases)</t>
  </si>
  <si>
    <t>Moderate positives</t>
  </si>
  <si>
    <t>Tests for mild, moderate + suspected (Targeted)</t>
  </si>
  <si>
    <t>Community Care: Moderate Patients</t>
  </si>
  <si>
    <t>Hours</t>
  </si>
  <si>
    <t>Removed Moderate Cases</t>
  </si>
  <si>
    <t>Moderate Cases</t>
  </si>
  <si>
    <t>Source: World Bank Databank - https://databank.worldbank.org/home.aspx</t>
  </si>
  <si>
    <t>This tab calculates the number of patients (mild, moderate, severe, critical, suspected but negative) each week</t>
  </si>
  <si>
    <t>Community care for moderate patients</t>
  </si>
  <si>
    <t>Inpatient care for severe and critical patients</t>
  </si>
  <si>
    <t>Mild positive cases</t>
  </si>
  <si>
    <t>Moderate positive cases</t>
  </si>
  <si>
    <t>Staff Ratios for Community Care for moderate patients</t>
  </si>
  <si>
    <t xml:space="preserve">     of which, total # of moderate cases</t>
  </si>
  <si>
    <t>Severe Patient</t>
  </si>
  <si>
    <t>Critical Patient</t>
  </si>
  <si>
    <t>Community Care HCW</t>
  </si>
  <si>
    <t>Community Care</t>
  </si>
  <si>
    <t>Automated Calculations: SIR Model</t>
  </si>
  <si>
    <t>T (Weeks)</t>
  </si>
  <si>
    <t>T (Days)</t>
  </si>
  <si>
    <t>Cumulative Cases</t>
  </si>
  <si>
    <t>New Cases</t>
  </si>
  <si>
    <t>SIR Model</t>
  </si>
  <si>
    <t>Both Patient</t>
  </si>
  <si>
    <t>Severe Bed</t>
  </si>
  <si>
    <t>Critical Bed</t>
  </si>
  <si>
    <t>Both Bed</t>
  </si>
  <si>
    <t>Suction pump</t>
  </si>
  <si>
    <t>Endotracheal tube introducer</t>
  </si>
  <si>
    <t>Pediatric O2</t>
  </si>
  <si>
    <t>Flow splitter, 5 flowmeters 0-2 L/min, for paediatric use</t>
  </si>
  <si>
    <t>Syringe, Luer</t>
  </si>
  <si>
    <t>Nasal oxygen cannula, with prongs, adult and paediatric</t>
  </si>
  <si>
    <t>Oxygen need (m3 per day) at max capacity</t>
  </si>
  <si>
    <t>Points of entry - Qty/Person/Day</t>
  </si>
  <si>
    <t># of people passing through each PoE requiring screening per day</t>
  </si>
  <si>
    <t>Diagnostic Testing (Assuming unlimited test capacity)</t>
  </si>
  <si>
    <t>Total Tests (capped by testing capacity)</t>
  </si>
  <si>
    <t>Biomedical Consumables &amp; Accessories</t>
  </si>
  <si>
    <t>1440 is used to convert days to minutes</t>
  </si>
  <si>
    <t>WHO Region</t>
  </si>
  <si>
    <t>Country Specific</t>
  </si>
  <si>
    <t>This is for the aggregator only</t>
  </si>
  <si>
    <t>Based on Imperial College paper</t>
  </si>
  <si>
    <t>Useable quantity/kit (minus wastage)</t>
  </si>
  <si>
    <t>Bed capping calculations</t>
  </si>
  <si>
    <t>Diagnostics calculations</t>
  </si>
  <si>
    <t>Beds/1000 population:</t>
  </si>
  <si>
    <t>Based on global average</t>
  </si>
  <si>
    <t>Total beds in selection</t>
  </si>
  <si>
    <t>Based on specific country selection</t>
  </si>
  <si>
    <t>Output for suggested bed cap to user</t>
  </si>
  <si>
    <t>Country health worker calculations</t>
  </si>
  <si>
    <t>Input prompts from datasets</t>
  </si>
  <si>
    <t>Output proposed caps based on user inputs</t>
  </si>
  <si>
    <t>Based on user inputs of split of HCWs across settings and total HCWs available</t>
  </si>
  <si>
    <t>Mid-calculations, based on model calculations</t>
  </si>
  <si>
    <t>Equipment quantification</t>
  </si>
  <si>
    <t>Equipment inputs</t>
  </si>
  <si>
    <t>Oxygen Calculations</t>
  </si>
  <si>
    <t>Maximum LPM calculations</t>
  </si>
  <si>
    <t>Attack rate selected</t>
  </si>
  <si>
    <t>From user inputs</t>
  </si>
  <si>
    <t>Epi mid-calculations for non-combined doubling scenarios</t>
  </si>
  <si>
    <t>Epi mid-calculations for combined doubling scenarios</t>
  </si>
  <si>
    <t>Diagnostics maximum testing capacity</t>
  </si>
  <si>
    <t>Throughput per shift (hours)</t>
  </si>
  <si>
    <t>Total number of cases (based on patient calculations, unconstrained by hospital bed availability)</t>
  </si>
  <si>
    <t>Max # of beds provided for (at peak occupancy)</t>
  </si>
  <si>
    <t>Severe Beds</t>
  </si>
  <si>
    <t>Total Tests (unlimited testing capacity)</t>
  </si>
  <si>
    <t>Severe:</t>
  </si>
  <si>
    <t>Forecast Cases</t>
  </si>
  <si>
    <t>1 (8 hours)</t>
  </si>
  <si>
    <t>5 working days per week</t>
  </si>
  <si>
    <t>Income Class</t>
  </si>
  <si>
    <t>Inpatient Admissions</t>
  </si>
  <si>
    <t>Forecast Week When Bed Caps Hit:</t>
  </si>
  <si>
    <t>Refers to all medical practitioners, including physicians, nursing professionals, and paramedical practitioners (ILO ISCO codes 2240, 2211, 2212, 2221, 3221, 5321, 3256)</t>
  </si>
  <si>
    <t>All Cases</t>
  </si>
  <si>
    <t>EMRO</t>
  </si>
  <si>
    <t>AFRO</t>
  </si>
  <si>
    <t>EURO</t>
  </si>
  <si>
    <t>PAHO</t>
  </si>
  <si>
    <t>WPR</t>
  </si>
  <si>
    <t>SEARO</t>
  </si>
  <si>
    <t>This is for the aggregator</t>
  </si>
  <si>
    <t>Estimated Contacts per person per day by age band</t>
  </si>
  <si>
    <t>Proportion of Population by age band</t>
  </si>
  <si>
    <t>Age-weighted Contacts per Person per Day</t>
  </si>
  <si>
    <t>Average Contacts per Person per Day (adjusted for age)</t>
  </si>
  <si>
    <t>0-5</t>
  </si>
  <si>
    <t>5-10</t>
  </si>
  <si>
    <t>10-15</t>
  </si>
  <si>
    <t>15-20</t>
  </si>
  <si>
    <t>20-25</t>
  </si>
  <si>
    <t>25-30</t>
  </si>
  <si>
    <t>30-35</t>
  </si>
  <si>
    <t>35-40</t>
  </si>
  <si>
    <t>40-45</t>
  </si>
  <si>
    <t>45-50</t>
  </si>
  <si>
    <t>50-55</t>
  </si>
  <si>
    <t>55-60</t>
  </si>
  <si>
    <t>60-65</t>
  </si>
  <si>
    <t>65-70</t>
  </si>
  <si>
    <t>70-75</t>
  </si>
  <si>
    <t>75-80</t>
  </si>
  <si>
    <r>
      <rPr>
        <b/>
        <sz val="11"/>
        <color theme="1"/>
        <rFont val="Calibri"/>
        <family val="2"/>
        <scheme val="minor"/>
      </rPr>
      <t xml:space="preserve">Source: </t>
    </r>
    <r>
      <rPr>
        <i/>
        <sz val="11"/>
        <color theme="1"/>
        <rFont val="Calibri"/>
        <family val="2"/>
        <scheme val="minor"/>
      </rPr>
      <t>Prem K, Cook AR, Jit M. Projecting social contact matrices in 152 countries using contact surveys and demographic data. PLoS Comput Biol. 2017;13(9):e1005697. Published 2017 Sep 12. doi:10.1371/journal.pcbi.1005697</t>
    </r>
  </si>
  <si>
    <t>Swab and Viral transport medium</t>
  </si>
  <si>
    <t>Extraction kit</t>
  </si>
  <si>
    <t>RT-PCR reaction kit</t>
  </si>
  <si>
    <t>Caps on maximum occupancy in different care settings</t>
  </si>
  <si>
    <t>Inpatient care for severe/critical patients</t>
  </si>
  <si>
    <t>Max number of beds available</t>
  </si>
  <si>
    <t>PLACEHOLDER</t>
  </si>
  <si>
    <t>Max number of patients able to be transferred to hospital</t>
  </si>
  <si>
    <t>Max number of people able to be screened per day</t>
  </si>
  <si>
    <t>Consultation/ triage for diagnosis</t>
  </si>
  <si>
    <t>Max number of patients able to be reviewed</t>
  </si>
  <si>
    <t>Quarantine for mild/suspected patients</t>
  </si>
  <si>
    <t># per week</t>
  </si>
  <si>
    <t>Total new cases presenting each week - uncapped</t>
  </si>
  <si>
    <t>Sick patients per week (excluding those who have been discharged/recovered)</t>
  </si>
  <si>
    <t>With bed capping, moderate patients that get admitted</t>
  </si>
  <si>
    <t>With bed capping, moderate patients that get discharged</t>
  </si>
  <si>
    <t>With bed capping, moderate beds in use</t>
  </si>
  <si>
    <t>Consultations/triage for patient diagnosis</t>
  </si>
  <si>
    <t>% of patients that attend consultations/ triage vs. presumptive diagnosis or direct to hospital</t>
  </si>
  <si>
    <t>With bed capping, mild patients that get discharged</t>
  </si>
  <si>
    <t>Placeholder</t>
  </si>
  <si>
    <t>With bed capping, mild/suspected beds in use</t>
  </si>
  <si>
    <t>Weekly patient numbers - not capped by diagnostics strategy</t>
  </si>
  <si>
    <t>-</t>
  </si>
  <si>
    <t>Test kits - high-throughput PCR</t>
  </si>
  <si>
    <t>Region</t>
  </si>
  <si>
    <t>Gambia</t>
  </si>
  <si>
    <t>Sao Tome And Principe</t>
  </si>
  <si>
    <t>Congo</t>
  </si>
  <si>
    <t>DRC</t>
  </si>
  <si>
    <t>Saint Lucia</t>
  </si>
  <si>
    <t>Egypt</t>
  </si>
  <si>
    <t>Yemen</t>
  </si>
  <si>
    <t>Kyrgyzstan</t>
  </si>
  <si>
    <t>WPRO</t>
  </si>
  <si>
    <t>Micronesia</t>
  </si>
  <si>
    <t>Estimated Platform Mapping</t>
  </si>
  <si>
    <t>hide</t>
  </si>
  <si>
    <t>With bed capping, mild patients that get admitted</t>
  </si>
  <si>
    <t>Points of Entry for screening</t>
  </si>
  <si>
    <t>Labs and Testing</t>
  </si>
  <si>
    <t>Quarantines and Admissions (no capping)</t>
  </si>
  <si>
    <t>Edit SIR Model</t>
  </si>
  <si>
    <t>Placeholder until inputs from WHO</t>
  </si>
  <si>
    <t>Enter 0 if not quarantining mild patients; Placeholder for now</t>
  </si>
  <si>
    <t>NIU</t>
  </si>
  <si>
    <t>COK</t>
  </si>
  <si>
    <t>Typically international airport, rail and port</t>
  </si>
  <si>
    <t>Tubing, medical gases, int. diam. 5 mm</t>
  </si>
  <si>
    <t>Connector, biconical, symmetric, ext. diam. 7-11 mm</t>
  </si>
  <si>
    <t>Flowmeter, Thorpe tube, for pipe oxygen 0-15 L/min</t>
  </si>
  <si>
    <t>Catheter, nasal, 40cm, with lateral eyes, sterile, single use; different sizes: 10 Fr, 12 Fr, 14 Fr, 16 Fr, 18 Fr</t>
  </si>
  <si>
    <t>Medical doctors</t>
  </si>
  <si>
    <t>OUTPUT</t>
  </si>
  <si>
    <t>WHO country name</t>
  </si>
  <si>
    <t>Latest reported year with full nursing personnel data</t>
  </si>
  <si>
    <t>Nursing and midwifery personnel (per 10 000 population)</t>
  </si>
  <si>
    <t>Nursing and midwifery personnel  (number)</t>
  </si>
  <si>
    <t>Nursing personnel (number)</t>
  </si>
  <si>
    <t>Midwifery personnel (number)</t>
  </si>
  <si>
    <t>Latest reporting year with any data</t>
  </si>
  <si>
    <t>Latest reporting year with medical doctors data</t>
  </si>
  <si>
    <t>Medical doctors (number)</t>
  </si>
  <si>
    <t>Nurses in 2020</t>
  </si>
  <si>
    <t>Medical doctors in 2020</t>
  </si>
  <si>
    <t>Total HCW in 2020</t>
  </si>
  <si>
    <t>Bahamas</t>
  </si>
  <si>
    <t>Bolivia (Plurinational State of)</t>
  </si>
  <si>
    <t>Czechia</t>
  </si>
  <si>
    <t>Democratic People's Republic of Korea</t>
  </si>
  <si>
    <t>Democratic Republic of the Congo</t>
  </si>
  <si>
    <t>Iran (Islamic Republic of)</t>
  </si>
  <si>
    <t>Lao People's Democratic Republic</t>
  </si>
  <si>
    <t>Micronesia (Federated States of)</t>
  </si>
  <si>
    <t>Republic of Korea</t>
  </si>
  <si>
    <t>Republic of Moldova</t>
  </si>
  <si>
    <t>Saint Kitts and Nevis</t>
  </si>
  <si>
    <t>Saint Vincent and the Grenadines</t>
  </si>
  <si>
    <t>Slovakia</t>
  </si>
  <si>
    <t>Republic of North Macedonia</t>
  </si>
  <si>
    <t>United Kingdom of Great Britain and Northern Ireland</t>
  </si>
  <si>
    <t>United Republic of Tanzania</t>
  </si>
  <si>
    <t>United States of America</t>
  </si>
  <si>
    <t>Venezuela (Bolivarian Republic of)</t>
  </si>
  <si>
    <t>Viet Nam</t>
  </si>
  <si>
    <t>West Bank and Gaza Strip</t>
  </si>
  <si>
    <t>Nurses</t>
  </si>
  <si>
    <t>Description: Number of nurses, midwives, lab staff and phsyicians by country for latest reporting year</t>
  </si>
  <si>
    <t>Growth rate (if missing, use 0)</t>
  </si>
  <si>
    <t>Lab staff in 2020 - data provided</t>
  </si>
  <si>
    <t>Lab staff in 2020 - included estimated</t>
  </si>
  <si>
    <t>Extra calcs for lab staff estimates</t>
  </si>
  <si>
    <t>Average by income group</t>
  </si>
  <si>
    <t>Tubing, silicone</t>
  </si>
  <si>
    <t>Compressible self-refilling ventilation bag, capacity &gt; 1500 mL, with masks (small, medium, large)</t>
  </si>
  <si>
    <t>Platforms</t>
  </si>
  <si>
    <t>WHO GHO Datasets</t>
  </si>
  <si>
    <t>Of Critical/Severe, % of cases that are Critical:</t>
  </si>
  <si>
    <t>5321 or 3256</t>
  </si>
  <si>
    <t>Health/medical assistant (medical assistant)</t>
  </si>
  <si>
    <t>8c</t>
  </si>
  <si>
    <t>Patient support (Case manager)</t>
  </si>
  <si>
    <t>8b</t>
  </si>
  <si>
    <t>Patient support (Physio &amp; occupational therapy) (Home craft worker)</t>
  </si>
  <si>
    <t>8a</t>
  </si>
  <si>
    <t>Patient support (Social work &amp; counselling)</t>
  </si>
  <si>
    <t>7b</t>
  </si>
  <si>
    <t>Hospital support (Medical secretaries)</t>
  </si>
  <si>
    <t>(9112) 3257</t>
  </si>
  <si>
    <t>7a</t>
  </si>
  <si>
    <t>Hospital support (Cleaner/Helper)</t>
  </si>
  <si>
    <t>Dietician and Nutritionist (Nutrition officer)</t>
  </si>
  <si>
    <t>Pharmacist (Pharmacist)</t>
  </si>
  <si>
    <t>4c</t>
  </si>
  <si>
    <t>Lab technician (Lab technician)</t>
  </si>
  <si>
    <t>4b</t>
  </si>
  <si>
    <t>Pharmaceutical technician (Pharmacy Technician)</t>
  </si>
  <si>
    <t>4a</t>
  </si>
  <si>
    <t>Medical Technician (Radiology) (Radiography technician, Radiographer)</t>
  </si>
  <si>
    <t>Respiratory therapist (RT)</t>
  </si>
  <si>
    <t>2e</t>
  </si>
  <si>
    <t>Nursing professional (Dialysis)</t>
  </si>
  <si>
    <t>2d</t>
  </si>
  <si>
    <t>Nursing professional (ECMO)</t>
  </si>
  <si>
    <t>2c</t>
  </si>
  <si>
    <t>Nursing professional (Critical care)</t>
  </si>
  <si>
    <t>2221, 3221</t>
  </si>
  <si>
    <t>2b</t>
  </si>
  <si>
    <t>Nursing professional (Ward) (Nurse officer/medical nurse)</t>
  </si>
  <si>
    <t>2a</t>
  </si>
  <si>
    <t>Nursing professional (Outpatient) (Clinical officer/technician)</t>
  </si>
  <si>
    <t>1f</t>
  </si>
  <si>
    <t xml:space="preserve">Specialist medical practitioner (Hospital Medicine) </t>
  </si>
  <si>
    <t>1e</t>
  </si>
  <si>
    <t>Specialist medical practitioner (Radiology)</t>
  </si>
  <si>
    <t>1d</t>
  </si>
  <si>
    <t>Specialist medical practitioner (ECMO)</t>
  </si>
  <si>
    <t>1c</t>
  </si>
  <si>
    <t>Specialist medical practitioner (Dialysis)</t>
  </si>
  <si>
    <t>1b</t>
  </si>
  <si>
    <t>Specialist medical practitioner (Critical care)</t>
  </si>
  <si>
    <t>2211, 2240</t>
  </si>
  <si>
    <t>1a</t>
  </si>
  <si>
    <t>General medical practitioner (medical officer/specialist)</t>
  </si>
  <si>
    <t>NOT USED</t>
  </si>
  <si>
    <t>Screening / Triage</t>
  </si>
  <si>
    <t>Critical</t>
  </si>
  <si>
    <t>Severe</t>
  </si>
  <si>
    <t>Moderate</t>
  </si>
  <si>
    <t>Mild</t>
  </si>
  <si>
    <t>ILO codes</t>
  </si>
  <si>
    <t>Grouping number</t>
  </si>
  <si>
    <t>Occupational title</t>
  </si>
  <si>
    <t>ID</t>
  </si>
  <si>
    <t>ESFT grouping</t>
  </si>
  <si>
    <t>Patient time per 24hrs by Severity Type</t>
  </si>
  <si>
    <r>
      <t>Initial Covid-19 Patient time based on</t>
    </r>
    <r>
      <rPr>
        <b/>
        <sz val="12"/>
        <color theme="4"/>
        <rFont val="Calibri"/>
        <family val="2"/>
        <scheme val="minor"/>
      </rPr>
      <t xml:space="preserve"> Patient Needs </t>
    </r>
    <r>
      <rPr>
        <sz val="12"/>
        <color theme="4"/>
        <rFont val="Calibri"/>
        <family val="2"/>
        <scheme val="minor"/>
      </rPr>
      <t>worksheets</t>
    </r>
  </si>
  <si>
    <t>Reference</t>
  </si>
  <si>
    <t>This worksheet is for defining your staff categories.  Simplified groups from HWC Need worksheet (external). Patient time is given across different settings, according to staff skills and scope of practice. Note that only hours/day is used in the calculations.</t>
  </si>
  <si>
    <t>Staff Category</t>
  </si>
  <si>
    <t>Y</t>
  </si>
  <si>
    <t>Cleaner</t>
  </si>
  <si>
    <t>Cleaners and Helpers in Offices, Hotels and Other Establishments</t>
  </si>
  <si>
    <t>Domestic, Hotel and Office Cleaners and Helpers</t>
  </si>
  <si>
    <t>Car, Taxi and Van Drivers</t>
  </si>
  <si>
    <t>Car, Van and Motorcycle Drivers</t>
  </si>
  <si>
    <t>Health Care Assistants</t>
  </si>
  <si>
    <t>Personal Care Workers in Health Services</t>
  </si>
  <si>
    <t>Admin</t>
  </si>
  <si>
    <t>Medical Secretaries</t>
  </si>
  <si>
    <t>Administrative and Specialized Secretaries</t>
  </si>
  <si>
    <t>Health Associate Professionals Otherwise Not Classified</t>
  </si>
  <si>
    <t>Other Health Associate Professionals</t>
  </si>
  <si>
    <t>Ambulance Workers</t>
  </si>
  <si>
    <t>Environmental and Occupational Health Inspectors and Associates</t>
  </si>
  <si>
    <t>Medical Assistants</t>
  </si>
  <si>
    <t>Physiotherapy Technicians and Assistants</t>
  </si>
  <si>
    <t>CHW</t>
  </si>
  <si>
    <t>Nursing Associate Professionals</t>
  </si>
  <si>
    <t>Nursing and Midwifery Associate Professionals</t>
  </si>
  <si>
    <t>Pharmaceutical Technicians and Assistants</t>
  </si>
  <si>
    <t>Medical and Pharmaceutical Technicians</t>
  </si>
  <si>
    <t>Medical and Pathology Laboratory Technicians</t>
  </si>
  <si>
    <t>Medical Imaging and Therapeutic Equipment Technicians</t>
  </si>
  <si>
    <t>Social Work and Counseling Professionals</t>
  </si>
  <si>
    <t>Social and Religious Professionals</t>
  </si>
  <si>
    <t>Health Professionals Not Elsewhere Classified</t>
  </si>
  <si>
    <t>Other Health Professionals</t>
  </si>
  <si>
    <t>Dieticians and Nutritionists</t>
  </si>
  <si>
    <t>Physiotherapists</t>
  </si>
  <si>
    <t>Environmental and Occupational Health and Hygiene Professionals</t>
  </si>
  <si>
    <t>Pharmacists</t>
  </si>
  <si>
    <t>Paramedical Practitioners</t>
  </si>
  <si>
    <t>Nursing Professionals</t>
  </si>
  <si>
    <t>Nursing and Midwifery Professionals</t>
  </si>
  <si>
    <t>Specialist Medical Practitioners</t>
  </si>
  <si>
    <t>Medical Doctors</t>
  </si>
  <si>
    <t>Generalist Medical Practitioners</t>
  </si>
  <si>
    <t>esft code?</t>
  </si>
  <si>
    <t>Name</t>
  </si>
  <si>
    <t>Subgroup (code = first 3 digits)</t>
  </si>
  <si>
    <t>ISCO code</t>
  </si>
  <si>
    <t>Calculating weighted average HCW per inpatient bed</t>
  </si>
  <si>
    <t>Of Critical/Severe, % of cases that are Severe</t>
  </si>
  <si>
    <t>Beds in use split</t>
  </si>
  <si>
    <t>Based on admitted patients and time in wards by severity</t>
  </si>
  <si>
    <t>Respirator</t>
  </si>
  <si>
    <t>Mask, medical / surgical for healthworker</t>
  </si>
  <si>
    <t>Mask, medical / surgical for patient</t>
  </si>
  <si>
    <t>Oxygen source (i.e., concentrator, cylinder, or pipe supply)</t>
  </si>
  <si>
    <t>Blood Gas Analyser, portable with cartridges and control solutions</t>
  </si>
  <si>
    <t>Infusion pump</t>
  </si>
  <si>
    <t>Contacts per Person per Day</t>
  </si>
  <si>
    <t>Stage</t>
  </si>
  <si>
    <t>World Bank Income Group</t>
  </si>
  <si>
    <t>Health Care Workers (HCW) and Staff</t>
  </si>
  <si>
    <t>Hospital Infrastructure</t>
  </si>
  <si>
    <t>1 shift per day</t>
  </si>
  <si>
    <t>Total number of medical practitioners</t>
  </si>
  <si>
    <t>Total number of Cleaners and Helpers</t>
  </si>
  <si>
    <t>Total number of ambulance personnel</t>
  </si>
  <si>
    <t>For pipe supply</t>
  </si>
  <si>
    <t xml:space="preserve">Filter, heat and moisture exchanger (HMEF), high efficiency, with connectors, for adult </t>
  </si>
  <si>
    <t>Filter, heat and moisture exchanger (HMEF), high efficiency, with connectors, paediatric</t>
  </si>
  <si>
    <t>* For ICU patient ventilator</t>
  </si>
  <si>
    <t xml:space="preserve">Electronic drop counter, IV fluids </t>
  </si>
  <si>
    <r>
      <rPr>
        <sz val="11"/>
        <color theme="1"/>
        <rFont val="Calibri"/>
        <family val="2"/>
        <scheme val="minor"/>
      </rPr>
      <t>Blades of different sizes and according to type of laryngoscope (video vs. direct).</t>
    </r>
    <r>
      <rPr>
        <strike/>
        <sz val="11"/>
        <color theme="1"/>
        <rFont val="Calibri"/>
        <family val="2"/>
        <scheme val="minor"/>
      </rPr>
      <t xml:space="preserve">
Supplied with:
* Blades, Macintosh type (curved): No. 2, length 90 - 110 mm, for child. No. 3, length 110 - 135 mm, for small adult. No. 4, length 135 - 155 mm, for adult.
* Blades, Miller type (straight): No. 1, length 100 mm.
* Heavy-walled plastic or metal case.
* Six compatible batteries in total.</t>
    </r>
  </si>
  <si>
    <t>Laryngoscope (pediatrics)</t>
  </si>
  <si>
    <t xml:space="preserve">Nasal oxygen cannula, with prongs, paediatric </t>
  </si>
  <si>
    <t>Mask, oxygen, with connection tube, reservoir bag and valve, high-concentration single use (adult)</t>
  </si>
  <si>
    <t>Mask, oxygen, with connection tube, reservoir bag and valve, high-concentration single use (paediatric)</t>
  </si>
  <si>
    <t>Venturi Mask, with percent O2 Lock and tubing (adult)</t>
  </si>
  <si>
    <t>Venturi Mask, with percent O2 Lock and tubing (paediatric)</t>
  </si>
  <si>
    <r>
      <rPr>
        <sz val="11"/>
        <color theme="1"/>
        <rFont val="Calibri"/>
        <family val="2"/>
        <scheme val="minor"/>
      </rPr>
      <t>Tubbing and bottles according to type of pump (mechanical or electric).</t>
    </r>
    <r>
      <rPr>
        <strike/>
        <sz val="11"/>
        <color theme="1"/>
        <rFont val="Calibri"/>
        <family val="2"/>
        <scheme val="minor"/>
      </rPr>
      <t xml:space="preserve">
* Supplied with one of:
Collection bottle, 1 or 2 L, autoclavable
Lid and overflow valve
Filters</t>
    </r>
  </si>
  <si>
    <t>Suction pump (paediatric)</t>
  </si>
  <si>
    <t>Colorimetric End Tidal CO2 detector single use (adult)</t>
  </si>
  <si>
    <t>Colorimetric End Tidal CO2 detector single use (paediatric)</t>
  </si>
  <si>
    <t>Endotracheal tube introducer (paediatric)</t>
  </si>
  <si>
    <t>Type and sizes according to specifications.</t>
  </si>
  <si>
    <t>Tube, endotracheal (paediatric)</t>
  </si>
  <si>
    <t>Larygeal mask airway (LMA) (paediatric)</t>
  </si>
  <si>
    <t>Sizes according to specifications.</t>
  </si>
  <si>
    <t>Accessories according to equipment.</t>
  </si>
  <si>
    <t>Drill, for vascular access, w/accessories, w/transport bag</t>
  </si>
  <si>
    <t>Drill, for vascular access, w/accessories adult and paediatric, w/transport bag (paediatric)</t>
  </si>
  <si>
    <t>CPAP, with tubing and patient interfaces, with accessories (paediatric)</t>
  </si>
  <si>
    <t>Pulse oximeter (adult + paediatric probes)</t>
  </si>
  <si>
    <t>Hide</t>
  </si>
  <si>
    <t>Patient ventilator, intensive care, with breathing circuits and patient interface (paediatric)</t>
  </si>
  <si>
    <t>Tube, endotracheal</t>
  </si>
  <si>
    <t>Electrocardiograph, portable w/accessories</t>
  </si>
  <si>
    <t>Severe Bed Cap</t>
  </si>
  <si>
    <t>Critical Bed Cap</t>
  </si>
  <si>
    <t>Critical Beds</t>
  </si>
  <si>
    <t>Above reflects total hospitalizations constrained by hospital bed capacity limitations</t>
  </si>
  <si>
    <t>Above reflects new cases over forecast period with no hospital bed capacity limitations and independent of diagnostic capacity</t>
  </si>
  <si>
    <t>hospital bed capacity limitations and independent of diagnostic capacity</t>
  </si>
  <si>
    <t xml:space="preserve">Above reflects total expected caseload over forecast period with no </t>
  </si>
  <si>
    <t>Adjust bed capacity on 'Input' tab to explore impact of more beds on hospitalizations and concomitant PPE and resource needs</t>
  </si>
  <si>
    <t>User Input Effective Reproduction Number</t>
  </si>
  <si>
    <t>User Input Contacts per Person per Day</t>
  </si>
  <si>
    <t>Stage Start Day</t>
  </si>
  <si>
    <t>Total # of tests by end of week</t>
  </si>
  <si>
    <t>HTP</t>
  </si>
  <si>
    <t>GX</t>
  </si>
  <si>
    <t>Type</t>
  </si>
  <si>
    <t>Ratio</t>
  </si>
  <si>
    <t>COVID-19 Capacity per Week</t>
  </si>
  <si>
    <t>Total Test Capacity</t>
  </si>
  <si>
    <t>Tests Needed</t>
  </si>
  <si>
    <t>Capped by capacity from model</t>
  </si>
  <si>
    <t>Allocated Test Kits</t>
  </si>
  <si>
    <t>Total number of MANUAL PCR tests conducted (capped by testing capacity)</t>
  </si>
  <si>
    <t>100T/kit</t>
  </si>
  <si>
    <t>1T/kit</t>
  </si>
  <si>
    <t>By Week</t>
  </si>
  <si>
    <t>Capacity Available for COVID</t>
  </si>
  <si>
    <t>Calculated Max Testing Capacity/Day</t>
  </si>
  <si>
    <t>Non-invasive ventilation – proportion of flow that is O2 over course of treatment</t>
  </si>
  <si>
    <t>Invasive mechanical ventilation – proportion of flow that is O2 over course of treatment</t>
  </si>
  <si>
    <t>Severe patients require 5-15 LPM.  Median taken.</t>
  </si>
  <si>
    <t>See 'Infrastructure Outputs' table below for bed needs unconstrained by current bed capacity</t>
  </si>
  <si>
    <t>Critical:</t>
  </si>
  <si>
    <t>Below capped by bed capacity</t>
  </si>
  <si>
    <t>Refers to Medical and Pathology Laboratory Technicians (ILO ISCO code 3212)</t>
  </si>
  <si>
    <t>Number of HCW required per week by setting</t>
  </si>
  <si>
    <t>OUTPUT for ESFT</t>
  </si>
  <si>
    <t>Estimated value per 1,000</t>
  </si>
  <si>
    <t>Estimate from WHO GHO datasets - Refers to Medical and Pathology Laboratory Technicians (ILO ISCO code 3212)</t>
  </si>
  <si>
    <t>Note - WB data for physicians used in v2 ESFT</t>
  </si>
  <si>
    <t>Multiplier for reusable PPE</t>
  </si>
  <si>
    <t>This section is based on equipment from Inputs tab, no new inputs required here</t>
  </si>
  <si>
    <t>This section is based on bundles, no inputs required here</t>
  </si>
  <si>
    <t>Commodities and Equipment</t>
  </si>
  <si>
    <r>
      <t xml:space="preserve">These prices are estimates only. Prices are rapidly evolving based on market fluctuations. Users can change the price/unit in blue cells </t>
    </r>
    <r>
      <rPr>
        <sz val="11"/>
        <color theme="1"/>
        <rFont val="Calibri"/>
        <family val="2"/>
      </rPr>
      <t>↓</t>
    </r>
  </si>
  <si>
    <t>Antigua And Barbuda</t>
  </si>
  <si>
    <t>Total number of tests conducted (capped by testing capacity) - ALL PLATFORMS</t>
  </si>
  <si>
    <t>Labs and testing options</t>
  </si>
  <si>
    <t>Testing Algorithm - enter # of tests per case severity for diagnosis and release</t>
  </si>
  <si>
    <t xml:space="preserve">MOVE MODERATE POSITIVE CASES HERE </t>
  </si>
  <si>
    <t>v2 hide</t>
  </si>
  <si>
    <t>v2 Hide</t>
  </si>
  <si>
    <t>Total hospital admissions over forecast period (capped by bed availability)</t>
  </si>
  <si>
    <t xml:space="preserve">     of which critical beds</t>
  </si>
  <si>
    <t>Based on entered or calculated critical care beds</t>
  </si>
  <si>
    <t>Difference between total beds and critical care beds</t>
  </si>
  <si>
    <t>% of beds that are critical care</t>
  </si>
  <si>
    <t>Proxies to use for % of beds that are critical care</t>
  </si>
  <si>
    <t>Imperial College reported % critical care beds</t>
  </si>
  <si>
    <r>
      <t xml:space="preserve">Contacts per person
</t>
    </r>
    <r>
      <rPr>
        <i/>
        <sz val="11"/>
        <color theme="1"/>
        <rFont val="Calibri"/>
        <family val="2"/>
        <scheme val="minor"/>
      </rPr>
      <t>[User-specified average contacts per person per day]</t>
    </r>
  </si>
  <si>
    <r>
      <t xml:space="preserve">Probability Infection
</t>
    </r>
    <r>
      <rPr>
        <i/>
        <sz val="11"/>
        <color theme="1"/>
        <rFont val="Calibri"/>
        <family val="2"/>
        <scheme val="minor"/>
      </rPr>
      <t>[User-specified probability of infection per contact between infectious and susceptible persons]</t>
    </r>
  </si>
  <si>
    <r>
      <t>Susceptible</t>
    </r>
    <r>
      <rPr>
        <i/>
        <sz val="11"/>
        <color theme="1"/>
        <rFont val="Calibri"/>
        <family val="2"/>
        <scheme val="minor"/>
      </rPr>
      <t xml:space="preserve">
[=Previous days Susceptible population - New Infected Cases]
[New Infected Cases = Previous day's Infected Cases * Previous day's Smoothed Infection Rate]</t>
    </r>
  </si>
  <si>
    <r>
      <t xml:space="preserve">Infected
</t>
    </r>
    <r>
      <rPr>
        <i/>
        <sz val="11"/>
        <color theme="1"/>
        <rFont val="Calibri"/>
        <family val="2"/>
        <scheme val="minor"/>
      </rPr>
      <t>[=Previous day's Infected Cases + New Infected Cases - New Recovered Cases ]
[New Infected Cases = Previous day's Infected Cases * Previous day's Smoothed Infection Rate]
[New Recovered Cases = Previous day's Infected Cases * Recovery rate per day]</t>
    </r>
  </si>
  <si>
    <r>
      <t xml:space="preserve">Recovered
</t>
    </r>
    <r>
      <rPr>
        <i/>
        <sz val="11"/>
        <color theme="1"/>
        <rFont val="Calibri"/>
        <family val="2"/>
        <scheme val="minor"/>
      </rPr>
      <t>[=Previous day's Recovered Cases +  New Recovered Cases ]
[New Recovered Cases = Previous day's Infected Cases * Recovery rate per day]</t>
    </r>
  </si>
  <si>
    <t>How many stages would you like to specify? (Minimum: 1, Maximum: 5)</t>
  </si>
  <si>
    <r>
      <t xml:space="preserve">Recovery Rate per Day
</t>
    </r>
    <r>
      <rPr>
        <i/>
        <sz val="11"/>
        <color theme="1"/>
        <rFont val="Calibri"/>
        <family val="2"/>
        <scheme val="minor"/>
      </rPr>
      <t>[=1 / days in infectious period]</t>
    </r>
  </si>
  <si>
    <r>
      <t>Infection Rate
[</t>
    </r>
    <r>
      <rPr>
        <i/>
        <sz val="11"/>
        <color theme="1"/>
        <rFont val="Calibri"/>
        <family val="2"/>
        <scheme val="minor"/>
      </rPr>
      <t>= (contacts per person per day * probability of infection per contact) / (persons in population)]</t>
    </r>
  </si>
  <si>
    <r>
      <t xml:space="preserve">Smoothed Infection Rate 
(5 day average)
</t>
    </r>
    <r>
      <rPr>
        <i/>
        <sz val="11"/>
        <color theme="1"/>
        <rFont val="Calibri"/>
        <family val="2"/>
        <scheme val="minor"/>
      </rPr>
      <t>[=Average infection rate over the past 5 days]</t>
    </r>
  </si>
  <si>
    <r>
      <t xml:space="preserve">% HCW </t>
    </r>
    <r>
      <rPr>
        <u/>
        <sz val="11"/>
        <color theme="1"/>
        <rFont val="Calibri"/>
        <family val="2"/>
        <scheme val="minor"/>
      </rPr>
      <t>not activated</t>
    </r>
    <r>
      <rPr>
        <sz val="11"/>
        <color theme="1"/>
        <rFont val="Calibri"/>
        <family val="2"/>
        <scheme val="minor"/>
      </rPr>
      <t xml:space="preserve"> for COVID-19 care</t>
    </r>
  </si>
  <si>
    <t>Number available for COVID-19</t>
  </si>
  <si>
    <t>Total hospital beds in country</t>
  </si>
  <si>
    <t>Calculated from beds used for critical care and those not used for COVID-19</t>
  </si>
  <si>
    <t>SIR Model Patient Calculations</t>
  </si>
  <si>
    <t>This tab contains the backend calculations that drive the SIR model case number estimation.</t>
  </si>
  <si>
    <t>Infectious Period (days):</t>
  </si>
  <si>
    <t>Probability of infection per contact between susceptible and infected persons:</t>
  </si>
  <si>
    <t>SIR Model Step 1:</t>
  </si>
  <si>
    <t>SIR Model Step 2:</t>
  </si>
  <si>
    <t xml:space="preserve"> </t>
  </si>
  <si>
    <t xml:space="preserve">Sources: growth rates: Source: World Bank population data - https://data.worldbank.org/indicator/SP.POP.GROW, Description: Annual population growth rate by country for 1960 to 2018 </t>
  </si>
  <si>
    <t>Calculating split of HCWs for inpatient vs. outpatient for HCWs working on COVID</t>
  </si>
  <si>
    <t>Probability of a new case being outpatient</t>
  </si>
  <si>
    <t>Probability of a new case being inpatient</t>
  </si>
  <si>
    <t>HCWs required per outpatient</t>
  </si>
  <si>
    <t>HCWs required per inpatient</t>
  </si>
  <si>
    <t>Per new case, ratio of HCWs for inpatient vs. outpatient</t>
  </si>
  <si>
    <t>Absolute # of beds</t>
  </si>
  <si>
    <t>Absolute # of HCW</t>
  </si>
  <si>
    <t>Dashboard Quick Navigation</t>
  </si>
  <si>
    <t>Back to top</t>
  </si>
  <si>
    <t>Patient Calcs Quick Nav</t>
  </si>
  <si>
    <t>Go to top of sheet</t>
  </si>
  <si>
    <t>High-Level Summary</t>
  </si>
  <si>
    <t>Commodity Quantification</t>
  </si>
  <si>
    <t>Back to Inputs</t>
  </si>
  <si>
    <t>Back to User Dashboard</t>
  </si>
  <si>
    <r>
      <t xml:space="preserve">% treating </t>
    </r>
    <r>
      <rPr>
        <u/>
        <sz val="11"/>
        <color theme="1"/>
        <rFont val="Calibri"/>
        <family val="2"/>
        <scheme val="minor"/>
      </rPr>
      <t>hospitalized</t>
    </r>
    <r>
      <rPr>
        <sz val="11"/>
        <color theme="1"/>
        <rFont val="Calibri"/>
        <family val="2"/>
        <scheme val="minor"/>
      </rPr>
      <t xml:space="preserve"> COVID-19 </t>
    </r>
    <r>
      <rPr>
        <u/>
        <sz val="11"/>
        <color theme="1"/>
        <rFont val="Calibri"/>
        <family val="2"/>
        <scheme val="minor"/>
      </rPr>
      <t>inpatients</t>
    </r>
  </si>
  <si>
    <t>'Inputs' tab</t>
  </si>
  <si>
    <t>This is a new tab in v2 of the tool, and it consolidates many of the inputs that were previously locked to the user and spread across other tabs. Users now have significantly more flexibility when it comes to using the tool.</t>
  </si>
  <si>
    <t>Sections</t>
  </si>
  <si>
    <t>Explanation of Inputs</t>
  </si>
  <si>
    <t>Users can select the country they wish to quantify commodities for. Select the "Manual" radio button for sub-national forecasting and enter in the population size</t>
  </si>
  <si>
    <t>'User Dashboard' tab</t>
  </si>
  <si>
    <t>This is the tab for users of the tool to toggle various epidemic scenarios and view the impact on commodity quantification. It also summarizes the key quantification outputs graphically and in table format</t>
  </si>
  <si>
    <t>Infections &amp; Growth Rate</t>
  </si>
  <si>
    <t>This section allows the user to define how they want to model the trajectory of the epidemic.</t>
  </si>
  <si>
    <r>
      <rPr>
        <b/>
        <sz val="11"/>
        <rFont val="Calibri"/>
        <family val="2"/>
        <scheme val="minor"/>
      </rPr>
      <t>Clinical Attack Rate:</t>
    </r>
    <r>
      <rPr>
        <sz val="11"/>
        <rFont val="Calibri"/>
        <family val="2"/>
        <scheme val="minor"/>
      </rPr>
      <t xml:space="preserve"> The rate at which the population is symptomatically infected. The tool has five pre-set options including a manual choice</t>
    </r>
  </si>
  <si>
    <r>
      <rPr>
        <b/>
        <sz val="11"/>
        <rFont val="Calibri"/>
        <family val="2"/>
        <scheme val="minor"/>
      </rPr>
      <t>Doubling Rate (Days)</t>
    </r>
    <r>
      <rPr>
        <sz val="11"/>
        <rFont val="Calibri"/>
        <family val="2"/>
        <scheme val="minor"/>
      </rPr>
      <t xml:space="preserve">: The rate at which the number of cases doubles in a given country (in days not weeks). The tool has 7 pre-set options including a manual choice and a "combined" doubling rate that changes over time </t>
    </r>
  </si>
  <si>
    <t>Testing Strategy</t>
  </si>
  <si>
    <t>This section allows the user to define and customize the testing strategy and algorithm used in country</t>
  </si>
  <si>
    <r>
      <t>'Equipment List &amp; Usage'</t>
    </r>
    <r>
      <rPr>
        <b/>
        <i/>
        <sz val="12"/>
        <color theme="0"/>
        <rFont val="Calibri"/>
        <family val="2"/>
        <scheme val="minor"/>
      </rPr>
      <t xml:space="preserve"> </t>
    </r>
    <r>
      <rPr>
        <b/>
        <sz val="12"/>
        <color theme="0"/>
        <rFont val="Calibri"/>
        <family val="2"/>
        <scheme val="minor"/>
      </rPr>
      <t>tab</t>
    </r>
  </si>
  <si>
    <t>Care Setting Descriptions:</t>
  </si>
  <si>
    <r>
      <rPr>
        <u/>
        <sz val="11"/>
        <color theme="1"/>
        <rFont val="Calibri"/>
        <family val="2"/>
        <scheme val="minor"/>
      </rPr>
      <t>HCW</t>
    </r>
    <r>
      <rPr>
        <sz val="11"/>
        <color theme="1"/>
        <rFont val="Calibri"/>
        <family val="2"/>
        <scheme val="minor"/>
      </rPr>
      <t>: medical practitioners, including physicians, nursing professionals, and paramedical practitioners (ILO ISCO codes 2240, 2211, 2212, 2221, 3221, 5321, 3256)</t>
    </r>
  </si>
  <si>
    <r>
      <rPr>
        <u/>
        <sz val="11"/>
        <color theme="1"/>
        <rFont val="Calibri"/>
        <family val="2"/>
        <scheme val="minor"/>
      </rPr>
      <t>Cleaners</t>
    </r>
    <r>
      <rPr>
        <sz val="11"/>
        <color theme="1"/>
        <rFont val="Calibri"/>
        <family val="2"/>
        <scheme val="minor"/>
      </rPr>
      <t>: cleaners and helpers (ILO ISCO code 9112)</t>
    </r>
  </si>
  <si>
    <r>
      <rPr>
        <u/>
        <sz val="11"/>
        <color theme="1"/>
        <rFont val="Calibri"/>
        <family val="2"/>
        <scheme val="minor"/>
      </rPr>
      <t>Ambulancier</t>
    </r>
    <r>
      <rPr>
        <sz val="11"/>
        <color theme="1"/>
        <rFont val="Calibri"/>
        <family val="2"/>
        <scheme val="minor"/>
      </rPr>
      <t>: emergency paramedics and drivers (ILO ISCO codes 8322, 3258)</t>
    </r>
  </si>
  <si>
    <r>
      <rPr>
        <u/>
        <sz val="11"/>
        <color theme="1"/>
        <rFont val="Calibri"/>
        <family val="2"/>
        <scheme val="minor"/>
      </rPr>
      <t>Patient</t>
    </r>
    <r>
      <rPr>
        <sz val="11"/>
        <color theme="1"/>
        <rFont val="Calibri"/>
        <family val="2"/>
        <scheme val="minor"/>
      </rPr>
      <t>: suspected case or person diagnosed with COVID-19 (can be further defined as a severe or critical or applicable to both)</t>
    </r>
  </si>
  <si>
    <r>
      <rPr>
        <u/>
        <sz val="11"/>
        <color theme="1"/>
        <rFont val="Calibri"/>
        <family val="2"/>
        <scheme val="minor"/>
      </rPr>
      <t>Bed</t>
    </r>
    <r>
      <rPr>
        <sz val="11"/>
        <color theme="1"/>
        <rFont val="Calibri"/>
        <family val="2"/>
        <scheme val="minor"/>
      </rPr>
      <t>: equipment needed per patient bed (can be further defined as a severe or critical or applicable to both)</t>
    </r>
  </si>
  <si>
    <t>The below tabs do not have user inputs (aside from the 'Patient Calcs' tab for users manually editing the number of cases/week). However, see the descriptions below for a brief overview of each tab.</t>
  </si>
  <si>
    <t>Hospitalized inpatient care</t>
  </si>
  <si>
    <t># per patient</t>
  </si>
  <si>
    <t>Health Care Workers and Staff</t>
  </si>
  <si>
    <t>Users designate the number of hospital beds available for the COVID-19 response, including what portion can be used for critical patients needing ventilation</t>
  </si>
  <si>
    <t>Users designate the number of health care workers and staff for the COVID-19 response, as well as staff to patient and staff to bed ratios</t>
  </si>
  <si>
    <t>Testing</t>
  </si>
  <si>
    <t>Existing lab capacity</t>
  </si>
  <si>
    <t>Monitoring</t>
  </si>
  <si>
    <t>Laryngeal mask airway (LMA)</t>
  </si>
  <si>
    <r>
      <t xml:space="preserve">% </t>
    </r>
    <r>
      <rPr>
        <u/>
        <sz val="11"/>
        <color theme="1"/>
        <rFont val="Calibri"/>
        <family val="2"/>
        <scheme val="minor"/>
      </rPr>
      <t>Critical</t>
    </r>
    <r>
      <rPr>
        <sz val="11"/>
        <color theme="1"/>
        <rFont val="Calibri"/>
        <family val="2"/>
        <scheme val="minor"/>
      </rPr>
      <t xml:space="preserve"> (inpatient, ventilation)</t>
    </r>
  </si>
  <si>
    <t>Estimated # of negatives per positive test</t>
  </si>
  <si>
    <t>For diagnosis</t>
  </si>
  <si>
    <t>For release</t>
  </si>
  <si>
    <t>For near patient PCR machine - RT-PCR cartridge</t>
  </si>
  <si>
    <t>RT-PCR reaction kit (manual)</t>
  </si>
  <si>
    <t>Income Status</t>
  </si>
  <si>
    <t>Oxygen therapy</t>
  </si>
  <si>
    <t>Airway Management &amp; Intubation</t>
  </si>
  <si>
    <t>Mechanical Ventilation</t>
  </si>
  <si>
    <t>Non-Invasive Ventilation</t>
  </si>
  <si>
    <t>IV Infusion</t>
  </si>
  <si>
    <t>Blood Chemistry</t>
  </si>
  <si>
    <t>Imaging</t>
  </si>
  <si>
    <t>ICU</t>
  </si>
  <si>
    <t>Sterilization</t>
  </si>
  <si>
    <t>Case management - biomedical equipment</t>
  </si>
  <si>
    <t>Case management - accessories &amp; consumables</t>
  </si>
  <si>
    <t>Oxygen delivery devices</t>
  </si>
  <si>
    <t>Gastro-enteral feeding</t>
  </si>
  <si>
    <t>Blades of different sizes and according to type of laryngoscope (video vs. direct)</t>
  </si>
  <si>
    <t>Bed capping is used to constrain the number of admitted patients, and the number of patients in a bed receiving treatment at any time. Forecasting of supplies is limited to the number of patients/beds/HCWs etc. that can be treated based on bed caps provided. If no severe/critical beds are entered below, no equipment will be forecasted for those beds/patients.</t>
  </si>
  <si>
    <t>Reference values for:</t>
  </si>
  <si>
    <r>
      <t xml:space="preserve">Select box to use reference values for all inputs below 
(deselect to manually enter inputs in all blue cells) </t>
    </r>
    <r>
      <rPr>
        <b/>
        <sz val="11"/>
        <color theme="4"/>
        <rFont val="Calibri"/>
        <family val="2"/>
      </rPr>
      <t>→</t>
    </r>
  </si>
  <si>
    <t># Roche 6800 platforms</t>
  </si>
  <si>
    <t># Roche 8800 platforms</t>
  </si>
  <si>
    <t># Abbott m2000 platforms</t>
  </si>
  <si>
    <t># Hologic Panther platforms</t>
  </si>
  <si>
    <t># Hologic Panther Fusion platforms</t>
  </si>
  <si>
    <r>
      <t xml:space="preserve"># Cepheid GeneXpert </t>
    </r>
    <r>
      <rPr>
        <i/>
        <sz val="11"/>
        <color theme="1"/>
        <rFont val="Calibri"/>
        <family val="2"/>
        <scheme val="minor"/>
      </rPr>
      <t>modules</t>
    </r>
    <r>
      <rPr>
        <sz val="11"/>
        <color theme="1"/>
        <rFont val="Calibri"/>
        <family val="2"/>
        <scheme val="minor"/>
      </rPr>
      <t/>
    </r>
  </si>
  <si>
    <t>Manual platforms available for COVID-19</t>
  </si>
  <si>
    <t>Near-patient PCR machines available for COVID-19</t>
  </si>
  <si>
    <t>High-throughput conventional platforms available for COVID-19</t>
  </si>
  <si>
    <t>Shifts/day (near-patient)</t>
  </si>
  <si>
    <t>Days/week (near-patient)</t>
  </si>
  <si>
    <t>WHO recommendation for sample transport</t>
  </si>
  <si>
    <t>WHO recommendation for safe sharp disposal</t>
  </si>
  <si>
    <r>
      <t xml:space="preserve">Based on existing platforms as entered above </t>
    </r>
    <r>
      <rPr>
        <sz val="10"/>
        <color theme="1"/>
        <rFont val="Calibri"/>
        <family val="2"/>
      </rPr>
      <t>↑</t>
    </r>
  </si>
  <si>
    <t>Other platforms available for COVID-19</t>
  </si>
  <si>
    <t># Platforms</t>
  </si>
  <si>
    <t>Daily capacity for COVID (per "other" platform)</t>
  </si>
  <si>
    <t xml:space="preserve">Specify the parameter selected in Step 2 for each stage of the outbreak. </t>
  </si>
  <si>
    <t>Stage 1 is generated from the parameters provided in Step 1 and no further input is needed.</t>
  </si>
  <si>
    <r>
      <t>Specify SIR model using which parameter?</t>
    </r>
    <r>
      <rPr>
        <i/>
        <sz val="11"/>
        <color theme="1"/>
        <rFont val="Calibri"/>
        <family val="2"/>
        <scheme val="minor"/>
      </rPr>
      <t xml:space="preserve"> (select only one)</t>
    </r>
    <r>
      <rPr>
        <sz val="11"/>
        <color theme="1"/>
        <rFont val="Calibri"/>
        <family val="2"/>
        <scheme val="minor"/>
      </rPr>
      <t xml:space="preserve">
</t>
    </r>
    <r>
      <rPr>
        <i/>
        <sz val="11"/>
        <color theme="1"/>
        <rFont val="Calibri"/>
        <family val="2"/>
        <scheme val="minor"/>
      </rPr>
      <t>Note: If only one stage will be used, parameter selection will have no impact on case estimation.</t>
    </r>
  </si>
  <si>
    <t>Reproduction Number (Number of persons infected by each case)</t>
  </si>
  <si>
    <t>Reproduction Number</t>
  </si>
  <si>
    <t>*</t>
  </si>
  <si>
    <t>HCW performing mostly inpatient tasks with severe and critical patients (e.g., management of respiratory failure and critical care monitoring)</t>
  </si>
  <si>
    <t>Links to equipment sections</t>
  </si>
  <si>
    <t>Links to care settings</t>
  </si>
  <si>
    <t>Inpatient care</t>
  </si>
  <si>
    <t>Screening/triage</t>
  </si>
  <si>
    <t>Links to drugs/ consumables list</t>
  </si>
  <si>
    <t>Total number of health care workers</t>
  </si>
  <si>
    <t>Total number of cleaners</t>
  </si>
  <si>
    <t>World Bank estimate for total hospital beds (enter 10,000,000 for unconstrained scenario to model needs of treating all severe/critical cases as inpatients)</t>
  </si>
  <si>
    <t>Calculates PPE for lab staff based on number of labs</t>
  </si>
  <si>
    <t>Calculates PPE for lab cleaners based on number of labs</t>
  </si>
  <si>
    <t>Only for manual test kits and commodities</t>
  </si>
  <si>
    <t>Below this line - items removed from v2</t>
  </si>
  <si>
    <t>Average of Doctors per 1000</t>
  </si>
  <si>
    <t>Average of Nurses per 1000</t>
  </si>
  <si>
    <t>Income Category</t>
  </si>
  <si>
    <t>For territories with missing data</t>
  </si>
  <si>
    <t>Shifts/day (high-throughput conventional)</t>
  </si>
  <si>
    <t>Days/week (high-throughput conventional)</t>
  </si>
  <si>
    <t>Testing Strategy for mild/moderate presenting cases (see comment)</t>
  </si>
  <si>
    <t>% suspected/mild/moderate tested (if targeted testing)</t>
  </si>
  <si>
    <t>Total tests/case</t>
  </si>
  <si>
    <t>Curves appear to flatten if max number of HCWs or inpatient hospital beds are in use</t>
  </si>
  <si>
    <t>Note if this is set to 1, this pushes the forecast period out 1 week to factor in delivery time</t>
  </si>
  <si>
    <t>OUT = not a country</t>
  </si>
  <si>
    <t>Takes reported value if known; if not takes global average per capita</t>
  </si>
  <si>
    <t>Based on beds/1000 and population size</t>
  </si>
  <si>
    <t>Average for world from WB</t>
  </si>
  <si>
    <t>Based on WB average for world from "WB HCW &amp; Beds" tab</t>
  </si>
  <si>
    <t>Based on WB data in "WB HCW &amp; Beds" tab</t>
  </si>
  <si>
    <t>Number of nurses</t>
  </si>
  <si>
    <t>From "HCW + Staff Summary" tab; note if "Manual" population entry takes global average # per 1000 population</t>
  </si>
  <si>
    <t>Not included in v2 ESFT</t>
  </si>
  <si>
    <t>Based on ratio of cleaners toinpatient beds (as entered in Inputs)</t>
  </si>
  <si>
    <t>Jump to sections:</t>
  </si>
  <si>
    <t>Staff &amp; Infrastructure assumptions</t>
  </si>
  <si>
    <t>Oxygen</t>
  </si>
  <si>
    <t>Patients</t>
  </si>
  <si>
    <t>Diagnostics footprint</t>
  </si>
  <si>
    <t>Laryngoscope (direct or video type)</t>
  </si>
  <si>
    <t>Patient ventilator, intensive care, with breathing circuits and patient interface</t>
  </si>
  <si>
    <t>CPAP, with tubing and patient interfaces, with accessories</t>
  </si>
  <si>
    <r>
      <t>Patient monitor, multiparametric</t>
    </r>
    <r>
      <rPr>
        <b/>
        <sz val="11"/>
        <color theme="1"/>
        <rFont val="Calibri"/>
        <family val="2"/>
        <scheme val="minor"/>
      </rPr>
      <t xml:space="preserve"> with ECG</t>
    </r>
    <r>
      <rPr>
        <sz val="11"/>
        <color theme="1"/>
        <rFont val="Calibri"/>
        <family val="2"/>
        <scheme val="minor"/>
      </rPr>
      <t>, with accessories</t>
    </r>
  </si>
  <si>
    <r>
      <t xml:space="preserve">Patient monitor, multiparametric </t>
    </r>
    <r>
      <rPr>
        <b/>
        <sz val="11"/>
        <color theme="1"/>
        <rFont val="Calibri"/>
        <family val="2"/>
        <scheme val="minor"/>
      </rPr>
      <t>without ECG</t>
    </r>
    <r>
      <rPr>
        <sz val="11"/>
        <color theme="1"/>
        <rFont val="Calibri"/>
        <family val="2"/>
        <scheme val="minor"/>
      </rPr>
      <t>, with accessories</t>
    </r>
  </si>
  <si>
    <t>It includes all accessories for operation</t>
  </si>
  <si>
    <t>High Flow Nasal Cannula, with tubing and patient interfaces</t>
  </si>
  <si>
    <t>Bubble humidifier, non-heated</t>
  </si>
  <si>
    <t>For critical patient ventilator</t>
  </si>
  <si>
    <t>Supplied with one spare:
Rechargeable battery</t>
  </si>
  <si>
    <t>Supplied with one of:
LINEAR TRANSDUCER 5.0-7.5 MHz;
PHASED ARRAY CARDIAC TRANSDUCER 5.0-7.5 MHz</t>
  </si>
  <si>
    <t>Supplied with one of:
Accessories for use with both adults and paediatrics
TRAINING KIT</t>
  </si>
  <si>
    <t>Supplied with one of:
PATIENT CABLE 10 leads,
SET SUCTION ELECTRODES, reusable
ELECTRODES CLIP, limb, set 4 pcs/colours</t>
  </si>
  <si>
    <r>
      <t>Tubing and bottles according to type of pump (mechanical or electric).</t>
    </r>
    <r>
      <rPr>
        <strike/>
        <sz val="11"/>
        <color theme="1"/>
        <rFont val="Calibri"/>
        <family val="2"/>
        <scheme val="minor"/>
      </rPr>
      <t xml:space="preserve">
* Supplied with one of:
Collection bottle, 1 or 2 L, autoclavable
Lid and overflow valve
Filters</t>
    </r>
  </si>
  <si>
    <t>Supplied with connector to oxygen source.</t>
  </si>
  <si>
    <r>
      <t>Supplied with one of:
- CUFF ADULT M, 23-33cm
- CUFF ADULT L, 31-40cm
- CUFF CHILD, 12-19cm</t>
    </r>
    <r>
      <rPr>
        <sz val="11"/>
        <color theme="1"/>
        <rFont val="Calibri"/>
        <family val="2"/>
        <scheme val="minor"/>
      </rPr>
      <t xml:space="preserve">
- TUBING NIBP adult/child
- SENSOR SPO2, adult</t>
    </r>
  </si>
  <si>
    <t>Automated Calculations: Exponential Growth</t>
  </si>
  <si>
    <t>Week for Calculation</t>
  </si>
  <si>
    <t>To see the exponential growth patient calculations, see row 186</t>
  </si>
  <si>
    <r>
      <rPr>
        <u/>
        <sz val="11"/>
        <color theme="1"/>
        <rFont val="Calibri"/>
        <family val="2"/>
        <scheme val="minor"/>
      </rPr>
      <t>Severe</t>
    </r>
    <r>
      <rPr>
        <sz val="11"/>
        <color theme="1"/>
        <rFont val="Calibri"/>
        <family val="2"/>
        <scheme val="minor"/>
      </rPr>
      <t xml:space="preserve"> case (hospitalized duration)</t>
    </r>
  </si>
  <si>
    <r>
      <rPr>
        <u/>
        <sz val="11"/>
        <color theme="1"/>
        <rFont val="Calibri"/>
        <family val="2"/>
        <scheme val="minor"/>
      </rPr>
      <t>Critical</t>
    </r>
    <r>
      <rPr>
        <sz val="11"/>
        <color theme="1"/>
        <rFont val="Calibri"/>
        <family val="2"/>
        <scheme val="minor"/>
      </rPr>
      <t xml:space="preserve"> case (hospitalized duration)</t>
    </r>
  </si>
  <si>
    <t># HCWs in the country/region</t>
  </si>
  <si>
    <t>Screening and triage</t>
  </si>
  <si>
    <t>Cases screened/triaged per HCW per day</t>
  </si>
  <si>
    <t>HCW ratio based on 8-hour shifts per bed per day</t>
  </si>
  <si>
    <t xml:space="preserve">Cleaner ratio based on 8-hour shifts per bed per day </t>
  </si>
  <si>
    <t>WHO recommendation based on incubation period of COVID-19 and case management guidelines</t>
  </si>
  <si>
    <r>
      <t xml:space="preserve"># of informal caregivers for </t>
    </r>
    <r>
      <rPr>
        <u/>
        <sz val="11"/>
        <color theme="1"/>
        <rFont val="Calibri"/>
        <family val="2"/>
        <scheme val="minor"/>
      </rPr>
      <t>severe/critical patients treated in hospital</t>
    </r>
  </si>
  <si>
    <t>Informal caregiver</t>
  </si>
  <si>
    <t>Laboratory technician</t>
  </si>
  <si>
    <t>Health workforce</t>
  </si>
  <si>
    <t># Hospital beds in-country (all levels of care)</t>
  </si>
  <si>
    <r>
      <t xml:space="preserve">% Available for </t>
    </r>
    <r>
      <rPr>
        <u/>
        <sz val="11"/>
        <color theme="1"/>
        <rFont val="Calibri"/>
        <family val="2"/>
        <scheme val="minor"/>
      </rPr>
      <t>severe</t>
    </r>
    <r>
      <rPr>
        <sz val="11"/>
        <color theme="1"/>
        <rFont val="Calibri"/>
        <family val="2"/>
        <scheme val="minor"/>
      </rPr>
      <t xml:space="preserve"> patients</t>
    </r>
  </si>
  <si>
    <r>
      <t xml:space="preserve">% Available for </t>
    </r>
    <r>
      <rPr>
        <u/>
        <sz val="11"/>
        <color theme="1"/>
        <rFont val="Calibri"/>
        <family val="2"/>
        <scheme val="minor"/>
      </rPr>
      <t>critical</t>
    </r>
    <r>
      <rPr>
        <sz val="11"/>
        <color theme="1"/>
        <rFont val="Calibri"/>
        <family val="2"/>
        <scheme val="minor"/>
      </rPr>
      <t xml:space="preserve"> patients</t>
    </r>
  </si>
  <si>
    <t># Hospital beds per care unit</t>
  </si>
  <si>
    <t>Used to estimate equipment/accessories that can be shared by multiple beds in a unit, such as a vascular drill.</t>
  </si>
  <si>
    <t># HCWs per bed</t>
  </si>
  <si>
    <t># Cleaners per bed</t>
  </si>
  <si>
    <t># Ambulance Personnel per bed</t>
  </si>
  <si>
    <t xml:space="preserve">Note that the number of staff required for inpatient, screening/triage, and laboratories are capped at the maximum number in operation in each country and allocated to COVID.  </t>
  </si>
  <si>
    <t>Screening/Triage</t>
  </si>
  <si>
    <t>Total number of informal caregivers</t>
  </si>
  <si>
    <t>Isolation for mild + moderate patients</t>
  </si>
  <si>
    <t>Patients (suspected cases screened by end of week - includes those who screen negative)</t>
  </si>
  <si>
    <r>
      <t xml:space="preserve">Capped # of HCWs for </t>
    </r>
    <r>
      <rPr>
        <u/>
        <sz val="11"/>
        <color theme="1"/>
        <rFont val="Calibri"/>
        <family val="2"/>
        <scheme val="minor"/>
      </rPr>
      <t>screening/triage</t>
    </r>
  </si>
  <si>
    <t>[BE] I have changed this to subtract the delivery week lag because this pushes forecasts 1 week into the future</t>
  </si>
  <si>
    <t>The estimated number of HCWs required to treat inpatients and test suspected cases, based on the ratio of HCWs/patients is:</t>
  </si>
  <si>
    <t>This tab calculates the number of staff and HCWs needed each week (not cumulative, but HCW and staff in operation in any given week)</t>
  </si>
  <si>
    <t>This tab also calculates the number of lab tests required per week under a range of testing scenarios</t>
  </si>
  <si>
    <t>This tab also calculates the number of lab tests conducted in each week (again, not cumulative)</t>
  </si>
  <si>
    <t>Ambulance personnel</t>
  </si>
  <si>
    <t>Biomedical engineer ratio assumes 2 biomedical engineers (on 8-hour shifts) per 100 bed hospital</t>
  </si>
  <si>
    <t>Ambulance personnel ratio assumes 1 ambulance per 100 bed hospital with 2 operators (paramedic + driver) at all times (3x 8 hour shifts) so 6/100 beds</t>
  </si>
  <si>
    <t>Biomedical Engineers</t>
  </si>
  <si>
    <t>Biomedical engineer</t>
  </si>
  <si>
    <t>Total number of biomedical engineers</t>
  </si>
  <si>
    <t># Biomedical Engineers per bed</t>
  </si>
  <si>
    <t>Patient Numbers and Bed Availability</t>
  </si>
  <si>
    <t>Isolation</t>
  </si>
  <si>
    <t>Note that most diagnostic machines will require servicing and maintenance by trained engineer staff, although the number required is not quantified in this version of the tool.</t>
  </si>
  <si>
    <t># Lab staff per lab</t>
  </si>
  <si>
    <t># Cleaners per lab</t>
  </si>
  <si>
    <t># Safety boxes per hospital care unit per week</t>
  </si>
  <si>
    <t># Triple packaging per hospital care unit</t>
  </si>
  <si>
    <t>% Wastage of manual testing kits</t>
  </si>
  <si>
    <t># Labs conducting COVID-19 testing</t>
  </si>
  <si>
    <t>% High-throughput capacity for COVID-19</t>
  </si>
  <si>
    <t>% Near-patient capacity for COVID-19</t>
  </si>
  <si>
    <t>% Manual capacity for COVID-19</t>
  </si>
  <si>
    <t># Manual real-time PCR platforms</t>
  </si>
  <si>
    <t>Enter number of modules, not platforms (e.g., if you have 3 systems with a 2-module configuration and 5 systems with a 4-module configuration, enter "26")</t>
  </si>
  <si>
    <r>
      <t xml:space="preserve">% </t>
    </r>
    <r>
      <rPr>
        <u/>
        <sz val="11"/>
        <color theme="1"/>
        <rFont val="Calibri"/>
        <family val="2"/>
        <scheme val="minor"/>
      </rPr>
      <t>Not allocated</t>
    </r>
    <r>
      <rPr>
        <sz val="11"/>
        <color theme="1"/>
        <rFont val="Calibri"/>
        <family val="2"/>
        <scheme val="minor"/>
      </rPr>
      <t xml:space="preserve"> for COVID-19</t>
    </r>
  </si>
  <si>
    <t>% Available beds for severe patients that are occupied</t>
  </si>
  <si>
    <t>Number of additional beds needed to treat all severe patients who need them</t>
  </si>
  <si>
    <t>Total number of severe patients admitted and in a bed (capped by bed availability)</t>
  </si>
  <si>
    <t>Total number of critical patients admitted and in a bed (capped by bed availability)</t>
  </si>
  <si>
    <t>% Available beds for critical patients that are occupied</t>
  </si>
  <si>
    <t>Number of additional beds needed to treat all critical patients who need them</t>
  </si>
  <si>
    <t>Informal caregivers</t>
  </si>
  <si>
    <r>
      <rPr>
        <u/>
        <sz val="11"/>
        <color theme="1"/>
        <rFont val="Calibri"/>
        <family val="2"/>
        <scheme val="minor"/>
      </rPr>
      <t>Severe</t>
    </r>
    <r>
      <rPr>
        <sz val="11"/>
        <color theme="1"/>
        <rFont val="Calibri"/>
        <family val="2"/>
        <scheme val="minor"/>
      </rPr>
      <t xml:space="preserve"> fatality rate (%)</t>
    </r>
  </si>
  <si>
    <r>
      <rPr>
        <u/>
        <sz val="11"/>
        <color theme="1"/>
        <rFont val="Calibri"/>
        <family val="2"/>
        <scheme val="minor"/>
      </rPr>
      <t>Critical</t>
    </r>
    <r>
      <rPr>
        <sz val="11"/>
        <color theme="1"/>
        <rFont val="Calibri"/>
        <family val="2"/>
        <scheme val="minor"/>
      </rPr>
      <t xml:space="preserve"> fatality rate (%)</t>
    </r>
  </si>
  <si>
    <t>Manual platforms to add for COVID-19</t>
  </si>
  <si>
    <t># Additional thermocyclers needed</t>
  </si>
  <si>
    <t>Thermocyclers for RT-PCR</t>
  </si>
  <si>
    <t>Near patient PCR machine, 2 modules instrument</t>
  </si>
  <si>
    <t>Near patient PCR machine, 4 modules instrument</t>
  </si>
  <si>
    <t>Additional daily capacity from new platforms</t>
  </si>
  <si>
    <t>Additional Platforms/Modules</t>
  </si>
  <si>
    <t>Near-patient PCR machines to add for COVID-19 (platforms not modules)</t>
  </si>
  <si>
    <t>GX mods</t>
  </si>
  <si>
    <t>Manual plats</t>
  </si>
  <si>
    <t>Additional Capacity calcs</t>
  </si>
  <si>
    <t>Daily capa</t>
  </si>
  <si>
    <r>
      <t xml:space="preserve"># Additional Cepheid GeneXpert 2-module </t>
    </r>
    <r>
      <rPr>
        <i/>
        <sz val="10.5"/>
        <color theme="1"/>
        <rFont val="Calibri"/>
        <family val="2"/>
        <scheme val="minor"/>
      </rPr>
      <t>systems</t>
    </r>
  </si>
  <si>
    <r>
      <t xml:space="preserve"># Additional Cepheid GeneXpert 4-module </t>
    </r>
    <r>
      <rPr>
        <i/>
        <sz val="10.5"/>
        <color theme="1"/>
        <rFont val="Calibri"/>
        <family val="2"/>
        <scheme val="minor"/>
      </rPr>
      <t>systems</t>
    </r>
  </si>
  <si>
    <r>
      <t xml:space="preserve">Based on additional platforms as entered above </t>
    </r>
    <r>
      <rPr>
        <sz val="10"/>
        <color theme="1"/>
        <rFont val="Calibri"/>
        <family val="2"/>
      </rPr>
      <t>↑</t>
    </r>
  </si>
  <si>
    <t>GeneXpert modules</t>
  </si>
  <si>
    <t>Airway, nasopharyngeal, sterile, single use, set with sizes of: 20 Fr, 22 Fr, 24 Fr, 26 Fr, 28 Fr, 30 Fr, 32 Fr, 34 Fr, 36 Fr</t>
  </si>
  <si>
    <t>Airway, oropharyngeal, Guedel, set with sizes of: No. 2 (70 mm), No. 3 (80 mm), No. 4 (90 mm), No. 5 (100 mm)</t>
  </si>
  <si>
    <t>"Max Tests per Day" Module</t>
  </si>
  <si>
    <t>"Additional Capacity per Day" Module</t>
  </si>
  <si>
    <t>Care Staff &amp; Patients</t>
  </si>
  <si>
    <t>Reference will assume 40% not working on COVID (i.e., 60% allocation to COVID-19); with other references based on staff ratios and patient severity ratios</t>
  </si>
  <si>
    <t>Reference assumption of zero is based on current guidance that no family members or other caretakers should be in hospitals.</t>
  </si>
  <si>
    <t xml:space="preserve">Reference is based on management of home care guidance, with estimates of 1 caregiver per patient for the duration of the roughly 2-week isolation. This calculation estimates the quantity of PPE required (e.g., masks and gloves) for the patient and caregiver </t>
  </si>
  <si>
    <t>Reference will assume 40% not allocated to COVID (e.g., 60% allocation to COVID)</t>
  </si>
  <si>
    <t>Based on reference footprint and capacity assumptions</t>
  </si>
  <si>
    <r>
      <t xml:space="preserve">Select box to use reference values for inputs:
(deselect to manually enter inputs) </t>
    </r>
    <r>
      <rPr>
        <b/>
        <sz val="11"/>
        <color theme="4"/>
        <rFont val="Calibri"/>
        <family val="2"/>
      </rPr>
      <t>→</t>
    </r>
  </si>
  <si>
    <t xml:space="preserve">Forecasting week #s (active weeks highlighted in yellow - may start in week 2 due to lead time entered on 'User Dashboard' tab) ---&gt; </t>
  </si>
  <si>
    <t>Current week 
(not forecasting for)</t>
  </si>
  <si>
    <t>Current cumulative cases no longer infectious (Recovered or Dead Cases):</t>
  </si>
  <si>
    <t>Current Average Contacts per Person per Day:</t>
  </si>
  <si>
    <t>Consumable Equipment Needed, estimated in bundles for 40 patients</t>
  </si>
  <si>
    <t>Drug Category</t>
  </si>
  <si>
    <t>Drug Product</t>
  </si>
  <si>
    <t>Standard Pharmaceutical Commodities</t>
  </si>
  <si>
    <t>ADENOSINE, 3 mg/ml, 2 ml, amp.</t>
  </si>
  <si>
    <t>ALCOHOL-BASED HAND RUB, gel, 100mL, bottle</t>
  </si>
  <si>
    <t>ALCOHOL-BASED HAND RUB, solution, 500mL, bottle</t>
  </si>
  <si>
    <t>AMIODARONE hydrochloride, 50 mg/ml, 3 ml, amp.</t>
  </si>
  <si>
    <t>AMOXICILLIN 125mg/CLAVULANIC ac.31.25mg, eq.156.25mg/5mL, oral susp., 100mL bot.</t>
  </si>
  <si>
    <t>AMOXICILLIN 500 mg / CLAVULANIC acid 125 mg, eq. 625mg/tab, tablet</t>
  </si>
  <si>
    <t>AMOXICILLIN, 250 mg, tab.</t>
  </si>
  <si>
    <t>AMOXICILLIN, 500 mg, tab.</t>
  </si>
  <si>
    <t>AMPICILLIN, 1g, powder, vial</t>
  </si>
  <si>
    <t>AMPICILLIN, 500 mg, powder, vial</t>
  </si>
  <si>
    <t>ASCORBIC acid (vitamin C), 250 mg, tab.</t>
  </si>
  <si>
    <t>ATENOLOL, 50 mg, tab.</t>
  </si>
  <si>
    <t>ATROPINE sulfate, 1 mg/mL, 1 mL, ampoule</t>
  </si>
  <si>
    <t>AZITHROMYCIN, 200mg/5ml, powder oral susp., 15mL, bottle</t>
  </si>
  <si>
    <t>AZITHROMYCIN, 250mg, tab.</t>
  </si>
  <si>
    <t>AZITHROMYCIN, 500mg, tab</t>
  </si>
  <si>
    <t>BENZYLPENICILLIN, 5MIU (3g), powder, vial</t>
  </si>
  <si>
    <t>CALCIUM GLUCONATE, 100 mg/mL, 10mL, ampoule</t>
  </si>
  <si>
    <t>CEFTRIAXONE sodium, 250mg, powder, vial</t>
  </si>
  <si>
    <t>CEFTRIAXONE sodium, eq. 1 g base, powder for inject., vial</t>
  </si>
  <si>
    <t>CHLORAL HYDRATE, 500mg, tab.</t>
  </si>
  <si>
    <t>CHLORHEXIDINE digluconate 1.5% + CETRIMIDE 15%, solution, 1000ml, bottle</t>
  </si>
  <si>
    <t>CHLORPROMAZINE hydrochloride, eq.25mg base, tab.</t>
  </si>
  <si>
    <t>CLOXACILLIN sodium salt, 500mg, powder, vial</t>
  </si>
  <si>
    <t>CLOXACILLIN sodium, eq.250mg base, caps.</t>
  </si>
  <si>
    <t>DEXAMETHASONE phosphate, 4mg/ml, 1ml, ampoule</t>
  </si>
  <si>
    <t>DEXMEDETOMIDINE, 100mcg/mL, IV, 2mL amp.</t>
  </si>
  <si>
    <t>DEXTROSE (GLUCOSE) 5%, 1L, plastic pouch</t>
  </si>
  <si>
    <t>DEXTROSE (GLUCOSE) 5%, 500mL, plastic pouch</t>
  </si>
  <si>
    <t>DOXYCYCLINE salt, 100mg, tab.</t>
  </si>
  <si>
    <t>EPINEPHRINE (adrenaline) tartrate, eq.1mg/mL base, 1mL amp. IV</t>
  </si>
  <si>
    <t>FLUMAZENIL, 0.1mg/mL, IV, 5mL amp.</t>
  </si>
  <si>
    <t>FUROSEMIDE, 10mg/mL, 2mL, ampoule</t>
  </si>
  <si>
    <t>FUROSEMIDE, 40 mg, tab.</t>
  </si>
  <si>
    <t>GLUCOSE hypertonic, 50%, 50mL, vial</t>
  </si>
  <si>
    <t>GLYCERYL TRINITRATE, 0.3mg, sublingual tab.</t>
  </si>
  <si>
    <t>GLYCERYL TRINITRATE, 5mg/mL, for infusion, 10mL amp.</t>
  </si>
  <si>
    <t>HYDRALAZINE hydrochloride, 20mg, powder, ampoule</t>
  </si>
  <si>
    <t>HYDROCHLOROTHIAZIDE, 50 mg, tab.</t>
  </si>
  <si>
    <t>HYDROCORTISONE sodium succinate, eq.100mg base, powder, vial</t>
  </si>
  <si>
    <t>IBUPROFEN, 400 mg, tab.</t>
  </si>
  <si>
    <t>LIDOCAINE hydrochloride, 1%, for inject., 20mL, vial</t>
  </si>
  <si>
    <t>MAGNESIUM sulfate, 500mg/mL, 10mL, ampoule</t>
  </si>
  <si>
    <t>METOCLOPRAMIDE hydrochloride, 5mg/mL, 2mL, amp.</t>
  </si>
  <si>
    <t>METOPROLOL tartrate, 1mg/ml, IV injection, 5ml, amp.</t>
  </si>
  <si>
    <t>METRONIDAZOLE, 5mg/mL, 100 ml, semi-rigid bot.</t>
  </si>
  <si>
    <t>MULTIVITAMINS, tab.</t>
  </si>
  <si>
    <t>NALOXONE hydrochloride, 0.4mg/mL, 1 mL, ampoule</t>
  </si>
  <si>
    <t>NORADRENALINE tartrate, sol.for infu., eq.1mg/mL base, 4mL, amp/vial</t>
  </si>
  <si>
    <t>NYSTATIN, 100.000 IU/ml, oral susp.</t>
  </si>
  <si>
    <t>OMEPRAZOLE, 20 mg, gastro-resistant, caps.</t>
  </si>
  <si>
    <t>OMEPRAZOLE, 40mg, powder, vial</t>
  </si>
  <si>
    <t>ONDANSETRON hydrochloride, 2mg/ml, 2ml, amp.</t>
  </si>
  <si>
    <t>ONDANSETRON hydrochloride, 4mg, tab.</t>
  </si>
  <si>
    <t>ORAL REHYDRATION SALTS (ORS) low osmol., sachet 20.5 g/1l</t>
  </si>
  <si>
    <t>PARACETAMOL (acetaminophen), 100mg, tab.</t>
  </si>
  <si>
    <t>PARACETAMOL (acetaminophen), 10mg/mL, inject, 50mL, bot.</t>
  </si>
  <si>
    <t>PARACETAMOL (acetaminophen), 10mg/ml, inject., 100 ml, plastic pouch</t>
  </si>
  <si>
    <t>PARACETAMOL (acetaminophen), 120 mg/5 ml, syrup, 100 ml, bottle</t>
  </si>
  <si>
    <t>PARACETAMOL (acetaminophen), 500 mg, tab.</t>
  </si>
  <si>
    <t>PHENYTOIN sodium, 100mg, coated tab.</t>
  </si>
  <si>
    <t>PHENYTOIN sodium, 50mg/mL, 5mL, vial</t>
  </si>
  <si>
    <t>POTASSIUM chloride, 100mg/mL, 10 mL, amp.</t>
  </si>
  <si>
    <t>PREDNISOLONE, 5 mg, tab.</t>
  </si>
  <si>
    <t>RANITIDINE, 150mg, tab.</t>
  </si>
  <si>
    <t>RINGER lactate, 1L, plastic pouch</t>
  </si>
  <si>
    <t>RINGER lactate, 500mL, plastic pouch</t>
  </si>
  <si>
    <t>SALBUTAMOL sulfate, eq.0.1mg base/puff, 200 puffs, inhaler</t>
  </si>
  <si>
    <t>SODIUM BICARBONATE, 8.4%, 1 mEq/mL, 20mL amp.</t>
  </si>
  <si>
    <t>SODIUM chloride, 0.9%, 1L, plastic pouch</t>
  </si>
  <si>
    <t>SODIUM chloride, 0.9%, 500 ml, plastic pouch</t>
  </si>
  <si>
    <t>SULFAMETHOXAZOLE 400mg/TRIMETHOPRIM 80mg, tab.</t>
  </si>
  <si>
    <t>THIAMINE hydrochloride (vitamin B1), 50mg, tab.</t>
  </si>
  <si>
    <t>WATER for injection, 10 mL, ampoule</t>
  </si>
  <si>
    <t>ZINC sulfate, eq. to 20 mg zinc mineral, dispersible tab.</t>
  </si>
  <si>
    <t>Cold
Drugs</t>
  </si>
  <si>
    <t>ATRACURIUM BESILATE, 10mg/mL, 5mL, amp.</t>
  </si>
  <si>
    <t>INSULIN RAPID (Actrapid), rDNA insul.,100 IU/mL, 10mL, vial</t>
  </si>
  <si>
    <t>SUXAMETHONIUM CHLORIDE, 50mg/mL, 2mL, amp.</t>
  </si>
  <si>
    <t>DIAZEPAM, 5mg, tab.</t>
  </si>
  <si>
    <t>DIAZEPAM, 5mg/ml, 2ml, amp.</t>
  </si>
  <si>
    <t>FENTANYL citrate, eq. 0.05mg/mL base, 2 mL, amp.</t>
  </si>
  <si>
    <t>FENTANYL, 0.05mg/mL, 10mL, amp.</t>
  </si>
  <si>
    <t>HALOPERIDOL, 5mg/mL, sol. for inject., 1mL, ampoule</t>
  </si>
  <si>
    <t>KETAMINE hydrochloride, eq. 50 mg/mL base, 10 mL, vial</t>
  </si>
  <si>
    <t>MIDAZOLAM, 5mg/ml, 3ml, amp.</t>
  </si>
  <si>
    <t>MORPHINE sulfate, 10mg/ml, 1ml, amp.</t>
  </si>
  <si>
    <t>PHENOBARBITAL (sodium), 200mg/mL, 1mL, amp.</t>
  </si>
  <si>
    <t>PHENOBARBITAL, 50mg, tab.</t>
  </si>
  <si>
    <t>PROPOFOL, 10mg/mL, 10mL, amp.</t>
  </si>
  <si>
    <r>
      <rPr>
        <u/>
        <sz val="11"/>
        <color theme="1"/>
        <rFont val="Calibri"/>
        <family val="2"/>
        <scheme val="minor"/>
      </rPr>
      <t>Inpatient:</t>
    </r>
    <r>
      <rPr>
        <sz val="11"/>
        <color theme="1"/>
        <rFont val="Calibri"/>
        <family val="2"/>
        <scheme val="minor"/>
      </rPr>
      <t xml:space="preserve"> Inpatient care for severe and critical patients  </t>
    </r>
  </si>
  <si>
    <r>
      <t>Screening/triage:</t>
    </r>
    <r>
      <rPr>
        <sz val="11"/>
        <color theme="1"/>
        <rFont val="Calibri"/>
        <family val="2"/>
        <scheme val="minor"/>
      </rPr>
      <t xml:space="preserve"> Screening and triaging all suspected COVID-19 patients at first point of contact with the health care system (including those who ultimately test negative)</t>
    </r>
  </si>
  <si>
    <r>
      <t>Laboratories:</t>
    </r>
    <r>
      <rPr>
        <sz val="11"/>
        <color theme="1"/>
        <rFont val="Calibri"/>
        <family val="2"/>
        <scheme val="minor"/>
      </rPr>
      <t xml:space="preserve"> Labs where testing is conducted/processed</t>
    </r>
  </si>
  <si>
    <r>
      <rPr>
        <u/>
        <sz val="11"/>
        <color theme="1"/>
        <rFont val="Calibri"/>
        <family val="2"/>
        <scheme val="minor"/>
      </rPr>
      <t>Caregiver</t>
    </r>
    <r>
      <rPr>
        <sz val="11"/>
        <color theme="1"/>
        <rFont val="Calibri"/>
        <family val="2"/>
        <scheme val="minor"/>
      </rPr>
      <t>: patient carers such as parent, spouse, partner, etc.</t>
    </r>
  </si>
  <si>
    <r>
      <rPr>
        <u/>
        <sz val="11"/>
        <color theme="1"/>
        <rFont val="Calibri"/>
        <family val="2"/>
        <scheme val="minor"/>
      </rPr>
      <t>Patients:</t>
    </r>
    <r>
      <rPr>
        <sz val="11"/>
        <color theme="1"/>
        <rFont val="Calibri"/>
        <family val="2"/>
        <scheme val="minor"/>
      </rPr>
      <t xml:space="preserve"> Calculates the number of patients each week, classified by care setting and level of disease severity (e.g., mild, severe, critical). It also calculates the number of tests needed.</t>
    </r>
  </si>
  <si>
    <r>
      <t>SIR Model Patient Calcs:</t>
    </r>
    <r>
      <rPr>
        <sz val="11"/>
        <color theme="1"/>
        <rFont val="Calibri"/>
        <family val="2"/>
        <scheme val="minor"/>
      </rPr>
      <t xml:space="preserve"> For interested users, this tab shows the backend of the SIR model calculations.</t>
    </r>
  </si>
  <si>
    <r>
      <t>WHO GHO Data:</t>
    </r>
    <r>
      <rPr>
        <sz val="11"/>
        <color theme="1"/>
        <rFont val="Calibri"/>
        <family val="2"/>
        <scheme val="minor"/>
      </rPr>
      <t xml:space="preserve"> Contains staffing data by country for each country from the WHO Global Health Observatory datasets.</t>
    </r>
  </si>
  <si>
    <r>
      <t>WB HCW &amp; Beds:</t>
    </r>
    <r>
      <rPr>
        <sz val="11"/>
        <color theme="1"/>
        <rFont val="Calibri"/>
        <family val="2"/>
        <scheme val="minor"/>
      </rPr>
      <t xml:space="preserve"> Contains World Bank datasets on doctors, nurses/midwives, in each country, as well as estimates of hospital beds.</t>
    </r>
  </si>
  <si>
    <r>
      <t>WB Population Data:</t>
    </r>
    <r>
      <rPr>
        <sz val="11"/>
        <color theme="1"/>
        <rFont val="Calibri"/>
        <family val="2"/>
        <scheme val="minor"/>
      </rPr>
      <t xml:space="preserve"> Contains 2020 World Bank population data for each country.</t>
    </r>
  </si>
  <si>
    <t>Note that the number of patients presented below refer to active cases requiring a hospital bed (i.e., they have not recovered or died)</t>
  </si>
  <si>
    <t>Total number of severe cases needing beds (unconstrained by bed availability)</t>
  </si>
  <si>
    <t>Total number of critical cases needing beds (unconstrained by bed availability)</t>
  </si>
  <si>
    <t xml:space="preserve">Total number of diagnosed moderate patients </t>
  </si>
  <si>
    <t xml:space="preserve">Total number of diagnosed mild patients </t>
  </si>
  <si>
    <t>Severe and Critical Patients Each Week</t>
  </si>
  <si>
    <t>Moderate and Mild Patients Each Week</t>
  </si>
  <si>
    <r>
      <t xml:space="preserve">An </t>
    </r>
    <r>
      <rPr>
        <b/>
        <i/>
        <sz val="9"/>
        <color theme="1"/>
        <rFont val="Calibri"/>
        <family val="2"/>
        <scheme val="minor"/>
      </rPr>
      <t>"SIR Model"</t>
    </r>
    <r>
      <rPr>
        <i/>
        <sz val="9"/>
        <color theme="1"/>
        <rFont val="Calibri"/>
        <family val="2"/>
        <scheme val="minor"/>
      </rPr>
      <t xml:space="preserve"> is a compartmental model commonly used in infectious disease forecasting The population is divided into three compartments, </t>
    </r>
    <r>
      <rPr>
        <b/>
        <i/>
        <u/>
        <sz val="9"/>
        <color theme="1"/>
        <rFont val="Calibri"/>
        <family val="2"/>
        <scheme val="minor"/>
      </rPr>
      <t>S</t>
    </r>
    <r>
      <rPr>
        <i/>
        <sz val="9"/>
        <color theme="1"/>
        <rFont val="Calibri"/>
        <family val="2"/>
        <scheme val="minor"/>
      </rPr>
      <t xml:space="preserve">usceptible, </t>
    </r>
    <r>
      <rPr>
        <b/>
        <i/>
        <u/>
        <sz val="9"/>
        <color theme="1"/>
        <rFont val="Calibri"/>
        <family val="2"/>
        <scheme val="minor"/>
      </rPr>
      <t>I</t>
    </r>
    <r>
      <rPr>
        <i/>
        <sz val="9"/>
        <color theme="1"/>
        <rFont val="Calibri"/>
        <family val="2"/>
        <scheme val="minor"/>
      </rPr>
      <t xml:space="preserve">nfectious, and </t>
    </r>
    <r>
      <rPr>
        <b/>
        <i/>
        <u/>
        <sz val="9"/>
        <color theme="1"/>
        <rFont val="Calibri"/>
        <family val="2"/>
        <scheme val="minor"/>
      </rPr>
      <t>R</t>
    </r>
    <r>
      <rPr>
        <i/>
        <sz val="9"/>
        <color theme="1"/>
        <rFont val="Calibri"/>
        <family val="2"/>
        <scheme val="minor"/>
      </rPr>
      <t xml:space="preserve">emoved. The SIR model here has a simple deterministic structure and can be viewed in the "SIR Model Patient Calcs" tab. If choosing to use the SIR option, it is advised to consult with someone who is familiar with this type of model to assist with assumptions. </t>
    </r>
  </si>
  <si>
    <r>
      <t xml:space="preserve">The number of </t>
    </r>
    <r>
      <rPr>
        <b/>
        <i/>
        <sz val="9"/>
        <rFont val="Calibri"/>
        <family val="2"/>
        <scheme val="minor"/>
      </rPr>
      <t>cases no longer infectious</t>
    </r>
    <r>
      <rPr>
        <i/>
        <sz val="9"/>
        <rFont val="Calibri"/>
        <family val="2"/>
        <scheme val="minor"/>
      </rPr>
      <t xml:space="preserve"> is used to estimate the initial number of infectious cases in the SIR model by subtracting those no longer infectious from the total cumulative cases. If unknown, the cumulative case count one infectious period prior to today can be used. Reference calculated under exponential growth assumptions with 4 day doubling time and the specified current cumulative cases.
</t>
    </r>
  </si>
  <si>
    <t>Define rate of infection in your epidemic (note you can use reference values if unknown)</t>
  </si>
  <si>
    <r>
      <t xml:space="preserve">The </t>
    </r>
    <r>
      <rPr>
        <b/>
        <i/>
        <sz val="9"/>
        <rFont val="Calibri"/>
        <family val="2"/>
        <scheme val="minor"/>
      </rPr>
      <t>Infectious Perio</t>
    </r>
    <r>
      <rPr>
        <i/>
        <sz val="9"/>
        <rFont val="Calibri"/>
        <family val="2"/>
        <scheme val="minor"/>
      </rPr>
      <t>d is the average number of days during which an infected person is likely to transmit the virus to susceptible persons. From a review of available literature, a period of 5-7 days may be a reasonable estimate for Covid-19. Specifying a period outside of this range may have a large impact on the forecasted epidemiologic curve.(sources in cell T12 comments)</t>
    </r>
  </si>
  <si>
    <t xml:space="preserve">Define various stages of response that impact infection rates such as social distancing </t>
  </si>
  <si>
    <t>The model can be specified by stage - discrete time periods with varying Reproduction Number(R0) or Contacts per Person per Day. The average contact frequency or reproduction number might be expected to change if population interventions are introduced to delay or limit the spread of Covid-19. The relative reduction in reproduction number and contacts per person per day for common interventions such as social distancing and lockdown have been estimated based on their implementation in 11 European countries here: https://www.imperial.ac.uk/mrc-global-infectious-disease-analysis/covid-19/report-13-europe-npi-impact/.</t>
  </si>
  <si>
    <r>
      <rPr>
        <b/>
        <i/>
        <sz val="9"/>
        <rFont val="Calibri"/>
        <family val="2"/>
        <scheme val="minor"/>
      </rPr>
      <t>Per day contacts</t>
    </r>
    <r>
      <rPr>
        <i/>
        <sz val="9"/>
        <rFont val="Calibri"/>
        <family val="2"/>
        <scheme val="minor"/>
      </rPr>
      <t xml:space="preserve"> is defined as “either skin-to-skin contact such as a kiss or handshake (a physical contact), or a two-way conversation with three or more words in the physical presence of another person but no skin-to-skin contact (a nonphysical contact)”. Social contact data used country-specific age distributions from World Bank data. Reference values are based on the POLYMOD study, source found in T14 comments</t>
    </r>
  </si>
  <si>
    <r>
      <t xml:space="preserve">% </t>
    </r>
    <r>
      <rPr>
        <u/>
        <sz val="11"/>
        <color theme="1"/>
        <rFont val="Calibri"/>
        <family val="2"/>
        <scheme val="minor"/>
      </rPr>
      <t>Mild</t>
    </r>
    <r>
      <rPr>
        <sz val="11"/>
        <color theme="1"/>
        <rFont val="Calibri"/>
        <family val="2"/>
        <scheme val="minor"/>
      </rPr>
      <t xml:space="preserve"> (isolation)</t>
    </r>
  </si>
  <si>
    <r>
      <t xml:space="preserve">% </t>
    </r>
    <r>
      <rPr>
        <u/>
        <sz val="11"/>
        <color theme="1"/>
        <rFont val="Calibri"/>
        <family val="2"/>
        <scheme val="minor"/>
      </rPr>
      <t>Moderate</t>
    </r>
    <r>
      <rPr>
        <sz val="11"/>
        <color theme="1"/>
        <rFont val="Calibri"/>
        <family val="2"/>
        <scheme val="minor"/>
      </rPr>
      <t xml:space="preserve"> (isolation)</t>
    </r>
  </si>
  <si>
    <r>
      <rPr>
        <u/>
        <sz val="11"/>
        <color theme="1"/>
        <rFont val="Calibri"/>
        <family val="2"/>
        <scheme val="minor"/>
      </rPr>
      <t>Mild</t>
    </r>
    <r>
      <rPr>
        <sz val="11"/>
        <color theme="1"/>
        <rFont val="Calibri"/>
        <family val="2"/>
        <scheme val="minor"/>
      </rPr>
      <t xml:space="preserve"> case (isolation)</t>
    </r>
  </si>
  <si>
    <r>
      <rPr>
        <u/>
        <sz val="11"/>
        <color theme="1"/>
        <rFont val="Calibri"/>
        <family val="2"/>
        <scheme val="minor"/>
      </rPr>
      <t>Moderate</t>
    </r>
    <r>
      <rPr>
        <sz val="11"/>
        <color theme="1"/>
        <rFont val="Calibri"/>
        <family val="2"/>
        <scheme val="minor"/>
      </rPr>
      <t xml:space="preserve"> case (isolation)</t>
    </r>
  </si>
  <si>
    <r>
      <t xml:space="preserve"># of informal caregivers for </t>
    </r>
    <r>
      <rPr>
        <u/>
        <sz val="11"/>
        <color theme="1"/>
        <rFont val="Calibri"/>
        <family val="2"/>
        <scheme val="minor"/>
      </rPr>
      <t>mild/moderate patients isolating</t>
    </r>
  </si>
  <si>
    <t>Reference values</t>
  </si>
  <si>
    <r>
      <t xml:space="preserve">This version of the calculator is a second draft: </t>
    </r>
    <r>
      <rPr>
        <sz val="10"/>
        <color theme="1"/>
        <rFont val="Arial"/>
        <family val="2"/>
      </rPr>
      <t xml:space="preserve">As more data become available, updated versions will be shared in an effort to regularly develop the tool and improve its functionality and assumptions. </t>
    </r>
  </si>
  <si>
    <t>Estimate based on total # of doctors (from World Bank dataset) and nurses (from WHO Global Health Observatory dataset) only. To add more staff, increase the total staff available in C62.</t>
  </si>
  <si>
    <t xml:space="preserve">This tab contains World Bank reference data used to generate estimates of physicians, and hospital beds in each country. Use the Quick Navigation on the right to jump to each section. </t>
  </si>
  <si>
    <t>WB Healthcare Workers (HCW) and Hospital Beds</t>
  </si>
  <si>
    <r>
      <t xml:space="preserve">Outputs are constrained based on editable parameters for health system infrastructure: </t>
    </r>
    <r>
      <rPr>
        <sz val="10"/>
        <color theme="1"/>
        <rFont val="Arial"/>
        <family val="2"/>
      </rPr>
      <t xml:space="preserve">This calculator includes editable assumptions about limitations of health systems to absorb the projected number of patients (for example, availability of health care workers and patient beds). Users can manually input staff and infrastructure assumptions on the 'Inputs' tab or select reference values from various datasets. </t>
    </r>
  </si>
  <si>
    <r>
      <t xml:space="preserve">Limitations: </t>
    </r>
    <r>
      <rPr>
        <sz val="10"/>
        <color theme="1"/>
        <rFont val="Arial"/>
        <family val="2"/>
      </rPr>
      <t>COVID-ESFT is not meant to be used as an epidemiological model. Overall patient numbers are used primarily for forecasting bulk essential supply needs. In the absence of a dedicated epidemiologic model that can provide case forecasts, the tool has simple exponential growth and Susceptible-Infectious-Removed (SIR) case forecast options built in. These inputs and the corresponding outputs may not reflect the reality of what users will ultimately see in their geography. Users are discouraged from drawing conclusions about cases far into the future on the basis of these preliminary estimates.</t>
    </r>
  </si>
  <si>
    <t>Please note that supplies forecast for biomedical equipment, consumables and accessories do not take into consideration requisite infrastructure capacity or personnel for use and maintenance. This includes but is not limited to: existing available oxygen sources, electrical power, health workforce capabilities, biomedical engineers, technicians etc.. As a result, this forecast may be an overestimate.</t>
  </si>
  <si>
    <t>supplied with one of:
Flow and pressure regulator, as applicable;
Outlet connector</t>
  </si>
  <si>
    <t>Refers to Cleaners and Helpers (ILO ISCO code 9112)</t>
  </si>
  <si>
    <r>
      <rPr>
        <b/>
        <u/>
        <sz val="14"/>
        <color theme="0"/>
        <rFont val="Calibri"/>
        <family val="2"/>
        <scheme val="minor"/>
      </rPr>
      <t>Drugs</t>
    </r>
    <r>
      <rPr>
        <b/>
        <sz val="14"/>
        <color theme="0"/>
        <rFont val="Calibri"/>
        <family val="2"/>
        <scheme val="minor"/>
      </rPr>
      <t xml:space="preserve"> needed, estimated in bundles per 40 patients</t>
    </r>
  </si>
  <si>
    <t>Equipment Use (separate tab)</t>
  </si>
  <si>
    <r>
      <t xml:space="preserve">This calculator is a supply forecasting tool: </t>
    </r>
    <r>
      <rPr>
        <sz val="10"/>
        <color theme="1"/>
        <rFont val="Arial"/>
        <family val="2"/>
      </rPr>
      <t>This tool is meant to help governments, partners, and other stakeholders estimate potential requirements for essential supplies to respond to the current pandemic of COVID-19. Essential supplies include hygiene and IPC commodities, personal protective equipment, diagnostics, biomedical equipment for case management, drugs for supportive treatment, and consumable medical supplies.  It is designed to proactively support decision-making and enable the rapid procurement of essential supplies.</t>
    </r>
  </si>
  <si>
    <t>WHO COVID-19 Essential Supplies Forecasting Tool Overview</t>
  </si>
  <si>
    <t>SARS-CoV-2, a previously unknown coronavirus that emerged in Wuhan, China in December 2019, causes COVID-19 and was characterized as a pandemic by the World Health Organization on March 11, 2020. The pandemic has required countries around the world to develop containment and mitigation strategies to control the spread of COVID-19.
To assist with the response to the pandemic, the WHO developed the WHO COVID-19 Essential Supplies Forecasting Tool (COVID-ESFT) to allow users to quantify for commodities used in the course of patient and disease management. The current version of the tool covers five categories of essential commodities: hygiene, personal protective equipment (PPE), diagnostics, drugs and consumables, and biomedical equipment for case management. The tool has been designed to be user-friendly, and allow users to quickly estimate commodity needs. Please note that this tool is not designed to be an epidemiological model, though it does include simple epidemiological principles to help estimate the number of infections.
The primary user tabs are explained in detail below, with high-level summaries of back-end tabs at the end.</t>
  </si>
  <si>
    <t>Users enter the current known number of cases in-country (must be greater than 1 and less than the population size times the clinical attack rate on the 'User Dashboard')</t>
  </si>
  <si>
    <t>Users define case severity ratios across 4 categories (mild, moderate, severe, and critical), as well as time spent in hospital/isolation and case fatality rates</t>
  </si>
  <si>
    <t>Users input the diagnostic testing platforms in-country to estimate testing absorption capacity. Users also designate lab staff available for the COVID-19 response</t>
  </si>
  <si>
    <t>Users enter assumptions here about oxygen use and volume of oxygen needed across different case severity categories</t>
  </si>
  <si>
    <t>Click the link in this section to edit inputs and assumptions around equipment/commodity use by patients, care staff, etc. See further details below starting in row 51</t>
  </si>
  <si>
    <r>
      <t xml:space="preserve">Cumulative Case Estimation Method
     </t>
    </r>
    <r>
      <rPr>
        <u/>
        <sz val="11"/>
        <color theme="1"/>
        <rFont val="Calibri"/>
        <family val="2"/>
      </rPr>
      <t>Exponential Growth:</t>
    </r>
    <r>
      <rPr>
        <sz val="11"/>
        <color theme="1"/>
        <rFont val="Calibri"/>
        <family val="2"/>
      </rPr>
      <t xml:space="preserve"> Assumes cases will grow exponentially based on the doubling rate selected until it reaches the percent of the population 
     indicated by the selected clinical attack rate</t>
    </r>
    <r>
      <rPr>
        <u/>
        <sz val="11"/>
        <color theme="1"/>
        <rFont val="Calibri"/>
        <family val="2"/>
      </rPr>
      <t xml:space="preserve">
</t>
    </r>
    <r>
      <rPr>
        <sz val="11"/>
        <color theme="1"/>
        <rFont val="Calibri"/>
        <family val="2"/>
      </rPr>
      <t xml:space="preserve">     </t>
    </r>
    <r>
      <rPr>
        <u/>
        <sz val="11"/>
        <color theme="1"/>
        <rFont val="Calibri"/>
        <family val="2"/>
      </rPr>
      <t>Manual Entry:</t>
    </r>
    <r>
      <rPr>
        <sz val="11"/>
        <color theme="1"/>
        <rFont val="Calibri"/>
        <family val="2"/>
      </rPr>
      <t xml:space="preserve"> Allows users to manually input a weekly epi curve on the 'Patient Calcs' tab. </t>
    </r>
    <r>
      <rPr>
        <i/>
        <sz val="11"/>
        <color theme="1"/>
        <rFont val="Calibri"/>
        <family val="2"/>
      </rPr>
      <t xml:space="preserve">    
    </t>
    </r>
    <r>
      <rPr>
        <u/>
        <sz val="11"/>
        <color theme="1"/>
        <rFont val="Calibri"/>
        <family val="2"/>
      </rPr>
      <t>SIR Model:</t>
    </r>
    <r>
      <rPr>
        <sz val="11"/>
        <color theme="1"/>
        <rFont val="Calibri"/>
        <family val="2"/>
      </rPr>
      <t xml:space="preserve"> Models the course of the epidemic via a SIR model, which includes susceptible, infected, and recovered individuals. Users who select this 
     option still need to enter a clinical attack rate and a number of SIR model-specific inputs </t>
    </r>
  </si>
  <si>
    <t>This section allows the user to define the time period for the commodity forecast.</t>
  </si>
  <si>
    <r>
      <rPr>
        <b/>
        <sz val="11"/>
        <color theme="1"/>
        <rFont val="Calibri"/>
        <family val="2"/>
        <scheme val="minor"/>
      </rPr>
      <t>Number of weeks to forecast equipment for (#):</t>
    </r>
    <r>
      <rPr>
        <sz val="11"/>
        <color theme="1"/>
        <rFont val="Calibri"/>
        <family val="2"/>
        <scheme val="minor"/>
      </rPr>
      <t xml:space="preserve"> Enter the number of weeks worth of equipment to forecast (e.g., to forecast for three weeks of commodities, enter 3). Note that this cannot be higher than the value in the instructions cell which lists the max number of weeks (based on estimated epidemic trajectory)</t>
    </r>
  </si>
  <si>
    <r>
      <rPr>
        <b/>
        <sz val="11"/>
        <color theme="1"/>
        <rFont val="Calibri"/>
        <family val="2"/>
        <scheme val="minor"/>
      </rPr>
      <t>Delivery lead time until shipments received (weeks):</t>
    </r>
    <r>
      <rPr>
        <sz val="11"/>
        <color theme="1"/>
        <rFont val="Calibri"/>
        <family val="2"/>
        <scheme val="minor"/>
      </rPr>
      <t xml:space="preserve"> Enter an estimate of how long it will take commodities to be available in country (between 0 and 1 week)</t>
    </r>
  </si>
  <si>
    <r>
      <rPr>
        <b/>
        <sz val="11"/>
        <color theme="1"/>
        <rFont val="Calibri"/>
        <family val="2"/>
        <scheme val="minor"/>
      </rPr>
      <t>Testing strategy for mild/moderate presenting cases:</t>
    </r>
    <r>
      <rPr>
        <sz val="11"/>
        <color theme="1"/>
        <rFont val="Calibri"/>
        <family val="2"/>
        <scheme val="minor"/>
      </rPr>
      <t xml:space="preserve"> Select either "all suspected cases" or "targeted" testing, which tests all severe/critical and a percent of suspects/mild/moderates as defined in the rest of the Testing Strategy section</t>
    </r>
  </si>
  <si>
    <r>
      <rPr>
        <b/>
        <sz val="11"/>
        <color theme="1"/>
        <rFont val="Calibri"/>
        <family val="2"/>
        <scheme val="minor"/>
      </rPr>
      <t xml:space="preserve">% suspected/mild/moderate tested (with targeted testing strategy): </t>
    </r>
    <r>
      <rPr>
        <sz val="11"/>
        <color theme="1"/>
        <rFont val="Calibri"/>
        <family val="2"/>
        <scheme val="minor"/>
      </rPr>
      <t>If the "targeted" testing strategy is selected, here the user will enter the % of mild/moderate/suspected cases that will receive tests (typically those in high-risk populations). All severe/critical patients will still receive tests.</t>
    </r>
  </si>
  <si>
    <r>
      <rPr>
        <b/>
        <sz val="11"/>
        <color theme="1"/>
        <rFont val="Calibri"/>
        <family val="2"/>
        <scheme val="minor"/>
      </rPr>
      <t xml:space="preserve">Testing algorithm: </t>
    </r>
    <r>
      <rPr>
        <sz val="11"/>
        <color theme="1"/>
        <rFont val="Calibri"/>
        <family val="2"/>
        <scheme val="minor"/>
      </rPr>
      <t>the user can build a testing algorithm and decide how many tests to allocate across case severity categories (mild/moderate and severe/critical) and testing entry point (diagnosis, confirmation of negative)</t>
    </r>
  </si>
  <si>
    <r>
      <t xml:space="preserve">Estimated negatives per positive: </t>
    </r>
    <r>
      <rPr>
        <sz val="11"/>
        <color theme="1"/>
        <rFont val="Calibri"/>
        <family val="2"/>
        <scheme val="minor"/>
      </rPr>
      <t>how many suspects will test negative for every positive (if "targeted" strategy chosen, % of suspected/mild/moderate will be applied to this number)</t>
    </r>
  </si>
  <si>
    <r>
      <rPr>
        <u/>
        <sz val="11"/>
        <color theme="1"/>
        <rFont val="Calibri"/>
        <family val="2"/>
        <scheme val="minor"/>
      </rPr>
      <t>Isolation:</t>
    </r>
    <r>
      <rPr>
        <sz val="11"/>
        <color theme="1"/>
        <rFont val="Calibri"/>
        <family val="2"/>
        <scheme val="minor"/>
      </rPr>
      <t xml:space="preserve"> Typically care provided at home or in a community facility (e.g., stadiums, gymnasiums, hotels) for mild/moderate patients  </t>
    </r>
  </si>
  <si>
    <r>
      <rPr>
        <u/>
        <sz val="11"/>
        <color theme="1"/>
        <rFont val="Calibri"/>
        <family val="2"/>
        <scheme val="minor"/>
      </rPr>
      <t>Patient Calcs:</t>
    </r>
    <r>
      <rPr>
        <sz val="11"/>
        <color theme="1"/>
        <rFont val="Calibri"/>
        <family val="2"/>
        <scheme val="minor"/>
      </rPr>
      <t xml:space="preserve"> Shows the patient numbers each week depending on the case estimation method selected on the 'User Dashboard'. It also is where users will manually enter the number of cases if the manual option is selected</t>
    </r>
  </si>
  <si>
    <r>
      <t>HCW + Staff Summary:</t>
    </r>
    <r>
      <rPr>
        <i/>
        <sz val="11"/>
        <color theme="1"/>
        <rFont val="Calibri"/>
        <family val="2"/>
        <scheme val="minor"/>
      </rPr>
      <t xml:space="preserve"> </t>
    </r>
    <r>
      <rPr>
        <sz val="11"/>
        <color theme="1"/>
        <rFont val="Calibri"/>
        <family val="2"/>
        <scheme val="minor"/>
      </rPr>
      <t>Summarizes staffing data from the World Bank and WHO by country.</t>
    </r>
  </si>
  <si>
    <r>
      <t xml:space="preserve">This tab contains the inputs/assumptions for the commodities forecasted by the tool. Across care settings (e.g., inpatient, </t>
    </r>
    <r>
      <rPr>
        <sz val="11"/>
        <color theme="1"/>
        <rFont val="Calibri"/>
        <family val="2"/>
        <scheme val="minor"/>
      </rPr>
      <t>screening/triage, and isolation) and end users (e.g., HCW, patients), tool users can alter the assumptions around commodity use that will flow through to the outputs on the 'User Dashboard' tab. For example, the user can keep the default assumption around respirators per HCW in the inpatient setting, or change to fit a specific context. This tab also lists any "add ons" that are supplied with certain commodities (e.g., cuffs with a patient monitor), and contains editable price estimates for each commodity.</t>
    </r>
  </si>
  <si>
    <r>
      <t>HCW &amp; Staff:</t>
    </r>
    <r>
      <rPr>
        <sz val="11"/>
        <color theme="1"/>
        <rFont val="Calibri"/>
        <family val="2"/>
        <scheme val="minor"/>
      </rPr>
      <t xml:space="preserve"> Calculates the number of HCWs, cleaners, caretakers, and ambulance personnel needed by setting (e.g., inpatient, screening/triage, isolation, lab).</t>
    </r>
  </si>
  <si>
    <t>Note that %s are capped to sum to 100% - to add more staff please increase total staff quantity in C62</t>
  </si>
  <si>
    <r>
      <t xml:space="preserve">This tab contains the majority of the modifiable user inputs that are used to shape and constrain the forecast. The links on the right can be used to quickly navigate to various sub-sections within this tab. Forecast scenario selectors relating to case estimation, forecast period, and testing strategy/algorithm are on the 'User Dashboard' tab.
Users can input their own assumptions in the blue cells, and reference assumptions are pre-populated to the right of each blue cell in a grey cell. </t>
    </r>
    <r>
      <rPr>
        <b/>
        <sz val="11"/>
        <color theme="1"/>
        <rFont val="Calibri"/>
        <family val="2"/>
        <scheme val="minor"/>
      </rPr>
      <t>If an input is 0, do not leave the cell blank:</t>
    </r>
    <r>
      <rPr>
        <sz val="11"/>
        <color theme="1"/>
        <rFont val="Calibri"/>
        <family val="2"/>
        <scheme val="minor"/>
      </rPr>
      <t xml:space="preserve"> enter in the number 0. If the blue cells are left blank, the tool will use the reference value for calculations. When "Manual Entry" is selected, the reference WB and WHO data will be based on global averages. If users would rather use </t>
    </r>
    <r>
      <rPr>
        <i/>
        <sz val="11"/>
        <color theme="1"/>
        <rFont val="Calibri"/>
        <family val="2"/>
        <scheme val="minor"/>
      </rPr>
      <t>all</t>
    </r>
    <r>
      <rPr>
        <sz val="11"/>
        <color theme="1"/>
        <rFont val="Calibri"/>
        <family val="2"/>
        <scheme val="minor"/>
      </rPr>
      <t xml:space="preserve"> the reference values rather than populate their own information they may select the box in cell D34. The model will then use all the reference data from the gray cells that will then be light yellow.
The 'User Dashboard' tab contains additional inputs for running scenarios, and is where the user can alter the way the tool estimates cases, the country's testing strategy, and the length of the forecast period.</t>
    </r>
  </si>
  <si>
    <t>Mild cases are considered to be isolating to minimize onward transmission</t>
  </si>
  <si>
    <t>Moderate cases are considered to be isolating to minimize onward transmission</t>
  </si>
  <si>
    <t>Severe patients, dependent on severe bed availability, admitted to hospital and requiring oxygen</t>
  </si>
  <si>
    <t>Critical cases, dependent on critical bed availability, admitted to hospital and requiring ventilation</t>
  </si>
  <si>
    <t>Note that length of stay must be entered in terms of weeks, not days</t>
  </si>
  <si>
    <t>Based on studies of case severity</t>
  </si>
  <si>
    <t>Note: HCW estimates are primarily used to estimate PPE and other equipment, not to differentiate tasks by cadre or to cap admitted patients. If the number of available HCWs and other staff is reached in the course of the forecast, the numbers of required staff stop growing and PPE is not forecasted for them given the assumption that they do not exist. However, this is not used to cap the number of patients seen.  Users are encouraged to use this section to plan for any required surge capacity. Throughout the tool, HCWs refers to all medical practitioners, including doctors, nursing professionals, and paramedical practitioners (ILO ISCO codes 2240, 2211, 2212, 2221, 3221, 5321, 3256)</t>
  </si>
  <si>
    <r>
      <t xml:space="preserve">% HCWs </t>
    </r>
    <r>
      <rPr>
        <u/>
        <sz val="11"/>
        <color theme="1"/>
        <rFont val="Calibri"/>
        <family val="2"/>
        <scheme val="minor"/>
      </rPr>
      <t>screening and triaging</t>
    </r>
    <r>
      <rPr>
        <sz val="11"/>
        <color theme="1"/>
        <rFont val="Calibri"/>
        <family val="2"/>
        <scheme val="minor"/>
      </rPr>
      <t xml:space="preserve"> suspected COVID-19 cases </t>
    </r>
  </si>
  <si>
    <t>HCWs screening and triaging suspected COVID cases at all points of access to the health system, including primary health centres, clinics, hospital emergency units, and ad hoc community settings</t>
  </si>
  <si>
    <t>HCW and Other Staff Ratios</t>
  </si>
  <si>
    <t>Informal Caregiver Ratios</t>
  </si>
  <si>
    <t>HCW and cleaner values are based on 8 hour shifts and the latest workforce estimates for time required to perform activities related to caring for severe/critical patients. If 1 HCW covered 1.9 beds during an 8-hour shift, and there were 3 shifts in a 24-hour day, there would be 3 HCWs per 1.9 beds per day, or 3/1.9. The user would enter 1.6 in the input cell). Reference values will vary depending on entered case severity split, due to different care requirements for severe vs. critical patients.</t>
  </si>
  <si>
    <t>Screening/triage ratio is based on the assumption that each screening/triage takes approximately 21 minutes, which is 23 consultations per 8-hour shift ((8*60)/21).</t>
  </si>
  <si>
    <t>Note that %s are capped to sum to 100% - to add more beds please increase total bed quantity in C98</t>
  </si>
  <si>
    <r>
      <t>O</t>
    </r>
    <r>
      <rPr>
        <b/>
        <vertAlign val="subscript"/>
        <sz val="11"/>
        <color theme="1"/>
        <rFont val="Calibri"/>
        <family val="2"/>
        <scheme val="minor"/>
      </rPr>
      <t>2</t>
    </r>
    <r>
      <rPr>
        <b/>
        <sz val="11"/>
        <color theme="1"/>
        <rFont val="Calibri"/>
        <family val="2"/>
        <scheme val="minor"/>
      </rPr>
      <t xml:space="preserve"> Flow Rate per Bed (LPM)</t>
    </r>
  </si>
  <si>
    <r>
      <t xml:space="preserve">If using another platform not mentioned in the list above, enter the platform, number of machines, and daily capacity </t>
    </r>
    <r>
      <rPr>
        <i/>
        <u/>
        <sz val="10"/>
        <color theme="1"/>
        <rFont val="Calibri"/>
        <family val="2"/>
        <scheme val="minor"/>
      </rPr>
      <t>per machine</t>
    </r>
    <r>
      <rPr>
        <i/>
        <sz val="10"/>
        <color theme="1"/>
        <rFont val="Calibri"/>
        <family val="2"/>
        <scheme val="minor"/>
      </rPr>
      <t xml:space="preserve"> for COVID-19 testing. Leave blank if not applicable. Assumes these platforms will run the same number of days per week as the high-throughput machines.</t>
    </r>
  </si>
  <si>
    <t>Reference assumes the % available lab staff will match the average % capacity for COVID-19 of the three types of lab platforms (high-throughput, near-patient, and manual) as entered above in the existing lab capacity section.</t>
  </si>
  <si>
    <t>Reference value assumes 1 lab for every 3 high-throughput, manual, or other platforms and 1 lab for every 4 GeneXpert modules</t>
  </si>
  <si>
    <r>
      <t xml:space="preserve">Supplies are forecast based on short-term needs: </t>
    </r>
    <r>
      <rPr>
        <sz val="10"/>
        <color theme="1"/>
        <rFont val="Arial"/>
        <family val="2"/>
      </rPr>
      <t>This calculator helps guide users through the process of making assumptions about the estimated number of cases over time. As with all forecasts, uncertainty increases when going further out into the future. Users may prefer to use their own assumptions about the expected epidemiological curve in their geography rather than select pre-set options in the tool. In that case, the calculator offers flexibility for users to manually input the case numbers for a selected time period.</t>
    </r>
  </si>
  <si>
    <t>Note: lines may overlap if the same percentage is applied to multiple case severity types (e.g., both mild and moderate at 40%)</t>
  </si>
  <si>
    <t>Note that the number of moderate and mild patients presented below refers to those that were diagnosed according to the selected testing strategy selected above. These numbers refer to active cases (i.e., they have not recovered)</t>
  </si>
  <si>
    <t xml:space="preserve">Introduction: this tab will be used to run scenarios based on changing epidemic models, testing strategies, and the forecast period. Basic definitions are given next to each cell or in a comment within the cell. If further information is required, see the 'Tool Overview' tab or the associated FAQ document. Please pay close attention to any notices in red to ensure a valid forecast. </t>
  </si>
  <si>
    <t>Jump back to Dashboard Inputs</t>
  </si>
  <si>
    <t>Enter Manual Case Numbers</t>
  </si>
  <si>
    <t>`</t>
  </si>
  <si>
    <t>Equipment List &amp; Usage</t>
  </si>
  <si>
    <r>
      <t xml:space="preserve">This tab contains the master list of commodities that the tool forecasts for. In cases where the commodity comes with or should include other equipment, those items are listed as well. The list also includes packages of drugs and consumables used to treat 40 severe/critical patients. Use the provided links to see what items are included in both of those packages. </t>
    </r>
    <r>
      <rPr>
        <b/>
        <sz val="11"/>
        <color theme="1"/>
        <rFont val="Calibri"/>
        <family val="2"/>
        <scheme val="minor"/>
      </rPr>
      <t>Items are listed vertically; and settings of care are listed horizontally. All cells in blue are editable.</t>
    </r>
  </si>
  <si>
    <r>
      <t xml:space="preserve">Unless users are inputting manual patient estimates, in which case they will alter the 'Patient Calcs' tab </t>
    </r>
    <r>
      <rPr>
        <sz val="11"/>
        <color theme="1"/>
        <rFont val="Calibri"/>
        <family val="2"/>
      </rPr>
      <t>→</t>
    </r>
  </si>
  <si>
    <t># of severe patients in bed by ends of each week</t>
  </si>
  <si>
    <t># of critical patients in bed by ends of each week</t>
  </si>
  <si>
    <t>Unconstrained HCW for screening/triage</t>
  </si>
  <si>
    <t>Note - models all patients being discharged before new patients arrive that week</t>
  </si>
  <si>
    <t>The below are patient estimates based on the case estimation method selected on the 'User Dashboard' tab</t>
  </si>
  <si>
    <r>
      <t xml:space="preserve">To manually enter the number of cases/week, fill in the </t>
    </r>
    <r>
      <rPr>
        <i/>
        <sz val="11"/>
        <color theme="1"/>
        <rFont val="Calibri"/>
        <family val="2"/>
        <scheme val="minor"/>
      </rPr>
      <t>Manual Entry</t>
    </r>
    <r>
      <rPr>
        <sz val="11"/>
        <color theme="1"/>
        <rFont val="Calibri"/>
        <family val="2"/>
        <scheme val="minor"/>
      </rPr>
      <t xml:space="preserve"> table (row 72)</t>
    </r>
    <r>
      <rPr>
        <sz val="11"/>
        <color theme="1"/>
        <rFont val="Calibri"/>
        <family val="2"/>
      </rPr>
      <t>→</t>
    </r>
  </si>
  <si>
    <t>To see the SIR model patient calculations, see row 129 (inputs to alter this on the 'User Dashboard' tab</t>
  </si>
  <si>
    <t>Go Back to User Dashboard</t>
  </si>
  <si>
    <t>Click here for more details on SIR model calculations</t>
  </si>
  <si>
    <t>Instructions: Enter the cumulative cases expected by week in column "C" (Manual Entry).</t>
  </si>
  <si>
    <t>First six weeks below are entered in column C as examples only</t>
  </si>
  <si>
    <t>INPATIENT CARE (Severe and Critical cases) - Quantity per person (or bed) per day</t>
  </si>
  <si>
    <t>LABORATORIES - Quantity/Person/Day</t>
  </si>
  <si>
    <t>SCREENING/TRIAGE- Quantity/Person/Day</t>
  </si>
  <si>
    <t>ISOLATION (mild and moderate cases) - Quantity/Person/Day</t>
  </si>
  <si>
    <t>Cost breakdown can be found starting in cell G224</t>
  </si>
  <si>
    <t>v2.0 as of: April 29, 2020</t>
  </si>
  <si>
    <t>Wastage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</si>
</sst>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_);_(* \(#,##0\);_(* &quot;-&quot;??_);_(@_)"/>
    <numFmt numFmtId="165" formatCode="_-* #,##0.00_-;\-* #,##0.00_-;_-* &quot;-&quot;??_-;_-@_-"/>
    <numFmt numFmtId="166" formatCode="0.0"/>
    <numFmt numFmtId="167" formatCode="_(* #,##0.0_);_(* \(#,##0.0\);_(* &quot;-&quot;??_);_(@_)"/>
    <numFmt numFmtId="168" formatCode="_(\ #,##0_);_(* \(#,##0\);_(* &quot;-&quot;??_);_(@_)"/>
    <numFmt numFmtId="169" formatCode="_(\ #,##0.00_);_(* \(#,##0.00\);_(* &quot;-&quot;??_);_(@_)"/>
    <numFmt numFmtId="170" formatCode="_(&quot;$&quot;* #,##0_);_(&quot;$&quot;* \(#,##0\);_(&quot;$&quot;* &quot;-&quot;??_);_(@_)"/>
    <numFmt numFmtId="171" formatCode="0.0%"/>
    <numFmt numFmtId="172" formatCode="_(* #,##0.000_);_(* \(#,##0.000\);_(* &quot;-&quot;??_);_(@_)"/>
    <numFmt numFmtId="173" formatCode="0.00000000%"/>
    <numFmt numFmtId="174" formatCode="#,##0_);\(#,##0\);&quot;-  &quot;;&quot; &quot;@"/>
    <numFmt numFmtId="175" formatCode="0.00000"/>
    <numFmt numFmtId="176" formatCode="#,##0.0"/>
    <numFmt numFmtId="177" formatCode="#,##0.0_);\(#,##0.0\)"/>
    <numFmt numFmtId="178" formatCode="0.000"/>
  </numFmts>
  <fonts count="120" x14ac:knownFonts="1">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sz val="11"/>
      <name val="Calibri"/>
      <family val="2"/>
      <scheme val="minor"/>
    </font>
    <font>
      <sz val="10"/>
      <name val="MS Sans Serif"/>
      <family val="2"/>
    </font>
    <font>
      <b/>
      <sz val="11"/>
      <color theme="0"/>
      <name val="Calibri"/>
      <family val="2"/>
      <scheme val="minor"/>
    </font>
    <font>
      <b/>
      <sz val="11"/>
      <color theme="1"/>
      <name val="Calibri"/>
      <family val="2"/>
      <scheme val="minor"/>
    </font>
    <font>
      <sz val="12"/>
      <color theme="1"/>
      <name val="Calibri"/>
      <family val="2"/>
      <scheme val="minor"/>
    </font>
    <font>
      <sz val="11"/>
      <color rgb="FF3F3F76"/>
      <name val="Calibri"/>
      <family val="2"/>
      <scheme val="minor"/>
    </font>
    <font>
      <sz val="10"/>
      <color rgb="FF000000"/>
      <name val="Arial"/>
      <family val="2"/>
    </font>
    <font>
      <b/>
      <sz val="11"/>
      <color rgb="FF3F3F76"/>
      <name val="Calibri"/>
      <family val="2"/>
      <scheme val="minor"/>
    </font>
    <font>
      <sz val="10"/>
      <name val="Arial"/>
      <family val="2"/>
    </font>
    <font>
      <i/>
      <sz val="11"/>
      <color theme="1"/>
      <name val="Calibri"/>
      <family val="2"/>
      <scheme val="minor"/>
    </font>
    <font>
      <sz val="11"/>
      <color theme="0"/>
      <name val="Calibri"/>
      <family val="2"/>
      <scheme val="minor"/>
    </font>
    <font>
      <b/>
      <sz val="12"/>
      <color theme="1"/>
      <name val="Calibri"/>
      <family val="2"/>
      <scheme val="minor"/>
    </font>
    <font>
      <b/>
      <sz val="11"/>
      <name val="Calibri"/>
      <family val="2"/>
      <scheme val="minor"/>
    </font>
    <font>
      <b/>
      <sz val="16"/>
      <color theme="0"/>
      <name val="Calibri"/>
      <family val="2"/>
      <scheme val="minor"/>
    </font>
    <font>
      <sz val="9"/>
      <color indexed="81"/>
      <name val="Tahoma"/>
      <family val="2"/>
    </font>
    <font>
      <b/>
      <sz val="9"/>
      <color indexed="81"/>
      <name val="Tahoma"/>
      <family val="2"/>
    </font>
    <font>
      <b/>
      <u/>
      <sz val="11"/>
      <color theme="1"/>
      <name val="Calibri"/>
      <family val="2"/>
      <scheme val="minor"/>
    </font>
    <font>
      <b/>
      <sz val="14"/>
      <color theme="1"/>
      <name val="Calibri"/>
      <family val="2"/>
      <scheme val="minor"/>
    </font>
    <font>
      <b/>
      <i/>
      <sz val="11"/>
      <color theme="1"/>
      <name val="Calibri"/>
      <family val="2"/>
      <scheme val="minor"/>
    </font>
    <font>
      <b/>
      <sz val="14"/>
      <color theme="0"/>
      <name val="Calibri"/>
      <family val="2"/>
      <scheme val="minor"/>
    </font>
    <font>
      <sz val="11"/>
      <color theme="0" tint="-0.34998626667073579"/>
      <name val="Calibri"/>
      <family val="2"/>
      <scheme val="minor"/>
    </font>
    <font>
      <sz val="10"/>
      <name val="Arial"/>
      <family val="2"/>
    </font>
    <font>
      <b/>
      <sz val="10"/>
      <name val="Arial"/>
      <family val="2"/>
    </font>
    <font>
      <b/>
      <u/>
      <sz val="11"/>
      <color theme="0" tint="-0.34998626667073579"/>
      <name val="Calibri"/>
      <family val="2"/>
      <scheme val="minor"/>
    </font>
    <font>
      <b/>
      <sz val="24"/>
      <color theme="0"/>
      <name val="Calibri"/>
      <family val="2"/>
      <scheme val="minor"/>
    </font>
    <font>
      <sz val="11"/>
      <color theme="1"/>
      <name val="Calibri"/>
      <family val="2"/>
    </font>
    <font>
      <b/>
      <sz val="11"/>
      <color theme="1"/>
      <name val="Calibri"/>
      <family val="2"/>
    </font>
    <font>
      <b/>
      <sz val="13"/>
      <color theme="1"/>
      <name val="Calibri"/>
      <family val="2"/>
      <scheme val="minor"/>
    </font>
    <font>
      <b/>
      <i/>
      <sz val="11"/>
      <color theme="1"/>
      <name val="Calibri"/>
      <family val="2"/>
    </font>
    <font>
      <b/>
      <sz val="12"/>
      <color theme="0"/>
      <name val="Calibri"/>
      <family val="2"/>
      <scheme val="minor"/>
    </font>
    <font>
      <b/>
      <u/>
      <sz val="11"/>
      <color theme="1"/>
      <name val="Calibri"/>
      <family val="2"/>
    </font>
    <font>
      <b/>
      <i/>
      <sz val="10"/>
      <color rgb="FFC00000"/>
      <name val="Calibri"/>
      <family val="2"/>
      <scheme val="minor"/>
    </font>
    <font>
      <u/>
      <sz val="11"/>
      <color theme="1"/>
      <name val="Calibri"/>
      <family val="2"/>
    </font>
    <font>
      <u/>
      <sz val="11"/>
      <color theme="1"/>
      <name val="Calibri"/>
      <family val="2"/>
      <scheme val="minor"/>
    </font>
    <font>
      <b/>
      <i/>
      <sz val="12"/>
      <color theme="0"/>
      <name val="Calibri"/>
      <family val="2"/>
      <scheme val="minor"/>
    </font>
    <font>
      <sz val="10"/>
      <color theme="1"/>
      <name val="Calibri"/>
      <family val="2"/>
      <scheme val="minor"/>
    </font>
    <font>
      <u/>
      <sz val="10"/>
      <name val="Arial"/>
      <family val="2"/>
    </font>
    <font>
      <b/>
      <u/>
      <sz val="11"/>
      <name val="Calibri"/>
      <family val="2"/>
      <scheme val="minor"/>
    </font>
    <font>
      <b/>
      <sz val="10"/>
      <color theme="1"/>
      <name val="Calibri"/>
      <family val="2"/>
      <scheme val="minor"/>
    </font>
    <font>
      <sz val="11"/>
      <color theme="2" tint="-0.499984740745262"/>
      <name val="Calibri"/>
      <family val="2"/>
      <scheme val="minor"/>
    </font>
    <font>
      <b/>
      <i/>
      <sz val="14"/>
      <color theme="8" tint="-0.499984740745262"/>
      <name val="Calibri"/>
      <family val="2"/>
      <scheme val="minor"/>
    </font>
    <font>
      <i/>
      <sz val="11"/>
      <color theme="1"/>
      <name val="Calibri"/>
      <family val="2"/>
    </font>
    <font>
      <b/>
      <sz val="10"/>
      <name val="Calibri"/>
      <family val="2"/>
      <scheme val="minor"/>
    </font>
    <font>
      <sz val="10"/>
      <name val="Calibri"/>
      <family val="2"/>
      <scheme val="minor"/>
    </font>
    <font>
      <u/>
      <sz val="11"/>
      <color theme="10"/>
      <name val="Calibri"/>
      <family val="2"/>
      <scheme val="minor"/>
    </font>
    <font>
      <b/>
      <sz val="11"/>
      <name val="Arial"/>
      <family val="2"/>
    </font>
    <font>
      <b/>
      <u/>
      <sz val="11"/>
      <color indexed="12"/>
      <name val="Arial"/>
      <family val="2"/>
    </font>
    <font>
      <i/>
      <sz val="11"/>
      <color theme="0"/>
      <name val="Calibri"/>
      <family val="2"/>
      <scheme val="minor"/>
    </font>
    <font>
      <b/>
      <sz val="11"/>
      <color theme="1" tint="4.9989318521683403E-2"/>
      <name val="Calibri"/>
      <family val="2"/>
      <scheme val="minor"/>
    </font>
    <font>
      <b/>
      <sz val="10"/>
      <color theme="1"/>
      <name val="Arial"/>
      <family val="2"/>
    </font>
    <font>
      <sz val="10"/>
      <color theme="1"/>
      <name val="Arial"/>
      <family val="2"/>
    </font>
    <font>
      <b/>
      <sz val="11"/>
      <color theme="0"/>
      <name val="Calibri"/>
      <family val="2"/>
    </font>
    <font>
      <i/>
      <sz val="11"/>
      <name val="Calibri"/>
      <family val="2"/>
      <scheme val="minor"/>
    </font>
    <font>
      <sz val="10"/>
      <color theme="2" tint="-0.499984740745262"/>
      <name val="Calibri"/>
      <family val="2"/>
      <scheme val="minor"/>
    </font>
    <font>
      <i/>
      <sz val="10"/>
      <color theme="1"/>
      <name val="Calibri"/>
      <family val="2"/>
      <scheme val="minor"/>
    </font>
    <font>
      <sz val="11"/>
      <color rgb="FF1E7FB8"/>
      <name val="Calibri"/>
      <family val="2"/>
      <scheme val="minor"/>
    </font>
    <font>
      <b/>
      <u/>
      <sz val="12"/>
      <color theme="4"/>
      <name val="Calibri"/>
      <family val="2"/>
      <scheme val="minor"/>
    </font>
    <font>
      <sz val="11"/>
      <color theme="8" tint="0.79998168889431442"/>
      <name val="Calibri"/>
      <family val="2"/>
      <scheme val="minor"/>
    </font>
    <font>
      <b/>
      <vertAlign val="subscript"/>
      <sz val="11"/>
      <color theme="1"/>
      <name val="Calibri"/>
      <family val="2"/>
      <scheme val="minor"/>
    </font>
    <font>
      <i/>
      <sz val="10"/>
      <color theme="2" tint="-0.499984740745262"/>
      <name val="Calibri"/>
      <family val="2"/>
      <scheme val="minor"/>
    </font>
    <font>
      <b/>
      <sz val="11"/>
      <color rgb="FFC00000"/>
      <name val="Calibri"/>
      <family val="2"/>
      <scheme val="minor"/>
    </font>
    <font>
      <b/>
      <sz val="10"/>
      <color theme="0"/>
      <name val="Calibri"/>
      <family val="2"/>
      <scheme val="minor"/>
    </font>
    <font>
      <b/>
      <sz val="11"/>
      <color theme="4"/>
      <name val="Calibri"/>
      <family val="2"/>
      <scheme val="minor"/>
    </font>
    <font>
      <sz val="11"/>
      <color theme="0" tint="-0.499984740745262"/>
      <name val="Calibri"/>
      <family val="2"/>
      <scheme val="minor"/>
    </font>
    <font>
      <sz val="11"/>
      <color rgb="FF000000"/>
      <name val="Calibri"/>
      <family val="2"/>
      <scheme val="minor"/>
    </font>
    <font>
      <i/>
      <sz val="11"/>
      <color rgb="FFFF0000"/>
      <name val="Calibri"/>
      <family val="2"/>
      <scheme val="minor"/>
    </font>
    <font>
      <b/>
      <sz val="11"/>
      <color rgb="FF000000"/>
      <name val="Calibri"/>
      <family val="2"/>
      <scheme val="minor"/>
    </font>
    <font>
      <sz val="11"/>
      <color theme="4"/>
      <name val="Calibri"/>
      <family val="2"/>
      <scheme val="minor"/>
    </font>
    <font>
      <u/>
      <sz val="11"/>
      <color theme="4"/>
      <name val="Calibri"/>
      <family val="2"/>
      <scheme val="minor"/>
    </font>
    <font>
      <i/>
      <sz val="9"/>
      <color theme="1"/>
      <name val="Calibri"/>
      <family val="2"/>
      <scheme val="minor"/>
    </font>
    <font>
      <i/>
      <sz val="10"/>
      <name val="Calibri"/>
      <family val="2"/>
      <scheme val="minor"/>
    </font>
    <font>
      <b/>
      <i/>
      <sz val="12"/>
      <color theme="1"/>
      <name val="Calibri"/>
      <family val="2"/>
      <scheme val="minor"/>
    </font>
    <font>
      <sz val="11"/>
      <color rgb="FF006100"/>
      <name val="Calibri"/>
      <family val="2"/>
      <scheme val="minor"/>
    </font>
    <font>
      <b/>
      <sz val="11"/>
      <color theme="4"/>
      <name val="Calibri"/>
      <family val="2"/>
    </font>
    <font>
      <sz val="14"/>
      <color theme="1"/>
      <name val="Calibri"/>
      <family val="2"/>
      <scheme val="minor"/>
    </font>
    <font>
      <i/>
      <sz val="10"/>
      <color theme="1"/>
      <name val="Arial"/>
      <family val="2"/>
    </font>
    <font>
      <b/>
      <i/>
      <sz val="10"/>
      <color theme="1"/>
      <name val="Calibri"/>
      <family val="2"/>
      <scheme val="minor"/>
    </font>
    <font>
      <i/>
      <sz val="11"/>
      <color rgb="FFC00000"/>
      <name val="Calibri"/>
      <family val="2"/>
      <scheme val="minor"/>
    </font>
    <font>
      <b/>
      <sz val="12"/>
      <color theme="9" tint="-0.249977111117893"/>
      <name val="Calibri"/>
      <family val="2"/>
      <scheme val="minor"/>
    </font>
    <font>
      <b/>
      <sz val="12"/>
      <color theme="4"/>
      <name val="Calibri"/>
      <family val="2"/>
      <scheme val="minor"/>
    </font>
    <font>
      <b/>
      <sz val="12"/>
      <color theme="0" tint="-4.9989318521683403E-2"/>
      <name val="Calibri"/>
      <family val="2"/>
      <scheme val="minor"/>
    </font>
    <font>
      <sz val="12"/>
      <color theme="4"/>
      <name val="Calibri"/>
      <family val="2"/>
      <scheme val="minor"/>
    </font>
    <font>
      <sz val="24"/>
      <color theme="0"/>
      <name val="Calibri"/>
      <family val="2"/>
      <scheme val="minor"/>
    </font>
    <font>
      <sz val="12"/>
      <color theme="4" tint="-0.249977111117893"/>
      <name val="Calibri"/>
      <family val="2"/>
      <scheme val="minor"/>
    </font>
    <font>
      <b/>
      <sz val="12"/>
      <color theme="4" tint="-0.249977111117893"/>
      <name val="Calibri"/>
      <family val="2"/>
      <scheme val="minor"/>
    </font>
    <font>
      <b/>
      <sz val="16"/>
      <color theme="1"/>
      <name val="Calibri"/>
      <family val="2"/>
      <scheme val="minor"/>
    </font>
    <font>
      <strike/>
      <sz val="11"/>
      <color theme="1"/>
      <name val="Calibri"/>
      <family val="2"/>
      <scheme val="minor"/>
    </font>
    <font>
      <b/>
      <i/>
      <sz val="11"/>
      <name val="Calibri"/>
      <family val="2"/>
      <scheme val="minor"/>
    </font>
    <font>
      <b/>
      <u/>
      <sz val="11"/>
      <color indexed="12"/>
      <name val="Calibri"/>
      <family val="2"/>
      <scheme val="minor"/>
    </font>
    <font>
      <b/>
      <u/>
      <sz val="14"/>
      <color theme="0"/>
      <name val="Calibri"/>
      <family val="2"/>
      <scheme val="minor"/>
    </font>
    <font>
      <sz val="14"/>
      <color theme="0"/>
      <name val="Calibri"/>
      <family val="2"/>
      <scheme val="minor"/>
    </font>
    <font>
      <b/>
      <sz val="11"/>
      <color rgb="FFFF0000"/>
      <name val="Calibri"/>
      <family val="2"/>
      <scheme val="minor"/>
    </font>
    <font>
      <i/>
      <sz val="9"/>
      <color theme="0" tint="-0.499984740745262"/>
      <name val="Calibri"/>
      <family val="2"/>
      <scheme val="minor"/>
    </font>
    <font>
      <i/>
      <sz val="10"/>
      <color theme="0" tint="-0.499984740745262"/>
      <name val="Calibri"/>
      <family val="2"/>
      <scheme val="minor"/>
    </font>
    <font>
      <b/>
      <u/>
      <sz val="12"/>
      <color theme="10"/>
      <name val="Calibri"/>
      <family val="2"/>
      <scheme val="minor"/>
    </font>
    <font>
      <sz val="10"/>
      <color theme="1"/>
      <name val="Calibri"/>
      <family val="2"/>
    </font>
    <font>
      <sz val="11"/>
      <color theme="5"/>
      <name val="Calibri"/>
      <family val="2"/>
      <scheme val="minor"/>
    </font>
    <font>
      <sz val="10"/>
      <color theme="5"/>
      <name val="Calibri"/>
      <family val="2"/>
      <scheme val="minor"/>
    </font>
    <font>
      <b/>
      <sz val="11"/>
      <color theme="5"/>
      <name val="Calibri"/>
      <family val="2"/>
      <scheme val="minor"/>
    </font>
    <font>
      <sz val="11"/>
      <color theme="9" tint="-0.249977111117893"/>
      <name val="Calibri"/>
      <family val="2"/>
      <scheme val="minor"/>
    </font>
    <font>
      <i/>
      <sz val="10"/>
      <name val="Arial"/>
      <family val="2"/>
    </font>
    <font>
      <b/>
      <u/>
      <sz val="11"/>
      <color rgb="FFFF0000"/>
      <name val="Calibri"/>
      <family val="2"/>
      <scheme val="minor"/>
    </font>
    <font>
      <b/>
      <i/>
      <sz val="10"/>
      <name val="Calibri"/>
      <family val="2"/>
      <scheme val="minor"/>
    </font>
    <font>
      <sz val="11"/>
      <color theme="9"/>
      <name val="Calibri"/>
      <family val="2"/>
      <scheme val="minor"/>
    </font>
    <font>
      <sz val="10"/>
      <color theme="9"/>
      <name val="Arial"/>
      <family val="2"/>
    </font>
    <font>
      <sz val="10.5"/>
      <color theme="1"/>
      <name val="Calibri"/>
      <family val="2"/>
      <scheme val="minor"/>
    </font>
    <font>
      <i/>
      <sz val="10.5"/>
      <color theme="1"/>
      <name val="Calibri"/>
      <family val="2"/>
      <scheme val="minor"/>
    </font>
    <font>
      <i/>
      <sz val="9"/>
      <name val="Calibri"/>
      <family val="2"/>
      <scheme val="minor"/>
    </font>
    <font>
      <b/>
      <i/>
      <u/>
      <sz val="9"/>
      <color theme="1"/>
      <name val="Calibri"/>
      <family val="2"/>
      <scheme val="minor"/>
    </font>
    <font>
      <b/>
      <i/>
      <sz val="9"/>
      <color theme="1"/>
      <name val="Calibri"/>
      <family val="2"/>
      <scheme val="minor"/>
    </font>
    <font>
      <b/>
      <i/>
      <sz val="9"/>
      <name val="Calibri"/>
      <family val="2"/>
      <scheme val="minor"/>
    </font>
    <font>
      <u/>
      <sz val="9"/>
      <color rgb="FF000000"/>
      <name val="Tahoma"/>
      <family val="2"/>
    </font>
    <font>
      <sz val="9"/>
      <color rgb="FF000000"/>
      <name val="Tahoma"/>
      <family val="2"/>
    </font>
    <font>
      <sz val="8"/>
      <color rgb="FF000000"/>
      <name val="Segoe UI"/>
      <family val="2"/>
    </font>
    <font>
      <i/>
      <u/>
      <sz val="10"/>
      <color theme="1"/>
      <name val="Calibri"/>
      <family val="2"/>
      <scheme val="minor"/>
    </font>
    <font>
      <sz val="11"/>
      <color rgb="FFC00000"/>
      <name val="Calibri"/>
      <family val="2"/>
      <scheme val="minor"/>
    </font>
  </fonts>
  <fills count="39">
    <fill>
      <patternFill patternType="none"/>
    </fill>
    <fill>
      <patternFill patternType="gray125"/>
    </fill>
    <fill>
      <patternFill patternType="solid">
        <fgColor rgb="FFFFCC99"/>
      </patternFill>
    </fill>
    <fill>
      <patternFill patternType="solid">
        <fgColor rgb="FF1E7FB8"/>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8"/>
        <bgColor indexed="64"/>
      </patternFill>
    </fill>
    <fill>
      <patternFill patternType="solid">
        <fgColor theme="4"/>
        <bgColor theme="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C6EFCE"/>
      </patternFill>
    </fill>
    <fill>
      <patternFill patternType="solid">
        <fgColor theme="7" tint="0.59999389629810485"/>
        <bgColor indexed="64"/>
      </patternFill>
    </fill>
    <fill>
      <patternFill patternType="solid">
        <fgColor rgb="FFFF0000"/>
        <bgColor indexed="64"/>
      </patternFill>
    </fill>
    <fill>
      <patternFill patternType="solid">
        <fgColor theme="2" tint="-0.499984740745262"/>
        <bgColor theme="4" tint="0.79998168889431442"/>
      </patternFill>
    </fill>
    <fill>
      <patternFill patternType="solid">
        <fgColor theme="2" tint="-0.249977111117893"/>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0.499984740745262"/>
        <bgColor theme="4"/>
      </patternFill>
    </fill>
    <fill>
      <patternFill patternType="solid">
        <fgColor theme="2" tint="-9.9978637043366805E-2"/>
        <bgColor theme="4" tint="0.79998168889431442"/>
      </patternFill>
    </fill>
  </fills>
  <borders count="112">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indexed="64"/>
      </top>
      <bottom style="thin">
        <color auto="1"/>
      </bottom>
      <diagonal/>
    </border>
    <border>
      <left style="medium">
        <color indexed="64"/>
      </left>
      <right/>
      <top style="thin">
        <color auto="1"/>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auto="1"/>
      </right>
      <top/>
      <bottom style="thin">
        <color auto="1"/>
      </bottom>
      <diagonal/>
    </border>
    <border>
      <left/>
      <right/>
      <top style="medium">
        <color indexed="64"/>
      </top>
      <bottom style="thin">
        <color auto="1"/>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auto="1"/>
      </bottom>
      <diagonal/>
    </border>
    <border>
      <left/>
      <right style="medium">
        <color indexed="64"/>
      </right>
      <top style="thin">
        <color theme="4" tint="0.39997558519241921"/>
      </top>
      <bottom style="thin">
        <color indexed="64"/>
      </bottom>
      <diagonal/>
    </border>
    <border>
      <left style="medium">
        <color indexed="64"/>
      </left>
      <right/>
      <top style="medium">
        <color indexed="64"/>
      </top>
      <bottom style="thin">
        <color indexed="64"/>
      </bottom>
      <diagonal/>
    </border>
    <border>
      <left style="thin">
        <color theme="1"/>
      </left>
      <right style="medium">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medium">
        <color theme="1"/>
      </left>
      <right style="thin">
        <color theme="1"/>
      </right>
      <top style="thin">
        <color theme="1"/>
      </top>
      <bottom style="medium">
        <color auto="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style="thin">
        <color theme="1"/>
      </right>
      <top style="thin">
        <color theme="1"/>
      </top>
      <bottom style="medium">
        <color auto="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medium">
        <color auto="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theme="1"/>
      </left>
      <right style="medium">
        <color theme="1"/>
      </right>
      <top style="thin">
        <color auto="1"/>
      </top>
      <bottom style="thin">
        <color theme="1"/>
      </bottom>
      <diagonal/>
    </border>
    <border>
      <left style="thin">
        <color theme="1"/>
      </left>
      <right style="thin">
        <color theme="1"/>
      </right>
      <top style="thin">
        <color auto="1"/>
      </top>
      <bottom style="thin">
        <color theme="1"/>
      </bottom>
      <diagonal/>
    </border>
    <border>
      <left style="medium">
        <color theme="1"/>
      </left>
      <right style="thin">
        <color theme="1"/>
      </right>
      <top style="thin">
        <color auto="1"/>
      </top>
      <bottom style="thin">
        <color theme="1"/>
      </bottom>
      <diagonal/>
    </border>
    <border>
      <left style="medium">
        <color auto="1"/>
      </left>
      <right style="thin">
        <color theme="1"/>
      </right>
      <top style="thin">
        <color auto="1"/>
      </top>
      <bottom style="thin">
        <color theme="1"/>
      </bottom>
      <diagonal/>
    </border>
    <border>
      <left style="thin">
        <color theme="1"/>
      </left>
      <right/>
      <top/>
      <bottom style="thin">
        <color theme="1"/>
      </bottom>
      <diagonal/>
    </border>
    <border>
      <left style="thin">
        <color theme="1"/>
      </left>
      <right style="medium">
        <color theme="1"/>
      </right>
      <top style="thin">
        <color theme="1"/>
      </top>
      <bottom style="thin">
        <color auto="1"/>
      </bottom>
      <diagonal/>
    </border>
    <border>
      <left style="thin">
        <color theme="1"/>
      </left>
      <right style="thin">
        <color theme="1"/>
      </right>
      <top style="thin">
        <color theme="1"/>
      </top>
      <bottom style="thin">
        <color auto="1"/>
      </bottom>
      <diagonal/>
    </border>
    <border>
      <left style="medium">
        <color theme="1"/>
      </left>
      <right style="thin">
        <color theme="1"/>
      </right>
      <top style="thin">
        <color theme="1"/>
      </top>
      <bottom style="thin">
        <color auto="1"/>
      </bottom>
      <diagonal/>
    </border>
    <border>
      <left style="medium">
        <color auto="1"/>
      </left>
      <right style="thin">
        <color theme="1"/>
      </right>
      <top style="thin">
        <color theme="1"/>
      </top>
      <bottom style="thin">
        <color auto="1"/>
      </bottom>
      <diagonal/>
    </border>
    <border>
      <left style="thin">
        <color indexed="64"/>
      </left>
      <right style="medium">
        <color auto="1"/>
      </right>
      <top style="medium">
        <color theme="1"/>
      </top>
      <bottom/>
      <diagonal/>
    </border>
    <border>
      <left style="thin">
        <color indexed="64"/>
      </left>
      <right style="thin">
        <color indexed="64"/>
      </right>
      <top style="medium">
        <color theme="1"/>
      </top>
      <bottom/>
      <diagonal/>
    </border>
    <border>
      <left style="thin">
        <color auto="1"/>
      </left>
      <right/>
      <top style="medium">
        <color auto="1"/>
      </top>
      <bottom style="medium">
        <color theme="1"/>
      </bottom>
      <diagonal/>
    </border>
    <border>
      <left/>
      <right style="thin">
        <color auto="1"/>
      </right>
      <top style="medium">
        <color auto="1"/>
      </top>
      <bottom style="medium">
        <color theme="1"/>
      </bottom>
      <diagonal/>
    </border>
    <border>
      <left/>
      <right/>
      <top/>
      <bottom style="thin">
        <color theme="4"/>
      </bottom>
      <diagonal/>
    </border>
    <border>
      <left/>
      <right/>
      <top style="thin">
        <color theme="4"/>
      </top>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style="thin">
        <color theme="4" tint="0.39997558519241921"/>
      </top>
      <bottom style="medium">
        <color indexed="64"/>
      </bottom>
      <diagonal/>
    </border>
    <border>
      <left/>
      <right/>
      <top/>
      <bottom style="thin">
        <color theme="4" tint="0.3999755851924192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31">
    <xf numFmtId="0" fontId="0" fillId="0" borderId="0"/>
    <xf numFmtId="43" fontId="2" fillId="0" borderId="0" applyFont="0" applyFill="0" applyBorder="0" applyAlignment="0" applyProtection="0"/>
    <xf numFmtId="0" fontId="5" fillId="0" borderId="0"/>
    <xf numFmtId="165" fontId="5" fillId="0" borderId="0" applyFont="0" applyFill="0" applyBorder="0" applyAlignment="0" applyProtection="0"/>
    <xf numFmtId="0" fontId="8" fillId="0" borderId="0"/>
    <xf numFmtId="0" fontId="9" fillId="2" borderId="11" applyNumberFormat="0" applyAlignment="0" applyProtection="0"/>
    <xf numFmtId="0" fontId="10" fillId="0" borderId="0"/>
    <xf numFmtId="0" fontId="2" fillId="0" borderId="0"/>
    <xf numFmtId="9" fontId="2" fillId="0" borderId="0" applyFont="0" applyFill="0" applyBorder="0" applyAlignment="0" applyProtection="0"/>
    <xf numFmtId="43" fontId="10" fillId="0" borderId="0" applyFont="0" applyFill="0" applyBorder="0" applyAlignment="0" applyProtection="0"/>
    <xf numFmtId="0" fontId="2" fillId="0" borderId="0"/>
    <xf numFmtId="0" fontId="25" fillId="0" borderId="0"/>
    <xf numFmtId="43" fontId="25" fillId="0" borderId="0" applyFont="0" applyFill="0" applyBorder="0" applyAlignment="0" applyProtection="0"/>
    <xf numFmtId="0" fontId="1" fillId="0" borderId="0"/>
    <xf numFmtId="0" fontId="2" fillId="0" borderId="0"/>
    <xf numFmtId="0" fontId="48" fillId="0" borderId="0" applyNumberFormat="0" applyFill="0" applyBorder="0" applyAlignment="0" applyProtection="0"/>
    <xf numFmtId="0" fontId="12" fillId="0" borderId="0">
      <alignment vertical="top"/>
    </xf>
    <xf numFmtId="0" fontId="12" fillId="0" borderId="1">
      <alignment vertical="top"/>
    </xf>
    <xf numFmtId="0" fontId="49" fillId="0" borderId="56">
      <alignment vertical="top" wrapText="1"/>
    </xf>
    <xf numFmtId="0" fontId="50" fillId="0" borderId="56">
      <alignment vertical="top" wrapText="1"/>
    </xf>
    <xf numFmtId="0" fontId="12" fillId="0" borderId="0"/>
    <xf numFmtId="44" fontId="2" fillId="0" borderId="0" applyFont="0" applyFill="0" applyBorder="0" applyAlignment="0" applyProtection="0"/>
    <xf numFmtId="0" fontId="76" fillId="30" borderId="0" applyNumberFormat="0" applyBorder="0" applyAlignment="0" applyProtection="0"/>
    <xf numFmtId="0" fontId="1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10" fillId="0" borderId="0"/>
    <xf numFmtId="174" fontId="26" fillId="0" borderId="0" applyFont="0" applyFill="0" applyBorder="0" applyProtection="0">
      <alignment vertical="top"/>
    </xf>
    <xf numFmtId="0" fontId="12" fillId="0" borderId="0" applyNumberFormat="0" applyFont="0" applyFill="0" applyBorder="0" applyAlignment="0" applyProtection="0"/>
    <xf numFmtId="43" fontId="12" fillId="0" borderId="0" applyFont="0" applyFill="0" applyBorder="0" applyAlignment="0" applyProtection="0"/>
  </cellStyleXfs>
  <cellXfs count="1554">
    <xf numFmtId="0" fontId="0" fillId="0" borderId="0" xfId="0"/>
    <xf numFmtId="0" fontId="0" fillId="0" borderId="0" xfId="0" applyAlignment="1">
      <alignment wrapText="1"/>
    </xf>
    <xf numFmtId="1" fontId="0" fillId="0" borderId="0" xfId="0" applyNumberFormat="1"/>
    <xf numFmtId="0" fontId="0" fillId="0" borderId="0" xfId="0" applyFont="1" applyFill="1"/>
    <xf numFmtId="0" fontId="7" fillId="0" borderId="0" xfId="0" applyFont="1"/>
    <xf numFmtId="0" fontId="0" fillId="0" borderId="0" xfId="0" applyFont="1"/>
    <xf numFmtId="0" fontId="0" fillId="0" borderId="0" xfId="0" applyFill="1"/>
    <xf numFmtId="0" fontId="0" fillId="0" borderId="0" xfId="0" applyFill="1" applyBorder="1"/>
    <xf numFmtId="0" fontId="20" fillId="0" borderId="0" xfId="0" applyFont="1"/>
    <xf numFmtId="0" fontId="14" fillId="0" borderId="0" xfId="0" applyFont="1"/>
    <xf numFmtId="0" fontId="0" fillId="6" borderId="0" xfId="0" applyFill="1"/>
    <xf numFmtId="0" fontId="0" fillId="8" borderId="0" xfId="0" applyFill="1"/>
    <xf numFmtId="0" fontId="0" fillId="10" borderId="0" xfId="0" applyFill="1"/>
    <xf numFmtId="0" fontId="7" fillId="7" borderId="0" xfId="0" applyFont="1" applyFill="1"/>
    <xf numFmtId="0" fontId="0" fillId="7" borderId="0" xfId="0" applyFill="1"/>
    <xf numFmtId="0" fontId="3" fillId="0" borderId="0" xfId="0" applyFont="1"/>
    <xf numFmtId="1" fontId="16" fillId="0" borderId="15" xfId="8" applyNumberFormat="1" applyFont="1" applyFill="1" applyBorder="1" applyAlignment="1">
      <alignment horizontal="center"/>
    </xf>
    <xf numFmtId="0" fontId="7" fillId="0" borderId="15" xfId="0" applyFont="1" applyFill="1" applyBorder="1"/>
    <xf numFmtId="0" fontId="7" fillId="0" borderId="15" xfId="0" applyFont="1" applyBorder="1"/>
    <xf numFmtId="0" fontId="21" fillId="9" borderId="0" xfId="0" applyFont="1" applyFill="1"/>
    <xf numFmtId="0" fontId="13" fillId="0" borderId="0" xfId="0" applyFont="1"/>
    <xf numFmtId="0" fontId="7" fillId="0" borderId="15" xfId="0" applyFont="1" applyBorder="1" applyAlignment="1">
      <alignment horizontal="center"/>
    </xf>
    <xf numFmtId="0" fontId="7" fillId="0" borderId="0" xfId="0" applyFont="1" applyFill="1" applyBorder="1"/>
    <xf numFmtId="0" fontId="0" fillId="0" borderId="0" xfId="0" applyFont="1" applyFill="1" applyBorder="1" applyAlignment="1">
      <alignment horizontal="center"/>
    </xf>
    <xf numFmtId="0" fontId="23" fillId="17" borderId="0" xfId="0" applyFont="1" applyFill="1"/>
    <xf numFmtId="0" fontId="23" fillId="17" borderId="0" xfId="0" applyFont="1" applyFill="1" applyAlignment="1">
      <alignment wrapText="1"/>
    </xf>
    <xf numFmtId="0" fontId="0" fillId="18" borderId="0" xfId="0" applyFill="1"/>
    <xf numFmtId="0" fontId="0" fillId="18" borderId="0" xfId="0" applyFill="1" applyAlignment="1">
      <alignment wrapText="1"/>
    </xf>
    <xf numFmtId="0" fontId="7" fillId="0" borderId="0" xfId="0" applyFont="1" applyAlignment="1">
      <alignment wrapText="1"/>
    </xf>
    <xf numFmtId="164" fontId="0" fillId="0" borderId="0" xfId="1" applyNumberFormat="1" applyFont="1"/>
    <xf numFmtId="164" fontId="0" fillId="0" borderId="0" xfId="0" applyNumberFormat="1"/>
    <xf numFmtId="164" fontId="0" fillId="0" borderId="0" xfId="1" applyNumberFormat="1" applyFont="1" applyFill="1"/>
    <xf numFmtId="0" fontId="13" fillId="0" borderId="0" xfId="0" applyFont="1" applyFill="1"/>
    <xf numFmtId="43" fontId="0" fillId="0" borderId="0" xfId="0" applyNumberFormat="1"/>
    <xf numFmtId="0" fontId="25" fillId="0" borderId="0" xfId="11"/>
    <xf numFmtId="164" fontId="0" fillId="0" borderId="0" xfId="0" applyNumberFormat="1" applyFill="1"/>
    <xf numFmtId="0" fontId="7" fillId="0" borderId="0" xfId="0" applyFont="1" applyFill="1"/>
    <xf numFmtId="0" fontId="7" fillId="0" borderId="0" xfId="0" applyFont="1" applyFill="1" applyAlignment="1">
      <alignment wrapText="1"/>
    </xf>
    <xf numFmtId="0" fontId="7" fillId="0" borderId="15" xfId="0" applyFont="1" applyFill="1" applyBorder="1" applyAlignment="1">
      <alignment horizontal="center"/>
    </xf>
    <xf numFmtId="0" fontId="7" fillId="9" borderId="0" xfId="0" applyFont="1" applyFill="1"/>
    <xf numFmtId="164" fontId="13" fillId="0" borderId="0" xfId="1" applyNumberFormat="1" applyFont="1" applyFill="1"/>
    <xf numFmtId="0" fontId="0" fillId="0" borderId="0" xfId="0" quotePrefix="1" applyFont="1" applyFill="1"/>
    <xf numFmtId="0" fontId="0" fillId="0" borderId="0" xfId="0" applyFont="1" applyFill="1" applyBorder="1" applyAlignment="1">
      <alignment horizontal="left"/>
    </xf>
    <xf numFmtId="0" fontId="0" fillId="0" borderId="0" xfId="0"/>
    <xf numFmtId="0" fontId="7" fillId="8" borderId="0" xfId="0" applyFont="1" applyFill="1"/>
    <xf numFmtId="0" fontId="21" fillId="3" borderId="0" xfId="0" applyFont="1" applyFill="1"/>
    <xf numFmtId="0" fontId="28" fillId="3" borderId="0" xfId="0" applyFont="1" applyFill="1" applyAlignment="1">
      <alignment vertical="center"/>
    </xf>
    <xf numFmtId="0" fontId="15" fillId="4" borderId="0" xfId="0" applyFont="1" applyFill="1" applyAlignment="1">
      <alignment horizontal="center" vertical="center"/>
    </xf>
    <xf numFmtId="0" fontId="15"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center" vertical="center"/>
    </xf>
    <xf numFmtId="0" fontId="17" fillId="3" borderId="0" xfId="0" applyFont="1" applyFill="1"/>
    <xf numFmtId="0" fontId="17" fillId="3" borderId="0" xfId="0" applyFont="1" applyFill="1" applyAlignment="1">
      <alignment horizontal="left" vertical="center" indent="13"/>
    </xf>
    <xf numFmtId="0" fontId="35" fillId="0" borderId="0" xfId="0" applyFont="1"/>
    <xf numFmtId="0" fontId="34" fillId="0" borderId="0" xfId="0" quotePrefix="1" applyFont="1" applyAlignment="1">
      <alignment horizontal="left" vertical="center" wrapText="1" indent="3"/>
    </xf>
    <xf numFmtId="0" fontId="30" fillId="0" borderId="0" xfId="0" quotePrefix="1" applyFont="1" applyAlignment="1">
      <alignment horizontal="left" vertical="top" wrapText="1" indent="3"/>
    </xf>
    <xf numFmtId="43" fontId="0" fillId="0" borderId="0" xfId="1" applyFont="1"/>
    <xf numFmtId="43" fontId="0" fillId="0" borderId="0" xfId="0" applyNumberFormat="1" applyFill="1"/>
    <xf numFmtId="164" fontId="0" fillId="0" borderId="0" xfId="1" applyNumberFormat="1" applyFont="1" applyFill="1" applyBorder="1" applyAlignment="1"/>
    <xf numFmtId="1" fontId="0" fillId="0" borderId="10" xfId="0" applyNumberFormat="1" applyBorder="1"/>
    <xf numFmtId="1" fontId="0" fillId="0" borderId="9" xfId="0" applyNumberFormat="1" applyBorder="1"/>
    <xf numFmtId="1" fontId="0" fillId="0" borderId="0" xfId="0" applyNumberFormat="1" applyBorder="1"/>
    <xf numFmtId="0" fontId="7" fillId="0" borderId="44" xfId="0" applyFont="1" applyBorder="1" applyAlignment="1">
      <alignment wrapText="1"/>
    </xf>
    <xf numFmtId="0" fontId="25" fillId="8" borderId="23" xfId="1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28" xfId="0" applyFont="1" applyFill="1" applyBorder="1" applyAlignment="1" applyProtection="1">
      <alignment horizontal="center" vertical="center"/>
      <protection locked="0"/>
    </xf>
    <xf numFmtId="0" fontId="39" fillId="0" borderId="0" xfId="0" applyFont="1"/>
    <xf numFmtId="0" fontId="44" fillId="0" borderId="0" xfId="0" applyFont="1"/>
    <xf numFmtId="0" fontId="0" fillId="0" borderId="0" xfId="0" applyAlignment="1">
      <alignment vertical="top" wrapText="1"/>
    </xf>
    <xf numFmtId="0" fontId="0" fillId="8" borderId="5" xfId="0" applyFill="1" applyBorder="1" applyAlignment="1" applyProtection="1">
      <alignment horizontal="center"/>
      <protection locked="0"/>
    </xf>
    <xf numFmtId="0" fontId="0" fillId="0" borderId="0" xfId="0" applyAlignment="1">
      <alignment vertical="center"/>
    </xf>
    <xf numFmtId="0" fontId="7" fillId="0" borderId="0" xfId="0" applyFont="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indent="4"/>
    </xf>
    <xf numFmtId="0" fontId="0" fillId="0" borderId="0" xfId="0" applyAlignment="1">
      <alignment horizontal="left" vertical="center"/>
    </xf>
    <xf numFmtId="0" fontId="37" fillId="0" borderId="0" xfId="0" applyFont="1"/>
    <xf numFmtId="164" fontId="7" fillId="0" borderId="0" xfId="1" applyNumberFormat="1" applyFont="1" applyFill="1" applyAlignment="1">
      <alignment wrapText="1"/>
    </xf>
    <xf numFmtId="0" fontId="0" fillId="7" borderId="0" xfId="0" applyFill="1" applyAlignment="1">
      <alignment wrapText="1"/>
    </xf>
    <xf numFmtId="1" fontId="47" fillId="0" borderId="0" xfId="16" applyNumberFormat="1" applyFont="1" applyBorder="1">
      <alignment vertical="top"/>
    </xf>
    <xf numFmtId="0" fontId="47" fillId="0" borderId="0" xfId="17" applyNumberFormat="1" applyFont="1" applyFill="1" applyBorder="1" applyAlignment="1" applyProtection="1">
      <alignment vertical="top"/>
    </xf>
    <xf numFmtId="0" fontId="2" fillId="0" borderId="0" xfId="10"/>
    <xf numFmtId="43" fontId="2" fillId="0" borderId="0" xfId="1" applyFont="1"/>
    <xf numFmtId="2" fontId="0" fillId="0" borderId="0" xfId="0" applyNumberFormat="1"/>
    <xf numFmtId="9" fontId="0" fillId="0" borderId="0" xfId="8" applyFont="1"/>
    <xf numFmtId="0" fontId="0" fillId="0" borderId="0" xfId="0" applyAlignment="1">
      <alignment vertical="top"/>
    </xf>
    <xf numFmtId="0" fontId="21" fillId="3" borderId="0" xfId="0" applyFont="1" applyFill="1" applyProtection="1"/>
    <xf numFmtId="0" fontId="28" fillId="3" borderId="0" xfId="0" applyFont="1" applyFill="1" applyAlignment="1" applyProtection="1">
      <alignment vertical="center"/>
    </xf>
    <xf numFmtId="0" fontId="0" fillId="0" borderId="0" xfId="0" applyProtection="1"/>
    <xf numFmtId="0" fontId="0" fillId="0" borderId="0" xfId="0" applyFill="1" applyProtection="1"/>
    <xf numFmtId="0" fontId="0" fillId="7" borderId="0" xfId="0" applyFill="1" applyProtection="1"/>
    <xf numFmtId="0" fontId="31" fillId="7" borderId="0" xfId="0" applyFont="1" applyFill="1" applyProtection="1"/>
    <xf numFmtId="0" fontId="7" fillId="7" borderId="0" xfId="0" applyFont="1" applyFill="1" applyProtection="1"/>
    <xf numFmtId="0" fontId="0" fillId="0" borderId="0" xfId="0" applyFont="1" applyProtection="1"/>
    <xf numFmtId="0" fontId="7" fillId="0" borderId="0" xfId="0" applyFont="1" applyProtection="1"/>
    <xf numFmtId="0" fontId="24" fillId="5" borderId="0" xfId="0" applyFont="1" applyFill="1" applyProtection="1"/>
    <xf numFmtId="0" fontId="27" fillId="5" borderId="0" xfId="0" applyFont="1" applyFill="1" applyProtection="1"/>
    <xf numFmtId="0" fontId="0" fillId="0" borderId="0" xfId="0" applyBorder="1" applyProtection="1"/>
    <xf numFmtId="0" fontId="43" fillId="0" borderId="0" xfId="0" applyFont="1" applyAlignment="1" applyProtection="1">
      <alignment vertical="center" wrapText="1"/>
    </xf>
    <xf numFmtId="168" fontId="43" fillId="0" borderId="0" xfId="1" applyNumberFormat="1" applyFont="1" applyAlignment="1" applyProtection="1">
      <alignment horizontal="center" vertical="center"/>
    </xf>
    <xf numFmtId="0" fontId="7" fillId="0" borderId="32" xfId="0" applyFont="1" applyBorder="1" applyAlignment="1" applyProtection="1">
      <alignment vertical="center"/>
    </xf>
    <xf numFmtId="0" fontId="7" fillId="0" borderId="29" xfId="0" applyFont="1" applyBorder="1" applyAlignment="1" applyProtection="1">
      <alignment vertical="center"/>
    </xf>
    <xf numFmtId="0" fontId="7" fillId="0" borderId="29" xfId="0" applyFont="1" applyFill="1" applyBorder="1" applyAlignment="1" applyProtection="1">
      <alignment horizontal="left" vertical="center" wrapText="1"/>
    </xf>
    <xf numFmtId="0" fontId="7" fillId="0" borderId="0" xfId="0" applyFont="1" applyBorder="1" applyAlignment="1" applyProtection="1">
      <alignment vertical="center" wrapText="1"/>
    </xf>
    <xf numFmtId="0" fontId="4" fillId="0" borderId="0" xfId="0" applyFont="1" applyProtection="1"/>
    <xf numFmtId="0" fontId="4" fillId="0" borderId="0" xfId="0" applyFont="1" applyFill="1" applyProtection="1"/>
    <xf numFmtId="0" fontId="41" fillId="5" borderId="0" xfId="0" applyFont="1" applyFill="1" applyProtection="1"/>
    <xf numFmtId="0" fontId="4" fillId="0" borderId="34" xfId="0" applyFont="1" applyBorder="1" applyProtection="1"/>
    <xf numFmtId="164" fontId="4" fillId="0" borderId="0" xfId="0" applyNumberFormat="1" applyFont="1" applyProtection="1"/>
    <xf numFmtId="0" fontId="4" fillId="0" borderId="34" xfId="0" quotePrefix="1" applyFont="1" applyBorder="1" applyProtection="1"/>
    <xf numFmtId="164" fontId="4" fillId="0" borderId="0" xfId="1" applyNumberFormat="1" applyFont="1" applyAlignment="1" applyProtection="1">
      <alignment horizontal="left"/>
    </xf>
    <xf numFmtId="0" fontId="6" fillId="15" borderId="12" xfId="0" applyFont="1" applyFill="1" applyBorder="1" applyProtection="1"/>
    <xf numFmtId="0" fontId="14" fillId="15" borderId="13" xfId="0" applyFont="1" applyFill="1" applyBorder="1" applyProtection="1"/>
    <xf numFmtId="0" fontId="6" fillId="15" borderId="35" xfId="0" applyFont="1" applyFill="1" applyBorder="1" applyAlignment="1" applyProtection="1">
      <alignment horizontal="center"/>
    </xf>
    <xf numFmtId="0" fontId="0" fillId="0" borderId="34" xfId="0" applyFont="1" applyBorder="1" applyProtection="1"/>
    <xf numFmtId="0" fontId="0" fillId="0" borderId="22" xfId="0" applyBorder="1" applyProtection="1"/>
    <xf numFmtId="164" fontId="0" fillId="0" borderId="0" xfId="1" applyNumberFormat="1" applyFont="1" applyFill="1" applyBorder="1" applyProtection="1"/>
    <xf numFmtId="43" fontId="0" fillId="0" borderId="0" xfId="0" applyNumberFormat="1" applyProtection="1"/>
    <xf numFmtId="0" fontId="32" fillId="0" borderId="0" xfId="0" applyFont="1" applyProtection="1"/>
    <xf numFmtId="0" fontId="14" fillId="0" borderId="0" xfId="0" applyFont="1" applyProtection="1"/>
    <xf numFmtId="0" fontId="51" fillId="0" borderId="0" xfId="0" applyFont="1" applyProtection="1"/>
    <xf numFmtId="1" fontId="14" fillId="0" borderId="0" xfId="0" applyNumberFormat="1" applyFont="1" applyProtection="1"/>
    <xf numFmtId="0" fontId="14" fillId="0" borderId="0" xfId="0" applyFont="1" applyFill="1" applyProtection="1"/>
    <xf numFmtId="0" fontId="0" fillId="0" borderId="17" xfId="0" applyBorder="1" applyProtection="1"/>
    <xf numFmtId="0" fontId="0" fillId="0" borderId="53" xfId="0" applyBorder="1" applyProtection="1"/>
    <xf numFmtId="0" fontId="0" fillId="0" borderId="46" xfId="0" applyBorder="1" applyProtection="1"/>
    <xf numFmtId="0" fontId="13" fillId="0" borderId="0" xfId="0" applyFont="1" applyProtection="1"/>
    <xf numFmtId="0" fontId="0" fillId="0" borderId="0" xfId="0"/>
    <xf numFmtId="0" fontId="0" fillId="0" borderId="0" xfId="0" applyAlignment="1" applyProtection="1">
      <alignment wrapText="1"/>
    </xf>
    <xf numFmtId="0" fontId="0" fillId="0" borderId="5" xfId="0" applyFont="1" applyBorder="1"/>
    <xf numFmtId="0" fontId="0" fillId="0" borderId="5" xfId="0" applyFont="1" applyFill="1" applyBorder="1"/>
    <xf numFmtId="0" fontId="0" fillId="0" borderId="24" xfId="0" applyBorder="1"/>
    <xf numFmtId="164" fontId="56" fillId="5" borderId="0" xfId="0" applyNumberFormat="1" applyFont="1" applyFill="1" applyProtection="1"/>
    <xf numFmtId="0" fontId="0" fillId="0" borderId="0" xfId="0"/>
    <xf numFmtId="0" fontId="13" fillId="0" borderId="0" xfId="0" applyFont="1" applyAlignment="1" applyProtection="1">
      <alignment wrapText="1"/>
    </xf>
    <xf numFmtId="0" fontId="13" fillId="0" borderId="34" xfId="0" applyFont="1" applyBorder="1" applyProtection="1"/>
    <xf numFmtId="0" fontId="13" fillId="0" borderId="34" xfId="0" quotePrefix="1" applyFont="1" applyBorder="1" applyProtection="1"/>
    <xf numFmtId="0" fontId="13" fillId="0" borderId="21" xfId="0" applyFont="1" applyBorder="1" applyProtection="1"/>
    <xf numFmtId="0" fontId="13" fillId="0" borderId="14" xfId="0" applyFont="1" applyBorder="1" applyProtection="1"/>
    <xf numFmtId="0" fontId="7" fillId="0" borderId="38" xfId="0" applyFont="1" applyFill="1" applyBorder="1" applyAlignment="1" applyProtection="1">
      <alignment horizontal="center" vertical="center"/>
    </xf>
    <xf numFmtId="0" fontId="0" fillId="0" borderId="0" xfId="0" applyFill="1" applyAlignment="1" applyProtection="1">
      <alignment vertical="center"/>
    </xf>
    <xf numFmtId="167" fontId="0" fillId="0" borderId="0" xfId="0" applyNumberFormat="1"/>
    <xf numFmtId="172" fontId="0" fillId="0" borderId="0" xfId="0" applyNumberFormat="1"/>
    <xf numFmtId="0" fontId="4" fillId="0" borderId="0" xfId="0" applyFont="1"/>
    <xf numFmtId="0" fontId="4" fillId="0" borderId="0" xfId="0" applyFont="1" applyFill="1"/>
    <xf numFmtId="0" fontId="0" fillId="0" borderId="0" xfId="0" applyAlignment="1" applyProtection="1">
      <alignment vertical="center"/>
    </xf>
    <xf numFmtId="0" fontId="7" fillId="0" borderId="34" xfId="0" applyFont="1" applyBorder="1" applyAlignment="1" applyProtection="1">
      <alignment horizontal="center" vertical="center"/>
    </xf>
    <xf numFmtId="0" fontId="0" fillId="0" borderId="5" xfId="0" applyBorder="1"/>
    <xf numFmtId="0" fontId="42" fillId="0" borderId="0" xfId="0" applyFont="1" applyFill="1" applyBorder="1" applyAlignment="1" applyProtection="1">
      <alignment horizontal="left" vertical="center"/>
    </xf>
    <xf numFmtId="0" fontId="14" fillId="20" borderId="0" xfId="0" applyFont="1" applyFill="1" applyProtection="1"/>
    <xf numFmtId="0" fontId="33" fillId="20" borderId="0" xfId="0" applyFont="1" applyFill="1" applyAlignment="1" applyProtection="1">
      <alignment vertical="center"/>
    </xf>
    <xf numFmtId="0" fontId="0" fillId="22" borderId="0" xfId="0" applyFill="1"/>
    <xf numFmtId="0" fontId="0" fillId="0" borderId="5" xfId="0" applyFont="1" applyBorder="1" applyAlignment="1">
      <alignment vertical="center"/>
    </xf>
    <xf numFmtId="37" fontId="0" fillId="8" borderId="5" xfId="1" applyNumberFormat="1" applyFont="1" applyFill="1" applyBorder="1" applyAlignment="1" applyProtection="1">
      <alignment horizontal="center" vertical="center" wrapText="1"/>
      <protection locked="0"/>
    </xf>
    <xf numFmtId="0" fontId="7" fillId="0" borderId="5" xfId="0" applyFont="1" applyBorder="1" applyAlignment="1" applyProtection="1">
      <alignment horizontal="left" vertical="center"/>
    </xf>
    <xf numFmtId="37" fontId="0" fillId="8" borderId="5" xfId="1" applyNumberFormat="1" applyFont="1" applyFill="1" applyBorder="1" applyAlignment="1" applyProtection="1">
      <alignment horizontal="center" vertical="center"/>
      <protection locked="0"/>
    </xf>
    <xf numFmtId="0" fontId="0" fillId="8" borderId="5" xfId="0" applyFont="1" applyFill="1" applyBorder="1" applyAlignment="1" applyProtection="1">
      <alignment horizontal="center" vertical="center" wrapText="1"/>
      <protection locked="0"/>
    </xf>
    <xf numFmtId="37" fontId="57" fillId="0" borderId="0" xfId="1" applyNumberFormat="1" applyFont="1" applyBorder="1" applyAlignment="1" applyProtection="1">
      <alignment horizontal="center" vertical="center" wrapText="1"/>
    </xf>
    <xf numFmtId="166" fontId="0" fillId="8" borderId="5" xfId="8" applyNumberFormat="1" applyFont="1" applyFill="1" applyBorder="1" applyAlignment="1" applyProtection="1">
      <alignment horizontal="center" vertical="center"/>
      <protection locked="0"/>
    </xf>
    <xf numFmtId="166" fontId="0" fillId="8" borderId="5" xfId="0" applyNumberFormat="1" applyFill="1" applyBorder="1" applyAlignment="1" applyProtection="1">
      <alignment horizontal="center" vertical="center"/>
      <protection locked="0"/>
    </xf>
    <xf numFmtId="9" fontId="0" fillId="8" borderId="5" xfId="0" applyNumberFormat="1" applyFill="1" applyBorder="1" applyAlignment="1" applyProtection="1">
      <alignment horizontal="center"/>
      <protection locked="0"/>
    </xf>
    <xf numFmtId="0" fontId="6" fillId="20" borderId="35" xfId="0" applyFont="1" applyFill="1" applyBorder="1" applyAlignment="1">
      <alignment wrapText="1"/>
    </xf>
    <xf numFmtId="9" fontId="0" fillId="8" borderId="5" xfId="8" applyFont="1" applyFill="1" applyBorder="1" applyAlignment="1" applyProtection="1">
      <alignment horizontal="center"/>
      <protection locked="0"/>
    </xf>
    <xf numFmtId="0" fontId="22" fillId="0" borderId="0" xfId="0" applyFont="1" applyAlignment="1">
      <alignment horizontal="center"/>
    </xf>
    <xf numFmtId="0" fontId="42" fillId="0" borderId="0" xfId="0" applyFont="1" applyFill="1" applyBorder="1" applyAlignment="1" applyProtection="1">
      <alignment horizontal="center" vertical="center" wrapText="1"/>
    </xf>
    <xf numFmtId="0" fontId="57" fillId="0" borderId="0" xfId="0" applyFont="1" applyAlignment="1" applyProtection="1">
      <alignment horizontal="left" vertical="center" indent="1"/>
    </xf>
    <xf numFmtId="0" fontId="22" fillId="0" borderId="0" xfId="0" applyFont="1" applyAlignment="1">
      <alignment horizontal="left" indent="1"/>
    </xf>
    <xf numFmtId="37" fontId="57" fillId="0" borderId="0" xfId="1" applyNumberFormat="1" applyFont="1" applyAlignment="1" applyProtection="1">
      <alignment horizontal="center" vertical="center"/>
    </xf>
    <xf numFmtId="0" fontId="0" fillId="0" borderId="5" xfId="0" applyBorder="1"/>
    <xf numFmtId="0" fontId="7" fillId="0" borderId="0" xfId="0" applyFont="1" applyAlignment="1">
      <alignment horizontal="center"/>
    </xf>
    <xf numFmtId="0" fontId="48" fillId="0" borderId="45" xfId="15" applyBorder="1" applyAlignment="1">
      <alignment horizontal="center"/>
    </xf>
    <xf numFmtId="0" fontId="7" fillId="22" borderId="44" xfId="0" applyFont="1" applyFill="1" applyBorder="1" applyAlignment="1">
      <alignment horizontal="center" vertical="center"/>
    </xf>
    <xf numFmtId="0" fontId="48" fillId="0" borderId="45" xfId="15" applyBorder="1" applyAlignment="1">
      <alignment horizontal="center" vertical="center"/>
    </xf>
    <xf numFmtId="0" fontId="48" fillId="0" borderId="64" xfId="15" applyBorder="1" applyAlignment="1">
      <alignment horizontal="center" vertical="center"/>
    </xf>
    <xf numFmtId="3" fontId="0" fillId="8" borderId="5" xfId="0" applyNumberFormat="1" applyFill="1" applyBorder="1" applyAlignment="1" applyProtection="1">
      <alignment horizontal="center"/>
      <protection locked="0"/>
    </xf>
    <xf numFmtId="1" fontId="0" fillId="0" borderId="12" xfId="0" applyNumberFormat="1" applyBorder="1"/>
    <xf numFmtId="1" fontId="0" fillId="0" borderId="62" xfId="0" applyNumberFormat="1" applyBorder="1"/>
    <xf numFmtId="1" fontId="0" fillId="0" borderId="13" xfId="0" applyNumberFormat="1" applyBorder="1"/>
    <xf numFmtId="1" fontId="0" fillId="0" borderId="65" xfId="0" applyNumberFormat="1" applyBorder="1"/>
    <xf numFmtId="1" fontId="0" fillId="0" borderId="56" xfId="0" applyNumberFormat="1" applyBorder="1"/>
    <xf numFmtId="1" fontId="0" fillId="0" borderId="46" xfId="0" applyNumberFormat="1" applyBorder="1"/>
    <xf numFmtId="0" fontId="7" fillId="18" borderId="0" xfId="0" applyFont="1" applyFill="1"/>
    <xf numFmtId="0" fontId="48" fillId="0" borderId="0" xfId="15" applyAlignment="1" applyProtection="1">
      <alignment horizontal="center" vertical="center" wrapText="1"/>
    </xf>
    <xf numFmtId="0" fontId="58" fillId="0" borderId="0" xfId="0" applyFont="1" applyFill="1" applyAlignment="1">
      <alignment horizontal="left" indent="1"/>
    </xf>
    <xf numFmtId="0" fontId="58" fillId="0" borderId="0" xfId="0" applyFont="1"/>
    <xf numFmtId="0" fontId="48" fillId="0" borderId="0" xfId="15" applyAlignment="1">
      <alignment horizontal="center" vertical="top"/>
    </xf>
    <xf numFmtId="0" fontId="2" fillId="3" borderId="0" xfId="10" applyFill="1"/>
    <xf numFmtId="0" fontId="33" fillId="3" borderId="0" xfId="10" applyFont="1" applyFill="1" applyAlignment="1">
      <alignment vertical="center"/>
    </xf>
    <xf numFmtId="0" fontId="7" fillId="0" borderId="15" xfId="10" applyFont="1" applyBorder="1"/>
    <xf numFmtId="0" fontId="7" fillId="6" borderId="15" xfId="10" applyFont="1" applyFill="1" applyBorder="1"/>
    <xf numFmtId="0" fontId="7" fillId="6" borderId="0" xfId="0" applyFont="1" applyFill="1"/>
    <xf numFmtId="0" fontId="7" fillId="24" borderId="0" xfId="0" applyFont="1" applyFill="1"/>
    <xf numFmtId="0" fontId="0" fillId="23" borderId="0" xfId="0" applyFill="1"/>
    <xf numFmtId="0" fontId="2" fillId="23" borderId="0" xfId="10" applyFill="1"/>
    <xf numFmtId="0" fontId="59" fillId="3" borderId="0" xfId="10" applyFont="1" applyFill="1"/>
    <xf numFmtId="0" fontId="0" fillId="0" borderId="0" xfId="10" applyFont="1"/>
    <xf numFmtId="0" fontId="48" fillId="0" borderId="0" xfId="15"/>
    <xf numFmtId="0" fontId="48" fillId="0" borderId="64" xfId="15" applyFill="1" applyBorder="1" applyAlignment="1">
      <alignment horizontal="center"/>
    </xf>
    <xf numFmtId="0" fontId="7" fillId="0" borderId="15" xfId="0" applyFont="1" applyBorder="1" applyAlignment="1">
      <alignment wrapText="1"/>
    </xf>
    <xf numFmtId="0" fontId="0" fillId="23" borderId="0" xfId="0" applyFill="1" applyAlignment="1">
      <alignment horizontal="center"/>
    </xf>
    <xf numFmtId="0" fontId="0" fillId="0" borderId="0" xfId="0" applyAlignment="1"/>
    <xf numFmtId="1" fontId="7" fillId="0" borderId="0" xfId="0" applyNumberFormat="1" applyFont="1" applyAlignment="1">
      <alignment wrapText="1"/>
    </xf>
    <xf numFmtId="1" fontId="7" fillId="0" borderId="0" xfId="0" applyNumberFormat="1" applyFont="1" applyBorder="1" applyAlignment="1">
      <alignment wrapText="1"/>
    </xf>
    <xf numFmtId="0" fontId="6" fillId="3" borderId="44" xfId="0" applyFont="1" applyFill="1" applyBorder="1" applyAlignment="1">
      <alignment horizontal="center" vertical="center" wrapText="1"/>
    </xf>
    <xf numFmtId="0" fontId="0" fillId="0" borderId="66" xfId="0" applyBorder="1"/>
    <xf numFmtId="0" fontId="0" fillId="0" borderId="67" xfId="0" applyBorder="1"/>
    <xf numFmtId="164" fontId="0" fillId="8" borderId="66" xfId="1" applyNumberFormat="1" applyFont="1" applyFill="1" applyBorder="1" applyProtection="1">
      <protection locked="0"/>
    </xf>
    <xf numFmtId="0" fontId="60" fillId="18" borderId="0" xfId="15" applyFont="1" applyFill="1" applyAlignment="1">
      <alignment horizontal="center" vertical="center" wrapText="1"/>
    </xf>
    <xf numFmtId="0" fontId="0" fillId="0" borderId="0" xfId="0" applyBorder="1" applyAlignment="1">
      <alignment vertical="center"/>
    </xf>
    <xf numFmtId="1" fontId="0" fillId="0" borderId="0" xfId="0" applyNumberFormat="1" applyFont="1" applyBorder="1" applyAlignment="1">
      <alignment vertical="center"/>
    </xf>
    <xf numFmtId="0" fontId="61" fillId="18" borderId="0" xfId="0" applyFont="1" applyFill="1"/>
    <xf numFmtId="0" fontId="0" fillId="0" borderId="15" xfId="0" applyFill="1" applyBorder="1"/>
    <xf numFmtId="0" fontId="7" fillId="0" borderId="22" xfId="0" applyFont="1" applyFill="1" applyBorder="1" applyAlignment="1">
      <alignment wrapText="1"/>
    </xf>
    <xf numFmtId="0" fontId="7" fillId="0" borderId="22" xfId="0" applyFont="1" applyFill="1" applyBorder="1"/>
    <xf numFmtId="0" fontId="7" fillId="0" borderId="15" xfId="0" applyFont="1" applyFill="1" applyBorder="1" applyAlignment="1">
      <alignment wrapText="1"/>
    </xf>
    <xf numFmtId="3" fontId="7" fillId="14" borderId="39" xfId="1" applyNumberFormat="1" applyFont="1" applyFill="1" applyBorder="1" applyAlignment="1" applyProtection="1">
      <alignment horizontal="center" vertical="center"/>
    </xf>
    <xf numFmtId="164" fontId="2" fillId="14" borderId="28" xfId="1" applyNumberFormat="1" applyFont="1" applyFill="1" applyBorder="1" applyProtection="1"/>
    <xf numFmtId="0" fontId="7" fillId="0" borderId="18" xfId="0" applyFont="1" applyBorder="1" applyAlignment="1" applyProtection="1">
      <alignment vertical="center" wrapText="1"/>
    </xf>
    <xf numFmtId="0" fontId="0" fillId="8" borderId="20" xfId="0" applyFont="1" applyFill="1" applyBorder="1" applyAlignment="1" applyProtection="1">
      <alignment horizontal="center" vertical="center" wrapText="1"/>
      <protection locked="0"/>
    </xf>
    <xf numFmtId="0" fontId="0" fillId="8" borderId="28" xfId="0" applyFont="1" applyFill="1" applyBorder="1" applyAlignment="1" applyProtection="1">
      <alignment horizontal="center" vertical="center" wrapText="1"/>
      <protection locked="0"/>
    </xf>
    <xf numFmtId="9" fontId="0" fillId="8" borderId="5" xfId="0" applyNumberFormat="1" applyFont="1" applyFill="1" applyBorder="1" applyAlignment="1" applyProtection="1">
      <alignment horizontal="center" vertical="center"/>
      <protection locked="0"/>
    </xf>
    <xf numFmtId="0" fontId="63" fillId="0" borderId="0" xfId="0" applyFont="1" applyBorder="1" applyAlignment="1" applyProtection="1">
      <alignment vertical="center" wrapText="1"/>
    </xf>
    <xf numFmtId="0" fontId="25" fillId="8" borderId="20" xfId="11" applyFill="1" applyBorder="1" applyAlignment="1" applyProtection="1">
      <alignment horizontal="center" vertical="center"/>
      <protection locked="0"/>
    </xf>
    <xf numFmtId="0" fontId="25" fillId="8" borderId="28" xfId="11" applyFill="1" applyBorder="1" applyAlignment="1" applyProtection="1">
      <alignment horizontal="center" vertical="center"/>
      <protection locked="0"/>
    </xf>
    <xf numFmtId="0" fontId="0" fillId="0" borderId="0" xfId="0" applyBorder="1"/>
    <xf numFmtId="0" fontId="64" fillId="0" borderId="0" xfId="0" applyFont="1" applyAlignment="1" applyProtection="1">
      <alignment vertical="center"/>
    </xf>
    <xf numFmtId="0" fontId="7" fillId="0" borderId="18" xfId="0" applyFont="1" applyFill="1" applyBorder="1" applyAlignment="1" applyProtection="1">
      <alignment horizontal="left" vertical="center" wrapText="1"/>
    </xf>
    <xf numFmtId="0" fontId="0" fillId="8" borderId="20" xfId="0" applyFont="1" applyFill="1" applyBorder="1" applyAlignment="1" applyProtection="1">
      <alignment horizontal="center" vertical="center"/>
      <protection locked="0"/>
    </xf>
    <xf numFmtId="0" fontId="39" fillId="4" borderId="5" xfId="0" applyFont="1" applyFill="1" applyBorder="1" applyAlignment="1" applyProtection="1">
      <alignment vertical="center" wrapText="1"/>
    </xf>
    <xf numFmtId="3" fontId="47" fillId="4" borderId="5" xfId="0" applyNumberFormat="1" applyFont="1" applyFill="1" applyBorder="1" applyAlignment="1">
      <alignment vertical="center"/>
    </xf>
    <xf numFmtId="3" fontId="47" fillId="4" borderId="24" xfId="0" applyNumberFormat="1" applyFont="1" applyFill="1" applyBorder="1" applyAlignment="1">
      <alignment vertical="center"/>
    </xf>
    <xf numFmtId="3" fontId="47" fillId="4" borderId="2" xfId="0" applyNumberFormat="1" applyFont="1" applyFill="1" applyBorder="1" applyAlignment="1">
      <alignment vertical="center"/>
    </xf>
    <xf numFmtId="3" fontId="47" fillId="4" borderId="50" xfId="0" applyNumberFormat="1" applyFont="1" applyFill="1" applyBorder="1" applyAlignment="1">
      <alignment vertical="center"/>
    </xf>
    <xf numFmtId="0" fontId="0" fillId="4" borderId="2" xfId="0" applyFill="1" applyBorder="1" applyAlignment="1">
      <alignment vertical="center" wrapText="1"/>
    </xf>
    <xf numFmtId="0" fontId="0" fillId="4" borderId="23" xfId="0" applyFill="1" applyBorder="1"/>
    <xf numFmtId="0" fontId="0" fillId="4" borderId="5" xfId="0" applyFill="1" applyBorder="1"/>
    <xf numFmtId="0" fontId="0" fillId="4" borderId="5" xfId="0" applyFill="1" applyBorder="1" applyAlignment="1">
      <alignment vertical="center" wrapText="1"/>
    </xf>
    <xf numFmtId="0" fontId="0" fillId="4" borderId="5" xfId="0" applyFill="1" applyBorder="1" applyProtection="1">
      <protection locked="0"/>
    </xf>
    <xf numFmtId="0" fontId="0" fillId="4" borderId="5" xfId="0" applyFill="1" applyBorder="1" applyAlignment="1">
      <alignment vertical="center"/>
    </xf>
    <xf numFmtId="0" fontId="0" fillId="4" borderId="23" xfId="0" applyFill="1" applyBorder="1" applyAlignment="1">
      <alignment vertical="center" wrapText="1"/>
    </xf>
    <xf numFmtId="0" fontId="48" fillId="0" borderId="63" xfId="15" applyBorder="1" applyAlignment="1">
      <alignment horizontal="center" vertical="center"/>
    </xf>
    <xf numFmtId="0" fontId="16" fillId="18" borderId="0" xfId="0" applyFont="1" applyFill="1"/>
    <xf numFmtId="164" fontId="0" fillId="4" borderId="8" xfId="1" applyNumberFormat="1" applyFont="1" applyFill="1" applyBorder="1" applyAlignment="1" applyProtection="1">
      <alignment horizontal="center"/>
    </xf>
    <xf numFmtId="164" fontId="0" fillId="4" borderId="2" xfId="1" applyNumberFormat="1" applyFont="1" applyFill="1" applyBorder="1" applyAlignment="1" applyProtection="1">
      <alignment horizontal="center"/>
    </xf>
    <xf numFmtId="164" fontId="0" fillId="4" borderId="16" xfId="1" applyNumberFormat="1" applyFont="1" applyFill="1" applyBorder="1" applyAlignment="1" applyProtection="1">
      <alignment horizontal="center"/>
    </xf>
    <xf numFmtId="170" fontId="0" fillId="4" borderId="23" xfId="21" applyNumberFormat="1" applyFont="1" applyFill="1" applyBorder="1" applyProtection="1"/>
    <xf numFmtId="164" fontId="0" fillId="4" borderId="0" xfId="1" applyNumberFormat="1" applyFont="1" applyFill="1"/>
    <xf numFmtId="164" fontId="0" fillId="4" borderId="0" xfId="0" applyNumberFormat="1" applyFill="1"/>
    <xf numFmtId="164" fontId="13" fillId="4" borderId="0" xfId="0" applyNumberFormat="1" applyFont="1" applyFill="1"/>
    <xf numFmtId="164" fontId="13" fillId="4" borderId="0" xfId="1" applyNumberFormat="1" applyFont="1" applyFill="1"/>
    <xf numFmtId="164" fontId="0" fillId="4" borderId="0" xfId="1" applyNumberFormat="1" applyFont="1" applyFill="1" applyAlignment="1"/>
    <xf numFmtId="164" fontId="13" fillId="4" borderId="27" xfId="1" applyNumberFormat="1" applyFont="1" applyFill="1" applyBorder="1"/>
    <xf numFmtId="0" fontId="7" fillId="18" borderId="0" xfId="0" applyFont="1" applyFill="1" applyBorder="1"/>
    <xf numFmtId="9" fontId="13" fillId="0" borderId="0" xfId="8" applyFont="1" applyAlignment="1">
      <alignment horizontal="left" indent="1"/>
    </xf>
    <xf numFmtId="0" fontId="13" fillId="0" borderId="0" xfId="0" applyFont="1" applyAlignment="1">
      <alignment horizontal="left" indent="1"/>
    </xf>
    <xf numFmtId="0" fontId="6" fillId="3" borderId="0" xfId="0" applyFont="1" applyFill="1"/>
    <xf numFmtId="0" fontId="14" fillId="3" borderId="0" xfId="0" applyFont="1" applyFill="1"/>
    <xf numFmtId="0" fontId="13" fillId="0" borderId="0" xfId="0" applyFont="1" applyFill="1" applyBorder="1" applyAlignment="1">
      <alignment horizontal="left"/>
    </xf>
    <xf numFmtId="0" fontId="7" fillId="18" borderId="0" xfId="0" applyFont="1" applyFill="1" applyAlignment="1">
      <alignment wrapText="1"/>
    </xf>
    <xf numFmtId="164" fontId="0" fillId="18" borderId="0" xfId="1" applyNumberFormat="1" applyFont="1" applyFill="1"/>
    <xf numFmtId="1" fontId="0" fillId="18" borderId="0" xfId="0" applyNumberFormat="1" applyFill="1"/>
    <xf numFmtId="164" fontId="14" fillId="3" borderId="0" xfId="1" applyNumberFormat="1" applyFont="1" applyFill="1"/>
    <xf numFmtId="0" fontId="28" fillId="3" borderId="0" xfId="0" applyFont="1" applyFill="1" applyAlignment="1" applyProtection="1">
      <alignment horizontal="left" vertical="center" indent="17"/>
    </xf>
    <xf numFmtId="164" fontId="0" fillId="4" borderId="8" xfId="1" applyNumberFormat="1" applyFont="1" applyFill="1" applyBorder="1" applyAlignment="1" applyProtection="1">
      <alignment horizontal="center" vertical="center"/>
    </xf>
    <xf numFmtId="0" fontId="6" fillId="12" borderId="69" xfId="0" applyFont="1" applyFill="1" applyBorder="1" applyProtection="1"/>
    <xf numFmtId="0" fontId="6" fillId="12" borderId="71" xfId="0" applyFont="1" applyFill="1" applyBorder="1" applyProtection="1"/>
    <xf numFmtId="0" fontId="6" fillId="12" borderId="72" xfId="0" applyFont="1" applyFill="1" applyBorder="1" applyProtection="1"/>
    <xf numFmtId="0" fontId="6" fillId="12" borderId="69" xfId="0" applyFont="1" applyFill="1" applyBorder="1" applyAlignment="1" applyProtection="1">
      <alignment wrapText="1"/>
    </xf>
    <xf numFmtId="0" fontId="6" fillId="12" borderId="39" xfId="0" applyFont="1" applyFill="1" applyBorder="1" applyAlignment="1" applyProtection="1">
      <alignment wrapText="1"/>
    </xf>
    <xf numFmtId="0" fontId="0" fillId="0" borderId="0" xfId="0" applyBorder="1"/>
    <xf numFmtId="0" fontId="7" fillId="0" borderId="15" xfId="0" applyFont="1" applyBorder="1" applyAlignment="1">
      <alignment horizontal="center"/>
    </xf>
    <xf numFmtId="0" fontId="0" fillId="0" borderId="5" xfId="0" applyBorder="1"/>
    <xf numFmtId="0" fontId="14" fillId="0" borderId="0" xfId="0" applyFont="1" applyFill="1" applyBorder="1"/>
    <xf numFmtId="0" fontId="58" fillId="0" borderId="0" xfId="0" applyFont="1" applyFill="1" applyAlignment="1">
      <alignment horizontal="left" vertical="center" indent="1"/>
    </xf>
    <xf numFmtId="0" fontId="66" fillId="0" borderId="0" xfId="0" applyFont="1" applyAlignment="1">
      <alignment horizontal="left" vertical="center" wrapText="1" indent="2"/>
    </xf>
    <xf numFmtId="0" fontId="67" fillId="4" borderId="5" xfId="0" applyFont="1" applyFill="1" applyBorder="1" applyAlignment="1">
      <alignment horizontal="center"/>
    </xf>
    <xf numFmtId="9" fontId="67" fillId="4" borderId="5" xfId="0" applyNumberFormat="1" applyFont="1" applyFill="1" applyBorder="1" applyAlignment="1">
      <alignment horizontal="center"/>
    </xf>
    <xf numFmtId="3" fontId="67" fillId="4" borderId="5" xfId="0" applyNumberFormat="1" applyFont="1" applyFill="1" applyBorder="1" applyAlignment="1">
      <alignment horizontal="center"/>
    </xf>
    <xf numFmtId="37" fontId="14" fillId="0" borderId="0" xfId="1" applyNumberFormat="1" applyFont="1" applyFill="1" applyBorder="1" applyAlignment="1" applyProtection="1">
      <alignment horizontal="center" vertical="center" wrapText="1"/>
      <protection locked="0"/>
    </xf>
    <xf numFmtId="9" fontId="67" fillId="4" borderId="5" xfId="8" applyFont="1" applyFill="1" applyBorder="1" applyAlignment="1">
      <alignment horizontal="center" vertical="center"/>
    </xf>
    <xf numFmtId="0" fontId="0" fillId="0" borderId="0" xfId="0" applyBorder="1"/>
    <xf numFmtId="0" fontId="7" fillId="0" borderId="0" xfId="0" applyFont="1" applyBorder="1" applyAlignment="1">
      <alignment horizontal="center" vertical="top"/>
    </xf>
    <xf numFmtId="0" fontId="0" fillId="0" borderId="0" xfId="0" applyFill="1" applyAlignment="1">
      <alignment vertical="center"/>
    </xf>
    <xf numFmtId="3" fontId="67" fillId="4" borderId="5" xfId="0" applyNumberFormat="1" applyFont="1" applyFill="1" applyBorder="1" applyAlignment="1">
      <alignment horizontal="center" vertical="center"/>
    </xf>
    <xf numFmtId="0" fontId="0" fillId="0" borderId="32" xfId="0" applyBorder="1"/>
    <xf numFmtId="0" fontId="0" fillId="0" borderId="23" xfId="0" applyBorder="1"/>
    <xf numFmtId="0" fontId="0" fillId="0" borderId="29" xfId="0" applyBorder="1"/>
    <xf numFmtId="0" fontId="0" fillId="0" borderId="2" xfId="0" applyBorder="1"/>
    <xf numFmtId="0" fontId="0" fillId="0" borderId="28" xfId="0" applyBorder="1"/>
    <xf numFmtId="0" fontId="0" fillId="0" borderId="60" xfId="0" applyBorder="1"/>
    <xf numFmtId="0" fontId="0" fillId="0" borderId="50" xfId="0" applyBorder="1"/>
    <xf numFmtId="164" fontId="0" fillId="29" borderId="23" xfId="1" applyNumberFormat="1" applyFont="1" applyFill="1" applyBorder="1" applyAlignment="1">
      <alignment horizontal="center" vertical="center"/>
    </xf>
    <xf numFmtId="0" fontId="0" fillId="29" borderId="23" xfId="0" applyFill="1" applyBorder="1"/>
    <xf numFmtId="164" fontId="0" fillId="29" borderId="76" xfId="1" applyNumberFormat="1" applyFont="1" applyFill="1" applyBorder="1" applyAlignment="1">
      <alignment horizontal="center" vertical="center"/>
    </xf>
    <xf numFmtId="0" fontId="0" fillId="0" borderId="0" xfId="0" applyFont="1" applyBorder="1" applyAlignment="1">
      <alignment vertical="center"/>
    </xf>
    <xf numFmtId="166" fontId="0" fillId="0" borderId="0" xfId="0" applyNumberFormat="1" applyFill="1" applyBorder="1" applyAlignment="1" applyProtection="1">
      <alignment horizontal="center" vertical="center"/>
      <protection locked="0"/>
    </xf>
    <xf numFmtId="0" fontId="0" fillId="0" borderId="0" xfId="0" applyBorder="1"/>
    <xf numFmtId="0" fontId="0" fillId="0" borderId="5" xfId="0" applyBorder="1"/>
    <xf numFmtId="0" fontId="0" fillId="0" borderId="0" xfId="0" applyBorder="1" applyAlignment="1">
      <alignment horizontal="left" vertical="center" wrapText="1"/>
    </xf>
    <xf numFmtId="0" fontId="48" fillId="0" borderId="0" xfId="15" applyBorder="1" applyAlignment="1">
      <alignment horizontal="center" vertical="center"/>
    </xf>
    <xf numFmtId="164" fontId="0" fillId="29" borderId="5" xfId="1" applyNumberFormat="1" applyFont="1" applyFill="1" applyBorder="1" applyAlignment="1">
      <alignment horizontal="center" vertical="center"/>
    </xf>
    <xf numFmtId="164" fontId="2" fillId="14" borderId="23" xfId="1" applyNumberFormat="1" applyFont="1" applyFill="1" applyBorder="1" applyProtection="1"/>
    <xf numFmtId="164" fontId="2" fillId="14" borderId="30" xfId="1" applyNumberFormat="1" applyFont="1" applyFill="1" applyBorder="1" applyProtection="1"/>
    <xf numFmtId="2" fontId="0" fillId="8" borderId="5" xfId="0" applyNumberFormat="1" applyFill="1" applyBorder="1" applyAlignment="1" applyProtection="1">
      <alignment horizontal="center" vertical="center"/>
      <protection locked="0"/>
    </xf>
    <xf numFmtId="0" fontId="0" fillId="0" borderId="5" xfId="0" applyFont="1" applyFill="1" applyBorder="1" applyAlignment="1">
      <alignment vertical="center"/>
    </xf>
    <xf numFmtId="0" fontId="7" fillId="0" borderId="5" xfId="0" applyFont="1" applyBorder="1" applyAlignment="1">
      <alignment horizontal="center"/>
    </xf>
    <xf numFmtId="3" fontId="0" fillId="4" borderId="0" xfId="0" applyNumberFormat="1" applyFill="1"/>
    <xf numFmtId="0" fontId="7" fillId="0" borderId="14" xfId="0" applyFont="1" applyFill="1" applyBorder="1" applyAlignment="1">
      <alignment vertical="center"/>
    </xf>
    <xf numFmtId="3" fontId="7" fillId="4" borderId="14" xfId="0" applyNumberFormat="1" applyFont="1" applyFill="1" applyBorder="1"/>
    <xf numFmtId="0" fontId="37" fillId="0" borderId="0" xfId="0" applyFont="1" applyFill="1"/>
    <xf numFmtId="0" fontId="0" fillId="0" borderId="10" xfId="0" applyBorder="1"/>
    <xf numFmtId="0" fontId="0" fillId="0" borderId="9" xfId="0" applyBorder="1"/>
    <xf numFmtId="0" fontId="73" fillId="0" borderId="0" xfId="0" applyFont="1" applyFill="1" applyBorder="1" applyAlignment="1">
      <alignment vertical="center"/>
    </xf>
    <xf numFmtId="164" fontId="73" fillId="0" borderId="0" xfId="1" applyNumberFormat="1" applyFont="1"/>
    <xf numFmtId="166" fontId="0" fillId="0" borderId="14" xfId="0" applyNumberFormat="1" applyFill="1" applyBorder="1" applyAlignment="1" applyProtection="1">
      <alignment horizontal="center" vertical="center"/>
      <protection locked="0"/>
    </xf>
    <xf numFmtId="0" fontId="0" fillId="0" borderId="14" xfId="0" applyFont="1" applyBorder="1" applyAlignment="1">
      <alignment vertical="center"/>
    </xf>
    <xf numFmtId="170" fontId="0" fillId="0" borderId="0" xfId="21" applyNumberFormat="1" applyFont="1" applyFill="1" applyProtection="1"/>
    <xf numFmtId="170" fontId="7" fillId="14" borderId="39" xfId="21" applyNumberFormat="1" applyFont="1" applyFill="1" applyBorder="1" applyAlignment="1" applyProtection="1">
      <alignment horizontal="center" vertical="center"/>
    </xf>
    <xf numFmtId="37" fontId="7" fillId="14" borderId="39" xfId="1" applyNumberFormat="1" applyFont="1" applyFill="1" applyBorder="1" applyAlignment="1" applyProtection="1">
      <alignment horizontal="center" vertical="center"/>
    </xf>
    <xf numFmtId="1" fontId="0" fillId="0" borderId="0" xfId="0" applyNumberFormat="1" applyProtection="1"/>
    <xf numFmtId="0" fontId="3" fillId="0" borderId="0" xfId="0" applyFont="1" applyProtection="1"/>
    <xf numFmtId="164" fontId="0" fillId="0" borderId="0" xfId="1" applyNumberFormat="1" applyFont="1" applyProtection="1"/>
    <xf numFmtId="0" fontId="4" fillId="5" borderId="0" xfId="0" applyFont="1" applyFill="1" applyProtection="1"/>
    <xf numFmtId="164" fontId="58" fillId="4" borderId="0" xfId="0" applyNumberFormat="1" applyFont="1" applyFill="1"/>
    <xf numFmtId="164" fontId="58" fillId="4" borderId="0" xfId="1" applyNumberFormat="1" applyFont="1" applyFill="1" applyAlignment="1"/>
    <xf numFmtId="170" fontId="0" fillId="14" borderId="5" xfId="21" applyNumberFormat="1" applyFont="1" applyFill="1" applyBorder="1" applyAlignment="1">
      <alignment vertical="center"/>
    </xf>
    <xf numFmtId="164" fontId="39" fillId="4" borderId="0" xfId="0" applyNumberFormat="1" applyFont="1" applyFill="1"/>
    <xf numFmtId="164" fontId="58" fillId="4" borderId="0" xfId="1" applyNumberFormat="1" applyFont="1" applyFill="1"/>
    <xf numFmtId="37" fontId="13" fillId="4" borderId="5" xfId="1" applyNumberFormat="1" applyFont="1" applyFill="1" applyBorder="1" applyAlignment="1">
      <alignment horizontal="center"/>
    </xf>
    <xf numFmtId="0" fontId="0" fillId="0" borderId="5" xfId="0" applyFont="1" applyBorder="1" applyAlignment="1" applyProtection="1">
      <alignment horizontal="left" vertical="center" wrapText="1"/>
    </xf>
    <xf numFmtId="0" fontId="0" fillId="0" borderId="5" xfId="0" applyFont="1" applyBorder="1" applyAlignment="1">
      <alignment vertical="center" wrapText="1"/>
    </xf>
    <xf numFmtId="0" fontId="0" fillId="0" borderId="5" xfId="0" applyFont="1" applyFill="1" applyBorder="1" applyAlignment="1">
      <alignment vertical="center" wrapText="1"/>
    </xf>
    <xf numFmtId="0" fontId="0" fillId="0" borderId="5" xfId="0" applyFont="1" applyBorder="1" applyAlignment="1" applyProtection="1">
      <alignment vertical="center" wrapText="1"/>
    </xf>
    <xf numFmtId="0" fontId="0" fillId="0" borderId="5" xfId="0" applyFont="1" applyBorder="1" applyAlignment="1" applyProtection="1">
      <alignment vertical="center"/>
    </xf>
    <xf numFmtId="0" fontId="13" fillId="0" borderId="5" xfId="0" applyFont="1" applyBorder="1"/>
    <xf numFmtId="164" fontId="0" fillId="29" borderId="28" xfId="1" applyNumberFormat="1" applyFont="1" applyFill="1" applyBorder="1" applyAlignment="1">
      <alignment horizontal="center" vertical="center"/>
    </xf>
    <xf numFmtId="0" fontId="0" fillId="0" borderId="16" xfId="0" applyFill="1" applyBorder="1" applyAlignment="1" applyProtection="1">
      <alignment horizontal="left" vertical="top" wrapText="1"/>
    </xf>
    <xf numFmtId="0" fontId="58" fillId="0" borderId="0" xfId="0" applyFont="1" applyFill="1" applyBorder="1"/>
    <xf numFmtId="37" fontId="58" fillId="0" borderId="0" xfId="1" applyNumberFormat="1" applyFont="1" applyFill="1" applyBorder="1" applyAlignment="1">
      <alignment horizontal="center"/>
    </xf>
    <xf numFmtId="0" fontId="0" fillId="0" borderId="32" xfId="0" applyFont="1" applyFill="1" applyBorder="1" applyAlignment="1">
      <alignment vertical="center" wrapText="1"/>
    </xf>
    <xf numFmtId="164" fontId="0" fillId="4" borderId="0" xfId="0" applyNumberFormat="1" applyFont="1" applyFill="1"/>
    <xf numFmtId="0" fontId="42" fillId="0" borderId="0" xfId="0" applyFont="1" applyFill="1"/>
    <xf numFmtId="0" fontId="39" fillId="0" borderId="0" xfId="0" applyFont="1" applyFill="1"/>
    <xf numFmtId="0" fontId="0" fillId="4" borderId="5" xfId="0" applyFill="1" applyBorder="1" applyAlignment="1">
      <alignment horizontal="center" vertical="center"/>
    </xf>
    <xf numFmtId="164" fontId="2" fillId="4" borderId="0" xfId="1" applyNumberFormat="1" applyFont="1" applyFill="1" applyAlignment="1"/>
    <xf numFmtId="0" fontId="16" fillId="0" borderId="15" xfId="0" applyFont="1" applyFill="1" applyBorder="1"/>
    <xf numFmtId="0" fontId="0" fillId="0" borderId="32" xfId="0" applyFont="1" applyFill="1" applyBorder="1" applyAlignment="1">
      <alignment vertical="center"/>
    </xf>
    <xf numFmtId="0" fontId="0" fillId="0" borderId="32" xfId="0" applyFill="1" applyBorder="1"/>
    <xf numFmtId="0" fontId="0" fillId="0" borderId="60" xfId="0" applyFill="1" applyBorder="1"/>
    <xf numFmtId="0" fontId="0" fillId="0" borderId="57" xfId="0" applyFill="1" applyBorder="1"/>
    <xf numFmtId="0" fontId="0" fillId="0" borderId="16" xfId="0" applyFont="1" applyFill="1" applyBorder="1"/>
    <xf numFmtId="0" fontId="75" fillId="0" borderId="0" xfId="0" applyFont="1"/>
    <xf numFmtId="0" fontId="0" fillId="0" borderId="4" xfId="0" applyFill="1" applyBorder="1" applyAlignment="1" applyProtection="1">
      <alignment vertical="top" wrapText="1"/>
    </xf>
    <xf numFmtId="0" fontId="21" fillId="0" borderId="0" xfId="0" applyFont="1" applyProtection="1"/>
    <xf numFmtId="0" fontId="0" fillId="0" borderId="16" xfId="0" applyFill="1" applyBorder="1" applyAlignment="1" applyProtection="1">
      <alignment vertical="top"/>
    </xf>
    <xf numFmtId="0" fontId="13" fillId="0" borderId="0" xfId="0" quotePrefix="1" applyFont="1" applyFill="1" applyAlignment="1">
      <alignment horizontal="left" indent="1"/>
    </xf>
    <xf numFmtId="171" fontId="0" fillId="8" borderId="5" xfId="0" applyNumberFormat="1" applyFill="1" applyBorder="1" applyAlignment="1" applyProtection="1">
      <alignment horizontal="center"/>
      <protection locked="0"/>
    </xf>
    <xf numFmtId="171" fontId="67" fillId="4" borderId="5" xfId="0" applyNumberFormat="1" applyFont="1" applyFill="1" applyBorder="1" applyAlignment="1">
      <alignment horizontal="center"/>
    </xf>
    <xf numFmtId="0" fontId="58" fillId="0" borderId="0" xfId="0" applyFont="1" applyFill="1" applyBorder="1" applyAlignment="1" applyProtection="1">
      <alignment horizontal="left"/>
    </xf>
    <xf numFmtId="0" fontId="0" fillId="0" borderId="0" xfId="0" applyFill="1" applyBorder="1" applyAlignment="1">
      <alignment vertical="center"/>
    </xf>
    <xf numFmtId="0" fontId="0" fillId="0" borderId="0" xfId="0" applyFill="1" applyBorder="1" applyAlignment="1">
      <alignment vertical="center" wrapText="1"/>
    </xf>
    <xf numFmtId="44" fontId="0" fillId="0" borderId="0" xfId="21" applyFont="1" applyFill="1" applyBorder="1"/>
    <xf numFmtId="0" fontId="0" fillId="0" borderId="0" xfId="0" applyFill="1" applyBorder="1" applyAlignment="1">
      <alignment horizontal="center" vertical="center"/>
    </xf>
    <xf numFmtId="164" fontId="0" fillId="0" borderId="0" xfId="1" applyNumberFormat="1" applyFont="1" applyFill="1" applyBorder="1" applyAlignment="1">
      <alignment horizontal="center" vertical="center"/>
    </xf>
    <xf numFmtId="170" fontId="0" fillId="0" borderId="0" xfId="21" applyNumberFormat="1" applyFont="1" applyFill="1" applyBorder="1" applyAlignment="1">
      <alignment vertical="center"/>
    </xf>
    <xf numFmtId="0" fontId="0" fillId="0" borderId="0" xfId="0" applyFont="1" applyFill="1" applyBorder="1" applyAlignment="1">
      <alignment vertical="center"/>
    </xf>
    <xf numFmtId="0" fontId="23" fillId="3" borderId="40" xfId="0" applyFont="1" applyFill="1" applyBorder="1" applyAlignment="1">
      <alignment horizontal="center" vertical="center"/>
    </xf>
    <xf numFmtId="0" fontId="7" fillId="0" borderId="41" xfId="0" applyFont="1" applyFill="1" applyBorder="1" applyAlignment="1">
      <alignment wrapText="1"/>
    </xf>
    <xf numFmtId="164" fontId="2" fillId="4" borderId="0" xfId="1" applyNumberFormat="1" applyFont="1" applyFill="1"/>
    <xf numFmtId="37" fontId="4" fillId="8" borderId="5" xfId="1" applyNumberFormat="1" applyFont="1" applyFill="1" applyBorder="1" applyAlignment="1" applyProtection="1">
      <alignment horizontal="center" vertical="center" wrapText="1"/>
      <protection locked="0"/>
    </xf>
    <xf numFmtId="0" fontId="0" fillId="0" borderId="25" xfId="0" applyFill="1" applyBorder="1" applyAlignment="1" applyProtection="1">
      <alignment vertical="top"/>
    </xf>
    <xf numFmtId="0" fontId="0" fillId="0" borderId="26" xfId="0" applyFill="1" applyBorder="1" applyAlignment="1" applyProtection="1">
      <alignment vertical="top" wrapText="1"/>
    </xf>
    <xf numFmtId="0" fontId="0" fillId="0" borderId="25" xfId="0" applyFill="1" applyBorder="1" applyAlignment="1" applyProtection="1">
      <alignment horizontal="left" vertical="top" wrapText="1"/>
    </xf>
    <xf numFmtId="164" fontId="0" fillId="4" borderId="25" xfId="1" applyNumberFormat="1" applyFont="1" applyFill="1" applyBorder="1" applyAlignment="1" applyProtection="1">
      <alignment horizontal="center"/>
    </xf>
    <xf numFmtId="170" fontId="0" fillId="4" borderId="28" xfId="21" applyNumberFormat="1" applyFont="1" applyFill="1" applyBorder="1" applyProtection="1"/>
    <xf numFmtId="0" fontId="0" fillId="0" borderId="31" xfId="0" applyFill="1" applyBorder="1" applyAlignment="1" applyProtection="1">
      <alignment vertical="top"/>
    </xf>
    <xf numFmtId="0" fontId="0" fillId="0" borderId="33" xfId="0" applyFill="1" applyBorder="1" applyAlignment="1" applyProtection="1">
      <alignment vertical="top" wrapText="1"/>
    </xf>
    <xf numFmtId="0" fontId="0" fillId="0" borderId="31" xfId="0" applyFill="1" applyBorder="1" applyAlignment="1" applyProtection="1">
      <alignment horizontal="left" vertical="top" wrapText="1"/>
    </xf>
    <xf numFmtId="164" fontId="0" fillId="4" borderId="31" xfId="1" applyNumberFormat="1" applyFont="1" applyFill="1" applyBorder="1" applyAlignment="1" applyProtection="1">
      <alignment horizontal="center"/>
    </xf>
    <xf numFmtId="170" fontId="0" fillId="4" borderId="20" xfId="21" applyNumberFormat="1" applyFont="1" applyFill="1" applyBorder="1" applyProtection="1"/>
    <xf numFmtId="170" fontId="0" fillId="4" borderId="44" xfId="0" applyNumberFormat="1" applyFill="1" applyBorder="1" applyProtection="1"/>
    <xf numFmtId="164" fontId="0" fillId="4" borderId="48" xfId="1" applyNumberFormat="1" applyFont="1" applyFill="1" applyBorder="1" applyAlignment="1" applyProtection="1">
      <alignment horizontal="center"/>
    </xf>
    <xf numFmtId="0" fontId="13" fillId="0" borderId="0" xfId="0" applyFont="1" applyAlignment="1">
      <alignment vertical="center"/>
    </xf>
    <xf numFmtId="37" fontId="4" fillId="8" borderId="20" xfId="1" applyNumberFormat="1" applyFont="1" applyFill="1" applyBorder="1" applyAlignment="1" applyProtection="1">
      <alignment horizontal="center" vertical="center" wrapText="1"/>
      <protection locked="0"/>
    </xf>
    <xf numFmtId="9" fontId="4" fillId="8" borderId="23" xfId="8" applyFont="1" applyFill="1" applyBorder="1" applyAlignment="1" applyProtection="1">
      <alignment horizontal="center" vertical="center" wrapText="1"/>
      <protection locked="0"/>
    </xf>
    <xf numFmtId="37" fontId="4" fillId="8" borderId="28" xfId="1" applyNumberFormat="1" applyFont="1" applyFill="1" applyBorder="1" applyAlignment="1" applyProtection="1">
      <alignment horizontal="center" vertical="center" wrapText="1"/>
      <protection locked="0"/>
    </xf>
    <xf numFmtId="3" fontId="0" fillId="0" borderId="10" xfId="0" applyNumberFormat="1" applyBorder="1"/>
    <xf numFmtId="3" fontId="25" fillId="0" borderId="0" xfId="11" applyNumberFormat="1"/>
    <xf numFmtId="3" fontId="23" fillId="17" borderId="0" xfId="0" applyNumberFormat="1" applyFont="1" applyFill="1"/>
    <xf numFmtId="3" fontId="0" fillId="0" borderId="0" xfId="0" applyNumberFormat="1"/>
    <xf numFmtId="3" fontId="0" fillId="18" borderId="0" xfId="0" applyNumberFormat="1" applyFill="1"/>
    <xf numFmtId="3" fontId="0" fillId="0" borderId="0" xfId="0" applyNumberFormat="1" applyAlignment="1"/>
    <xf numFmtId="3" fontId="7" fillId="0" borderId="0" xfId="0" applyNumberFormat="1" applyFont="1" applyAlignment="1">
      <alignment wrapText="1"/>
    </xf>
    <xf numFmtId="3" fontId="6" fillId="3" borderId="44" xfId="0" applyNumberFormat="1" applyFont="1" applyFill="1" applyBorder="1" applyAlignment="1">
      <alignment horizontal="center" vertical="center" wrapText="1"/>
    </xf>
    <xf numFmtId="3" fontId="0" fillId="0" borderId="66" xfId="1" applyNumberFormat="1" applyFont="1" applyBorder="1"/>
    <xf numFmtId="0" fontId="4" fillId="4" borderId="5" xfId="0" applyFont="1" applyFill="1" applyBorder="1" applyAlignment="1">
      <alignment vertical="center"/>
    </xf>
    <xf numFmtId="0" fontId="4" fillId="4" borderId="2" xfId="0" applyFont="1" applyFill="1" applyBorder="1" applyAlignment="1">
      <alignment vertical="center" wrapText="1"/>
    </xf>
    <xf numFmtId="0" fontId="4" fillId="4" borderId="23" xfId="0" applyFont="1" applyFill="1" applyBorder="1" applyAlignment="1">
      <alignment vertical="center" wrapText="1"/>
    </xf>
    <xf numFmtId="0" fontId="0" fillId="0" borderId="36" xfId="0" quotePrefix="1" applyFont="1" applyBorder="1" applyProtection="1"/>
    <xf numFmtId="0" fontId="0" fillId="0" borderId="27" xfId="0" applyBorder="1" applyProtection="1"/>
    <xf numFmtId="0" fontId="0" fillId="0" borderId="19" xfId="0" applyFill="1" applyBorder="1" applyAlignment="1" applyProtection="1">
      <alignment horizontal="left" vertical="top" wrapText="1"/>
    </xf>
    <xf numFmtId="164" fontId="0" fillId="4" borderId="19" xfId="1" applyNumberFormat="1" applyFont="1" applyFill="1" applyBorder="1" applyAlignment="1" applyProtection="1">
      <alignment horizontal="center"/>
    </xf>
    <xf numFmtId="0" fontId="0" fillId="0" borderId="24" xfId="0" applyFill="1" applyBorder="1" applyAlignment="1" applyProtection="1">
      <alignment horizontal="left" vertical="top" wrapText="1"/>
    </xf>
    <xf numFmtId="164" fontId="0" fillId="4" borderId="24" xfId="1" applyNumberFormat="1" applyFont="1" applyFill="1" applyBorder="1" applyAlignment="1" applyProtection="1">
      <alignment horizontal="center"/>
    </xf>
    <xf numFmtId="0" fontId="13" fillId="0" borderId="14" xfId="0" applyFont="1" applyFill="1" applyBorder="1" applyProtection="1"/>
    <xf numFmtId="0" fontId="0" fillId="0" borderId="21" xfId="0" applyFont="1" applyBorder="1" applyProtection="1"/>
    <xf numFmtId="0" fontId="7" fillId="0" borderId="40" xfId="0" applyFont="1" applyBorder="1" applyAlignment="1" applyProtection="1">
      <alignment vertical="center" wrapText="1"/>
    </xf>
    <xf numFmtId="0" fontId="7" fillId="0" borderId="32" xfId="0" applyFont="1" applyFill="1" applyBorder="1" applyAlignment="1" applyProtection="1">
      <alignment horizontal="left" vertical="top" wrapText="1"/>
    </xf>
    <xf numFmtId="0" fontId="7" fillId="0" borderId="29" xfId="0" applyFont="1" applyFill="1" applyBorder="1" applyAlignment="1" applyProtection="1">
      <alignment horizontal="left" vertical="top" wrapText="1"/>
    </xf>
    <xf numFmtId="0" fontId="7" fillId="0" borderId="18" xfId="0" applyFont="1" applyFill="1"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7" fillId="0" borderId="0" xfId="0" applyFont="1" applyAlignment="1">
      <alignment horizontal="center"/>
    </xf>
    <xf numFmtId="0" fontId="58" fillId="6" borderId="0" xfId="0" applyFont="1" applyFill="1" applyAlignment="1">
      <alignment horizontal="left" indent="1"/>
    </xf>
    <xf numFmtId="0" fontId="13" fillId="0" borderId="0" xfId="0" applyFont="1" applyFill="1" applyProtection="1"/>
    <xf numFmtId="0" fontId="7" fillId="0" borderId="0" xfId="0" quotePrefix="1" applyFont="1" applyFill="1" applyAlignment="1" applyProtection="1">
      <alignment horizontal="right" indent="3"/>
    </xf>
    <xf numFmtId="0" fontId="22" fillId="0" borderId="0" xfId="0" applyFont="1" applyAlignment="1">
      <alignment horizontal="left"/>
    </xf>
    <xf numFmtId="3" fontId="0" fillId="8" borderId="23" xfId="0" applyNumberFormat="1" applyFill="1" applyBorder="1" applyAlignment="1" applyProtection="1">
      <alignment horizontal="center"/>
      <protection locked="0"/>
    </xf>
    <xf numFmtId="3" fontId="0" fillId="8" borderId="23" xfId="0" applyNumberFormat="1" applyFill="1" applyBorder="1" applyAlignment="1" applyProtection="1">
      <alignment horizontal="center" vertical="center"/>
      <protection locked="0"/>
    </xf>
    <xf numFmtId="3" fontId="0" fillId="8" borderId="28" xfId="0" applyNumberFormat="1" applyFill="1" applyBorder="1" applyAlignment="1" applyProtection="1">
      <alignment horizontal="center" vertical="center"/>
      <protection locked="0"/>
    </xf>
    <xf numFmtId="0" fontId="7" fillId="0" borderId="40" xfId="0" applyFont="1" applyFill="1" applyBorder="1" applyAlignment="1">
      <alignment wrapText="1"/>
    </xf>
    <xf numFmtId="0" fontId="7" fillId="0" borderId="42" xfId="0" applyFont="1" applyFill="1" applyBorder="1" applyAlignment="1">
      <alignment wrapText="1"/>
    </xf>
    <xf numFmtId="0" fontId="0" fillId="0" borderId="0" xfId="0" quotePrefix="1"/>
    <xf numFmtId="0" fontId="0" fillId="21" borderId="0" xfId="0" applyFill="1"/>
    <xf numFmtId="0" fontId="7" fillId="21" borderId="0" xfId="0" applyFont="1" applyFill="1"/>
    <xf numFmtId="0" fontId="13" fillId="32" borderId="0" xfId="0" applyFont="1" applyFill="1" applyAlignment="1">
      <alignment horizontal="left" indent="1"/>
    </xf>
    <xf numFmtId="0" fontId="0" fillId="32" borderId="0" xfId="0" applyFill="1"/>
    <xf numFmtId="9" fontId="0" fillId="6" borderId="5" xfId="8" applyFont="1" applyFill="1" applyBorder="1" applyAlignment="1" applyProtection="1">
      <alignment horizontal="center" vertical="center" wrapText="1"/>
      <protection locked="0"/>
    </xf>
    <xf numFmtId="0" fontId="78" fillId="0" borderId="0" xfId="0" applyFont="1"/>
    <xf numFmtId="3" fontId="0" fillId="8" borderId="5" xfId="0" applyNumberFormat="1" applyFill="1" applyBorder="1" applyAlignment="1" applyProtection="1">
      <alignment horizontal="center" vertical="center"/>
      <protection locked="0"/>
    </xf>
    <xf numFmtId="166" fontId="0" fillId="14" borderId="0" xfId="0" applyNumberFormat="1" applyFill="1"/>
    <xf numFmtId="43" fontId="0" fillId="14" borderId="0" xfId="1" applyFont="1" applyFill="1"/>
    <xf numFmtId="43" fontId="0" fillId="14" borderId="0" xfId="1" applyNumberFormat="1" applyFont="1" applyFill="1"/>
    <xf numFmtId="3" fontId="47" fillId="0" borderId="0" xfId="0" applyNumberFormat="1" applyFont="1" applyFill="1" applyBorder="1" applyAlignment="1">
      <alignment vertical="center"/>
    </xf>
    <xf numFmtId="0" fontId="0" fillId="25" borderId="0" xfId="0" applyFill="1"/>
    <xf numFmtId="1" fontId="67" fillId="4" borderId="5" xfId="0" applyNumberFormat="1" applyFont="1" applyFill="1" applyBorder="1" applyAlignment="1">
      <alignment horizontal="center"/>
    </xf>
    <xf numFmtId="3" fontId="7" fillId="0" borderId="40" xfId="0" applyNumberFormat="1" applyFont="1" applyFill="1" applyBorder="1" applyAlignment="1">
      <alignment wrapText="1"/>
    </xf>
    <xf numFmtId="1" fontId="7" fillId="0" borderId="40" xfId="0" applyNumberFormat="1" applyFont="1" applyFill="1" applyBorder="1" applyAlignment="1">
      <alignment wrapText="1"/>
    </xf>
    <xf numFmtId="0" fontId="7" fillId="0" borderId="12" xfId="0" applyFont="1" applyFill="1" applyBorder="1" applyAlignment="1">
      <alignment wrapText="1"/>
    </xf>
    <xf numFmtId="0" fontId="7" fillId="0" borderId="13" xfId="0" applyFont="1" applyFill="1" applyBorder="1" applyAlignment="1">
      <alignment wrapText="1"/>
    </xf>
    <xf numFmtId="0" fontId="7" fillId="0" borderId="62" xfId="0" applyFont="1" applyFill="1" applyBorder="1" applyAlignment="1">
      <alignment wrapText="1"/>
    </xf>
    <xf numFmtId="0" fontId="14" fillId="5" borderId="0" xfId="0" applyFont="1" applyFill="1" applyBorder="1" applyProtection="1"/>
    <xf numFmtId="0" fontId="13" fillId="10" borderId="0" xfId="0" applyFont="1" applyFill="1" applyAlignment="1">
      <alignment wrapText="1"/>
    </xf>
    <xf numFmtId="0" fontId="13" fillId="10" borderId="0" xfId="0" quotePrefix="1" applyFont="1" applyFill="1" applyAlignment="1">
      <alignment wrapText="1"/>
    </xf>
    <xf numFmtId="0" fontId="58" fillId="6" borderId="0" xfId="0" applyFont="1" applyFill="1" applyAlignment="1">
      <alignment horizontal="left" vertical="center" indent="1"/>
    </xf>
    <xf numFmtId="37" fontId="0" fillId="6" borderId="5" xfId="1" applyNumberFormat="1" applyFont="1" applyFill="1" applyBorder="1" applyAlignment="1" applyProtection="1">
      <alignment horizontal="center" vertical="center" wrapText="1"/>
      <protection locked="0"/>
    </xf>
    <xf numFmtId="0" fontId="0" fillId="6" borderId="5" xfId="0" applyFill="1" applyBorder="1" applyAlignment="1" applyProtection="1">
      <alignment horizontal="center"/>
      <protection locked="0"/>
    </xf>
    <xf numFmtId="166" fontId="0" fillId="6" borderId="5" xfId="8" applyNumberFormat="1" applyFont="1" applyFill="1" applyBorder="1" applyAlignment="1" applyProtection="1">
      <alignment horizontal="center" vertical="center"/>
      <protection locked="0"/>
    </xf>
    <xf numFmtId="166" fontId="0" fillId="6" borderId="5" xfId="0" applyNumberFormat="1" applyFill="1" applyBorder="1" applyAlignment="1" applyProtection="1">
      <alignment horizontal="center" vertical="center"/>
      <protection locked="0"/>
    </xf>
    <xf numFmtId="164" fontId="0" fillId="6" borderId="5" xfId="1" applyNumberFormat="1" applyFont="1" applyFill="1" applyBorder="1" applyAlignment="1">
      <alignment horizontal="center" vertical="center"/>
    </xf>
    <xf numFmtId="170" fontId="0" fillId="6" borderId="5" xfId="21" applyNumberFormat="1" applyFont="1" applyFill="1" applyBorder="1" applyAlignment="1">
      <alignment vertical="center"/>
    </xf>
    <xf numFmtId="164" fontId="0" fillId="0" borderId="5" xfId="1" applyNumberFormat="1" applyFont="1" applyBorder="1" applyAlignment="1">
      <alignment vertical="top"/>
    </xf>
    <xf numFmtId="164" fontId="0" fillId="0" borderId="0" xfId="1" applyNumberFormat="1" applyFont="1" applyBorder="1" applyAlignment="1">
      <alignment vertical="top"/>
    </xf>
    <xf numFmtId="0" fontId="23" fillId="17" borderId="0" xfId="0" applyFont="1" applyFill="1" applyBorder="1"/>
    <xf numFmtId="164" fontId="47" fillId="0" borderId="5" xfId="1" applyNumberFormat="1" applyFont="1" applyBorder="1" applyAlignment="1">
      <alignment vertical="top"/>
    </xf>
    <xf numFmtId="43" fontId="47" fillId="0" borderId="5" xfId="16" applyNumberFormat="1" applyFont="1" applyBorder="1">
      <alignment vertical="top"/>
    </xf>
    <xf numFmtId="0" fontId="1" fillId="0" borderId="0" xfId="13"/>
    <xf numFmtId="0" fontId="39" fillId="0" borderId="0" xfId="13" applyFont="1"/>
    <xf numFmtId="0" fontId="39" fillId="0" borderId="0" xfId="13" applyFont="1" applyAlignment="1">
      <alignment horizontal="center"/>
    </xf>
    <xf numFmtId="0" fontId="1" fillId="0" borderId="0" xfId="13" applyAlignment="1">
      <alignment horizontal="left"/>
    </xf>
    <xf numFmtId="2" fontId="39" fillId="0" borderId="0" xfId="13" applyNumberFormat="1" applyFont="1"/>
    <xf numFmtId="0" fontId="15" fillId="0" borderId="0" xfId="13" applyFont="1" applyAlignment="1">
      <alignment horizontal="right"/>
    </xf>
    <xf numFmtId="2" fontId="39" fillId="0" borderId="0" xfId="13" applyNumberFormat="1" applyFont="1" applyAlignment="1">
      <alignment horizontal="center"/>
    </xf>
    <xf numFmtId="2" fontId="82" fillId="11" borderId="0" xfId="13" applyNumberFormat="1" applyFont="1" applyFill="1" applyBorder="1" applyAlignment="1">
      <alignment horizontal="center"/>
    </xf>
    <xf numFmtId="2" fontId="82" fillId="11" borderId="78" xfId="13" applyNumberFormat="1" applyFont="1" applyFill="1" applyBorder="1" applyAlignment="1">
      <alignment horizontal="center" vertical="top" wrapText="1"/>
    </xf>
    <xf numFmtId="2" fontId="82" fillId="11" borderId="79" xfId="13" applyNumberFormat="1" applyFont="1" applyFill="1" applyBorder="1" applyAlignment="1">
      <alignment horizontal="center" vertical="top" wrapText="1"/>
    </xf>
    <xf numFmtId="2" fontId="82" fillId="11" borderId="80" xfId="13" applyNumberFormat="1" applyFont="1" applyFill="1" applyBorder="1" applyAlignment="1">
      <alignment horizontal="center" vertical="top" wrapText="1"/>
    </xf>
    <xf numFmtId="2" fontId="82" fillId="11" borderId="81" xfId="13" applyNumberFormat="1" applyFont="1" applyFill="1" applyBorder="1" applyAlignment="1">
      <alignment horizontal="center" vertical="top" wrapText="1"/>
    </xf>
    <xf numFmtId="0" fontId="83" fillId="0" borderId="82" xfId="13" applyFont="1" applyBorder="1" applyAlignment="1" applyProtection="1">
      <alignment horizontal="center" vertical="top" wrapText="1"/>
      <protection locked="0"/>
    </xf>
    <xf numFmtId="0" fontId="83" fillId="0" borderId="83" xfId="13" applyFont="1" applyBorder="1" applyAlignment="1" applyProtection="1">
      <alignment horizontal="center" vertical="top" wrapText="1"/>
      <protection locked="0"/>
    </xf>
    <xf numFmtId="0" fontId="83" fillId="0" borderId="83" xfId="13" applyFont="1" applyBorder="1" applyAlignment="1" applyProtection="1">
      <alignment vertical="top" wrapText="1"/>
      <protection locked="0"/>
    </xf>
    <xf numFmtId="0" fontId="33" fillId="19" borderId="68" xfId="13" applyFont="1" applyFill="1" applyBorder="1" applyAlignment="1">
      <alignment horizontal="center" vertical="top"/>
    </xf>
    <xf numFmtId="2" fontId="82" fillId="11" borderId="84" xfId="13" applyNumberFormat="1" applyFont="1" applyFill="1" applyBorder="1" applyAlignment="1">
      <alignment horizontal="center" vertical="top" wrapText="1"/>
    </xf>
    <xf numFmtId="2" fontId="82" fillId="11" borderId="85" xfId="13" applyNumberFormat="1" applyFont="1" applyFill="1" applyBorder="1" applyAlignment="1">
      <alignment horizontal="center" vertical="top" wrapText="1"/>
    </xf>
    <xf numFmtId="2" fontId="82" fillId="11" borderId="86" xfId="13" applyNumberFormat="1" applyFont="1" applyFill="1" applyBorder="1" applyAlignment="1">
      <alignment horizontal="center" vertical="top" wrapText="1"/>
    </xf>
    <xf numFmtId="2" fontId="82" fillId="11" borderId="87" xfId="13" applyNumberFormat="1" applyFont="1" applyFill="1" applyBorder="1" applyAlignment="1">
      <alignment horizontal="center" vertical="top" wrapText="1"/>
    </xf>
    <xf numFmtId="0" fontId="83" fillId="0" borderId="88" xfId="13" applyFont="1" applyBorder="1" applyAlignment="1" applyProtection="1">
      <alignment horizontal="center" vertical="top" wrapText="1"/>
      <protection locked="0"/>
    </xf>
    <xf numFmtId="0" fontId="83" fillId="0" borderId="89" xfId="13" applyFont="1" applyBorder="1" applyAlignment="1" applyProtection="1">
      <alignment horizontal="center" vertical="top" wrapText="1"/>
      <protection locked="0"/>
    </xf>
    <xf numFmtId="0" fontId="83" fillId="0" borderId="89" xfId="13" applyFont="1" applyBorder="1" applyAlignment="1" applyProtection="1">
      <alignment vertical="top" wrapText="1"/>
      <protection locked="0"/>
    </xf>
    <xf numFmtId="0" fontId="33" fillId="19" borderId="67" xfId="13" applyFont="1" applyFill="1" applyBorder="1" applyAlignment="1">
      <alignment horizontal="center" vertical="top"/>
    </xf>
    <xf numFmtId="2" fontId="82" fillId="0" borderId="86" xfId="13" applyNumberFormat="1" applyFont="1" applyBorder="1" applyAlignment="1">
      <alignment horizontal="center" vertical="top" wrapText="1"/>
    </xf>
    <xf numFmtId="2" fontId="82" fillId="0" borderId="87" xfId="13" applyNumberFormat="1" applyFont="1" applyBorder="1" applyAlignment="1">
      <alignment horizontal="center" vertical="top" wrapText="1"/>
    </xf>
    <xf numFmtId="0" fontId="83" fillId="0" borderId="90" xfId="13" applyFont="1" applyBorder="1" applyAlignment="1" applyProtection="1">
      <alignment vertical="top"/>
      <protection locked="0"/>
    </xf>
    <xf numFmtId="2" fontId="82" fillId="0" borderId="85" xfId="13" applyNumberFormat="1" applyFont="1" applyBorder="1" applyAlignment="1">
      <alignment horizontal="center" vertical="top" wrapText="1"/>
    </xf>
    <xf numFmtId="2" fontId="82" fillId="11" borderId="84" xfId="13" applyNumberFormat="1" applyFont="1" applyFill="1" applyBorder="1" applyAlignment="1">
      <alignment horizontal="center"/>
    </xf>
    <xf numFmtId="2" fontId="82" fillId="11" borderId="85" xfId="13" applyNumberFormat="1" applyFont="1" applyFill="1" applyBorder="1" applyAlignment="1">
      <alignment horizontal="center"/>
    </xf>
    <xf numFmtId="2" fontId="82" fillId="0" borderId="85" xfId="13" applyNumberFormat="1" applyFont="1" applyBorder="1" applyAlignment="1">
      <alignment horizontal="center"/>
    </xf>
    <xf numFmtId="0" fontId="83" fillId="0" borderId="88" xfId="13" applyFont="1" applyBorder="1" applyAlignment="1" applyProtection="1">
      <alignment horizontal="center"/>
      <protection locked="0"/>
    </xf>
    <xf numFmtId="2" fontId="82" fillId="11" borderId="91" xfId="13" applyNumberFormat="1" applyFont="1" applyFill="1" applyBorder="1" applyAlignment="1">
      <alignment horizontal="center"/>
    </xf>
    <xf numFmtId="2" fontId="82" fillId="11" borderId="92" xfId="13" applyNumberFormat="1" applyFont="1" applyFill="1" applyBorder="1" applyAlignment="1">
      <alignment horizontal="center"/>
    </xf>
    <xf numFmtId="2" fontId="82" fillId="11" borderId="93" xfId="13" applyNumberFormat="1" applyFont="1" applyFill="1" applyBorder="1" applyAlignment="1">
      <alignment horizontal="center" vertical="top" wrapText="1"/>
    </xf>
    <xf numFmtId="2" fontId="82" fillId="0" borderId="92" xfId="13" applyNumberFormat="1" applyFont="1" applyBorder="1" applyAlignment="1">
      <alignment horizontal="center"/>
    </xf>
    <xf numFmtId="2" fontId="82" fillId="0" borderId="92" xfId="13" applyNumberFormat="1" applyFont="1" applyBorder="1" applyAlignment="1">
      <alignment horizontal="center" vertical="top" wrapText="1"/>
    </xf>
    <xf numFmtId="2" fontId="82" fillId="11" borderId="92" xfId="13" applyNumberFormat="1" applyFont="1" applyFill="1" applyBorder="1" applyAlignment="1">
      <alignment horizontal="center" vertical="top" wrapText="1"/>
    </xf>
    <xf numFmtId="2" fontId="82" fillId="11" borderId="94" xfId="13" applyNumberFormat="1" applyFont="1" applyFill="1" applyBorder="1" applyAlignment="1">
      <alignment horizontal="center" vertical="top" wrapText="1"/>
    </xf>
    <xf numFmtId="0" fontId="83" fillId="0" borderId="95" xfId="13" applyFont="1" applyBorder="1" applyAlignment="1" applyProtection="1">
      <alignment horizontal="center" vertical="top"/>
      <protection locked="0"/>
    </xf>
    <xf numFmtId="2" fontId="82" fillId="11" borderId="96" xfId="13" applyNumberFormat="1" applyFont="1" applyFill="1" applyBorder="1" applyAlignment="1">
      <alignment horizontal="center"/>
    </xf>
    <xf numFmtId="2" fontId="82" fillId="11" borderId="97" xfId="13" applyNumberFormat="1" applyFont="1" applyFill="1" applyBorder="1" applyAlignment="1">
      <alignment horizontal="center"/>
    </xf>
    <xf numFmtId="2" fontId="82" fillId="11" borderId="98" xfId="13" applyNumberFormat="1" applyFont="1" applyFill="1" applyBorder="1" applyAlignment="1">
      <alignment horizontal="center" vertical="top" wrapText="1"/>
    </xf>
    <xf numFmtId="2" fontId="82" fillId="0" borderId="97" xfId="13" applyNumberFormat="1" applyFont="1" applyBorder="1" applyAlignment="1">
      <alignment horizontal="center"/>
    </xf>
    <xf numFmtId="2" fontId="82" fillId="11" borderId="97" xfId="13" applyNumberFormat="1" applyFont="1" applyFill="1" applyBorder="1" applyAlignment="1">
      <alignment horizontal="center" vertical="top" wrapText="1"/>
    </xf>
    <xf numFmtId="2" fontId="82" fillId="11" borderId="99" xfId="13" applyNumberFormat="1" applyFont="1" applyFill="1" applyBorder="1" applyAlignment="1">
      <alignment horizontal="center" vertical="top" wrapText="1"/>
    </xf>
    <xf numFmtId="0" fontId="83" fillId="0" borderId="88" xfId="13" applyFont="1" applyBorder="1" applyAlignment="1" applyProtection="1">
      <alignment horizontal="center" vertical="top"/>
      <protection locked="0"/>
    </xf>
    <xf numFmtId="0" fontId="83" fillId="0" borderId="100" xfId="13" applyFont="1" applyBorder="1" applyAlignment="1">
      <alignment horizontal="center"/>
    </xf>
    <xf numFmtId="0" fontId="83" fillId="0" borderId="101" xfId="13" applyFont="1" applyBorder="1" applyAlignment="1">
      <alignment horizontal="center"/>
    </xf>
    <xf numFmtId="0" fontId="83" fillId="0" borderId="101" xfId="13" applyFont="1" applyBorder="1"/>
    <xf numFmtId="0" fontId="33" fillId="19" borderId="77" xfId="13" applyFont="1" applyFill="1" applyBorder="1" applyAlignment="1">
      <alignment horizontal="center" vertical="top"/>
    </xf>
    <xf numFmtId="0" fontId="39" fillId="0" borderId="0" xfId="13" applyFont="1" applyAlignment="1">
      <alignment horizontal="center" vertical="center"/>
    </xf>
    <xf numFmtId="0" fontId="82" fillId="0" borderId="17" xfId="13" applyFont="1" applyBorder="1" applyAlignment="1">
      <alignment horizontal="center" vertical="center" wrapText="1"/>
    </xf>
    <xf numFmtId="0" fontId="82" fillId="0" borderId="52" xfId="13" applyFont="1" applyBorder="1" applyAlignment="1">
      <alignment horizontal="center" vertical="center" wrapText="1"/>
    </xf>
    <xf numFmtId="0" fontId="82" fillId="0" borderId="51" xfId="13" applyFont="1" applyBorder="1" applyAlignment="1">
      <alignment horizontal="center" vertical="center" wrapText="1"/>
    </xf>
    <xf numFmtId="0" fontId="82" fillId="0" borderId="59" xfId="13" applyFont="1" applyBorder="1" applyAlignment="1">
      <alignment horizontal="center" vertical="center" wrapText="1"/>
    </xf>
    <xf numFmtId="0" fontId="33" fillId="19" borderId="102" xfId="13" applyFont="1" applyFill="1" applyBorder="1" applyAlignment="1">
      <alignment horizontal="center" vertical="center" wrapText="1"/>
    </xf>
    <xf numFmtId="0" fontId="33" fillId="19" borderId="103" xfId="13" applyFont="1" applyFill="1" applyBorder="1" applyAlignment="1">
      <alignment horizontal="center" vertical="center" wrapText="1"/>
    </xf>
    <xf numFmtId="0" fontId="33" fillId="19" borderId="44" xfId="13" applyFont="1" applyFill="1" applyBorder="1" applyAlignment="1">
      <alignment horizontal="center" vertical="center"/>
    </xf>
    <xf numFmtId="0" fontId="84" fillId="19" borderId="17" xfId="13" applyFont="1" applyFill="1" applyBorder="1" applyAlignment="1">
      <alignment horizontal="center"/>
    </xf>
    <xf numFmtId="0" fontId="84" fillId="19" borderId="35" xfId="13" applyFont="1" applyFill="1" applyBorder="1" applyAlignment="1">
      <alignment horizontal="center"/>
    </xf>
    <xf numFmtId="0" fontId="84" fillId="19" borderId="54" xfId="13" applyFont="1" applyFill="1" applyBorder="1" applyAlignment="1">
      <alignment horizontal="center"/>
    </xf>
    <xf numFmtId="0" fontId="84" fillId="19" borderId="55" xfId="13" applyFont="1" applyFill="1" applyBorder="1" applyAlignment="1">
      <alignment horizontal="center"/>
    </xf>
    <xf numFmtId="0" fontId="1" fillId="0" borderId="0" xfId="13" applyAlignment="1">
      <alignment horizontal="center"/>
    </xf>
    <xf numFmtId="0" fontId="15" fillId="0" borderId="0" xfId="13" applyFont="1"/>
    <xf numFmtId="0" fontId="33" fillId="19" borderId="0" xfId="13" applyFont="1" applyFill="1" applyBorder="1" applyAlignment="1">
      <alignment horizontal="centerContinuous"/>
    </xf>
    <xf numFmtId="0" fontId="33" fillId="19" borderId="42" xfId="13" applyFont="1" applyFill="1" applyBorder="1" applyAlignment="1">
      <alignment horizontal="centerContinuous"/>
    </xf>
    <xf numFmtId="0" fontId="33" fillId="19" borderId="41" xfId="13" applyFont="1" applyFill="1" applyBorder="1" applyAlignment="1">
      <alignment horizontal="centerContinuous"/>
    </xf>
    <xf numFmtId="0" fontId="33" fillId="19" borderId="40" xfId="13" applyFont="1" applyFill="1" applyBorder="1" applyAlignment="1">
      <alignment horizontal="centerContinuous"/>
    </xf>
    <xf numFmtId="2" fontId="1" fillId="0" borderId="0" xfId="13" applyNumberFormat="1" applyBorder="1"/>
    <xf numFmtId="2" fontId="1" fillId="0" borderId="41" xfId="13" applyNumberFormat="1" applyBorder="1"/>
    <xf numFmtId="2" fontId="85" fillId="0" borderId="41" xfId="13" applyNumberFormat="1" applyFont="1" applyBorder="1"/>
    <xf numFmtId="2" fontId="85" fillId="0" borderId="40" xfId="13" applyNumberFormat="1" applyFont="1" applyBorder="1"/>
    <xf numFmtId="0" fontId="33" fillId="19" borderId="42" xfId="13" applyFont="1" applyFill="1" applyBorder="1" applyAlignment="1">
      <alignment horizontal="center" vertical="center" wrapText="1"/>
    </xf>
    <xf numFmtId="0" fontId="33" fillId="19" borderId="40" xfId="13" applyFont="1" applyFill="1" applyBorder="1" applyAlignment="1">
      <alignment horizontal="center" vertical="center" wrapText="1"/>
    </xf>
    <xf numFmtId="0" fontId="1" fillId="0" borderId="0" xfId="13" applyAlignment="1">
      <alignment vertical="top" wrapText="1"/>
    </xf>
    <xf numFmtId="0" fontId="21" fillId="0" borderId="0" xfId="13" applyFont="1"/>
    <xf numFmtId="0" fontId="86" fillId="19" borderId="0" xfId="13" applyFont="1" applyFill="1"/>
    <xf numFmtId="0" fontId="86" fillId="19" borderId="0" xfId="13" applyFont="1" applyFill="1" applyAlignment="1">
      <alignment horizontal="center"/>
    </xf>
    <xf numFmtId="0" fontId="28" fillId="19" borderId="0" xfId="13" applyFont="1" applyFill="1"/>
    <xf numFmtId="0" fontId="87" fillId="0" borderId="104" xfId="13" applyFont="1" applyBorder="1" applyAlignment="1">
      <alignment horizontal="center"/>
    </xf>
    <xf numFmtId="0" fontId="87" fillId="0" borderId="104" xfId="13" applyFont="1" applyBorder="1"/>
    <xf numFmtId="0" fontId="87" fillId="16" borderId="0" xfId="13" applyFont="1" applyFill="1" applyAlignment="1">
      <alignment horizontal="center"/>
    </xf>
    <xf numFmtId="0" fontId="87" fillId="16" borderId="0" xfId="13" applyFont="1" applyFill="1"/>
    <xf numFmtId="0" fontId="87" fillId="0" borderId="0" xfId="13" applyFont="1" applyAlignment="1">
      <alignment horizontal="center"/>
    </xf>
    <xf numFmtId="0" fontId="87" fillId="0" borderId="0" xfId="13" applyFont="1"/>
    <xf numFmtId="0" fontId="87" fillId="16" borderId="105" xfId="13" applyFont="1" applyFill="1" applyBorder="1" applyAlignment="1">
      <alignment horizontal="center"/>
    </xf>
    <xf numFmtId="0" fontId="87" fillId="16" borderId="105" xfId="13" applyFont="1" applyFill="1" applyBorder="1"/>
    <xf numFmtId="0" fontId="88" fillId="0" borderId="105" xfId="13" applyFont="1" applyBorder="1" applyAlignment="1">
      <alignment horizontal="center"/>
    </xf>
    <xf numFmtId="0" fontId="88" fillId="0" borderId="105" xfId="13" applyFont="1" applyBorder="1"/>
    <xf numFmtId="164" fontId="7" fillId="0" borderId="15" xfId="1" applyNumberFormat="1" applyFont="1" applyFill="1" applyBorder="1" applyAlignment="1"/>
    <xf numFmtId="176" fontId="67" fillId="4" borderId="5" xfId="0" applyNumberFormat="1" applyFont="1" applyFill="1" applyBorder="1" applyAlignment="1">
      <alignment horizontal="center"/>
    </xf>
    <xf numFmtId="2" fontId="15" fillId="0" borderId="0" xfId="13" applyNumberFormat="1" applyFont="1" applyAlignment="1">
      <alignment horizontal="right"/>
    </xf>
    <xf numFmtId="3" fontId="4" fillId="4" borderId="5" xfId="0" applyNumberFormat="1" applyFont="1" applyFill="1" applyBorder="1" applyAlignment="1">
      <alignment horizontal="center" vertical="center"/>
    </xf>
    <xf numFmtId="176" fontId="4" fillId="4" borderId="5" xfId="0" applyNumberFormat="1" applyFont="1" applyFill="1" applyBorder="1" applyAlignment="1">
      <alignment horizontal="center" vertical="center"/>
    </xf>
    <xf numFmtId="1" fontId="0" fillId="0" borderId="0" xfId="0" applyNumberFormat="1" applyAlignment="1">
      <alignment horizontal="left" vertical="center" indent="4"/>
    </xf>
    <xf numFmtId="0" fontId="14" fillId="0" borderId="0" xfId="0" applyFont="1" applyAlignment="1">
      <alignment horizontal="left" vertical="center"/>
    </xf>
    <xf numFmtId="1" fontId="3" fillId="0" borderId="0" xfId="0" applyNumberFormat="1" applyFont="1"/>
    <xf numFmtId="1" fontId="3" fillId="0" borderId="0" xfId="0" applyNumberFormat="1" applyFont="1" applyAlignment="1">
      <alignment horizontal="left" vertical="center"/>
    </xf>
    <xf numFmtId="177" fontId="4" fillId="8" borderId="5" xfId="1" applyNumberFormat="1" applyFont="1" applyFill="1" applyBorder="1" applyAlignment="1" applyProtection="1">
      <alignment horizontal="center" vertical="center" wrapText="1"/>
      <protection locked="0"/>
    </xf>
    <xf numFmtId="0" fontId="89" fillId="0" borderId="0" xfId="0" applyFont="1" applyAlignment="1">
      <alignment horizontal="right"/>
    </xf>
    <xf numFmtId="1" fontId="89" fillId="0" borderId="0" xfId="0" applyNumberFormat="1" applyFont="1" applyAlignment="1">
      <alignment horizontal="right"/>
    </xf>
    <xf numFmtId="164" fontId="0" fillId="4" borderId="5" xfId="1" applyNumberFormat="1" applyFont="1" applyFill="1" applyBorder="1" applyAlignment="1" applyProtection="1">
      <alignment horizontal="center" vertical="center"/>
    </xf>
    <xf numFmtId="0" fontId="7" fillId="21" borderId="0" xfId="0" applyFont="1" applyFill="1" applyAlignment="1">
      <alignment horizontal="center"/>
    </xf>
    <xf numFmtId="0" fontId="0" fillId="0" borderId="0" xfId="0" quotePrefix="1" applyFill="1" applyAlignment="1">
      <alignment wrapText="1"/>
    </xf>
    <xf numFmtId="0" fontId="13" fillId="0" borderId="0" xfId="0" quotePrefix="1" applyFont="1" applyFill="1" applyAlignment="1">
      <alignment wrapText="1"/>
    </xf>
    <xf numFmtId="0" fontId="13" fillId="0" borderId="0" xfId="0" applyFont="1" applyFill="1" applyAlignment="1">
      <alignment wrapText="1"/>
    </xf>
    <xf numFmtId="0" fontId="0" fillId="21" borderId="0" xfId="0" applyFill="1" applyProtection="1"/>
    <xf numFmtId="0" fontId="0" fillId="0" borderId="0" xfId="0" applyAlignment="1">
      <alignment horizontal="center"/>
    </xf>
    <xf numFmtId="0" fontId="0" fillId="25" borderId="5" xfId="0" applyFill="1" applyBorder="1" applyAlignment="1">
      <alignment vertical="center" wrapText="1"/>
    </xf>
    <xf numFmtId="0" fontId="0" fillId="4" borderId="5" xfId="0" applyFont="1" applyFill="1" applyBorder="1" applyAlignment="1">
      <alignment vertical="center" wrapText="1"/>
    </xf>
    <xf numFmtId="0" fontId="0" fillId="25" borderId="5" xfId="0" applyFont="1" applyFill="1" applyBorder="1" applyAlignment="1">
      <alignment vertical="center" wrapText="1"/>
    </xf>
    <xf numFmtId="0" fontId="0" fillId="4" borderId="23" xfId="0" applyFont="1" applyFill="1" applyBorder="1" applyAlignment="1">
      <alignment vertical="center" wrapText="1"/>
    </xf>
    <xf numFmtId="0" fontId="0" fillId="4" borderId="16" xfId="0" applyFill="1" applyBorder="1"/>
    <xf numFmtId="0" fontId="4" fillId="25" borderId="5" xfId="0" applyFont="1" applyFill="1" applyBorder="1" applyAlignment="1">
      <alignment vertical="center" wrapText="1"/>
    </xf>
    <xf numFmtId="43" fontId="0" fillId="28" borderId="5" xfId="1" applyNumberFormat="1" applyFont="1" applyFill="1" applyBorder="1" applyAlignment="1">
      <alignment horizontal="center" vertical="center"/>
    </xf>
    <xf numFmtId="43" fontId="4" fillId="28" borderId="5" xfId="1" applyNumberFormat="1" applyFont="1" applyFill="1" applyBorder="1" applyAlignment="1">
      <alignment horizontal="center" vertical="center"/>
    </xf>
    <xf numFmtId="43" fontId="4" fillId="28" borderId="16" xfId="1" applyNumberFormat="1" applyFont="1" applyFill="1" applyBorder="1" applyAlignment="1">
      <alignment horizontal="center" vertical="center"/>
    </xf>
    <xf numFmtId="43" fontId="0" fillId="6" borderId="0" xfId="1" applyNumberFormat="1" applyFont="1" applyFill="1" applyBorder="1" applyAlignment="1">
      <alignment horizontal="center" vertical="center"/>
    </xf>
    <xf numFmtId="43" fontId="0" fillId="6" borderId="5" xfId="1" applyNumberFormat="1" applyFont="1" applyFill="1" applyBorder="1" applyAlignment="1">
      <alignment horizontal="center" vertical="center"/>
    </xf>
    <xf numFmtId="43" fontId="0" fillId="6" borderId="16" xfId="1" applyNumberFormat="1" applyFont="1" applyFill="1" applyBorder="1" applyAlignment="1">
      <alignment horizontal="center" vertical="center"/>
    </xf>
    <xf numFmtId="0" fontId="0" fillId="4" borderId="23" xfId="0" applyFill="1" applyBorder="1" applyAlignment="1">
      <alignment vertical="top" wrapText="1"/>
    </xf>
    <xf numFmtId="0" fontId="23" fillId="17" borderId="0" xfId="0" applyFont="1" applyFill="1" applyAlignment="1">
      <alignment vertical="top"/>
    </xf>
    <xf numFmtId="0" fontId="0" fillId="4" borderId="5" xfId="0" applyFill="1" applyBorder="1" applyAlignment="1">
      <alignment vertical="top"/>
    </xf>
    <xf numFmtId="0" fontId="4" fillId="4" borderId="5" xfId="0" applyFont="1" applyFill="1" applyBorder="1" applyAlignment="1">
      <alignment vertical="top"/>
    </xf>
    <xf numFmtId="0" fontId="0" fillId="4" borderId="5" xfId="0" applyFill="1" applyBorder="1" applyAlignment="1">
      <alignment vertical="top" wrapText="1"/>
    </xf>
    <xf numFmtId="0" fontId="0" fillId="0" borderId="0" xfId="0" applyFill="1" applyBorder="1" applyAlignment="1">
      <alignment vertical="top"/>
    </xf>
    <xf numFmtId="0" fontId="39" fillId="0" borderId="0" xfId="0" applyFont="1" applyAlignment="1">
      <alignment vertical="top"/>
    </xf>
    <xf numFmtId="0" fontId="0" fillId="4" borderId="32" xfId="0" applyFill="1" applyBorder="1" applyAlignment="1">
      <alignment vertical="top"/>
    </xf>
    <xf numFmtId="0" fontId="4" fillId="4" borderId="32" xfId="0" applyFont="1" applyFill="1" applyBorder="1" applyAlignment="1">
      <alignment vertical="top"/>
    </xf>
    <xf numFmtId="0" fontId="39" fillId="0" borderId="0" xfId="0" applyFont="1" applyAlignment="1">
      <alignment horizontal="center" vertical="top"/>
    </xf>
    <xf numFmtId="0" fontId="7" fillId="16" borderId="29" xfId="0" applyFont="1" applyFill="1" applyBorder="1" applyAlignment="1">
      <alignment horizontal="center" wrapText="1"/>
    </xf>
    <xf numFmtId="0" fontId="7" fillId="16" borderId="24" xfId="0" applyFont="1" applyFill="1" applyBorder="1" applyAlignment="1">
      <alignment horizontal="center" wrapText="1"/>
    </xf>
    <xf numFmtId="0" fontId="7" fillId="16" borderId="68" xfId="0" applyFont="1" applyFill="1" applyBorder="1" applyAlignment="1">
      <alignment horizontal="center" wrapText="1"/>
    </xf>
    <xf numFmtId="0" fontId="7" fillId="16" borderId="25" xfId="0" applyFont="1" applyFill="1" applyBorder="1" applyAlignment="1">
      <alignment horizontal="center" wrapText="1"/>
    </xf>
    <xf numFmtId="0" fontId="7" fillId="16" borderId="28" xfId="0" applyFont="1" applyFill="1" applyBorder="1" applyAlignment="1">
      <alignment horizontal="center" wrapText="1"/>
    </xf>
    <xf numFmtId="43" fontId="0" fillId="0" borderId="0" xfId="1" applyNumberFormat="1" applyFont="1" applyAlignment="1">
      <alignment horizontal="center"/>
    </xf>
    <xf numFmtId="43" fontId="3" fillId="0" borderId="0" xfId="1" applyNumberFormat="1" applyFont="1" applyAlignment="1">
      <alignment horizontal="center"/>
    </xf>
    <xf numFmtId="9" fontId="0" fillId="8" borderId="5" xfId="0" applyNumberFormat="1" applyFill="1" applyBorder="1" applyAlignment="1" applyProtection="1">
      <alignment horizontal="center" vertical="center"/>
      <protection locked="0"/>
    </xf>
    <xf numFmtId="0" fontId="3" fillId="0" borderId="0" xfId="0" applyFont="1" applyFill="1" applyProtection="1"/>
    <xf numFmtId="2" fontId="0" fillId="19" borderId="5" xfId="0" applyNumberFormat="1" applyFill="1" applyBorder="1"/>
    <xf numFmtId="0" fontId="74" fillId="0" borderId="0" xfId="0" applyFont="1" applyAlignment="1">
      <alignment horizontal="right" vertical="center"/>
    </xf>
    <xf numFmtId="164" fontId="0" fillId="14" borderId="5" xfId="1" applyNumberFormat="1" applyFont="1" applyFill="1" applyBorder="1"/>
    <xf numFmtId="0" fontId="7" fillId="0" borderId="70" xfId="0" applyFont="1" applyBorder="1"/>
    <xf numFmtId="3" fontId="0" fillId="4" borderId="45" xfId="0" applyNumberFormat="1" applyFill="1" applyBorder="1"/>
    <xf numFmtId="3" fontId="7" fillId="4" borderId="106" xfId="0" applyNumberFormat="1" applyFont="1" applyFill="1" applyBorder="1"/>
    <xf numFmtId="164" fontId="73" fillId="0" borderId="64" xfId="1" applyNumberFormat="1" applyFont="1" applyBorder="1"/>
    <xf numFmtId="0" fontId="7" fillId="0" borderId="63" xfId="0" applyFont="1" applyFill="1" applyBorder="1"/>
    <xf numFmtId="0" fontId="0" fillId="0" borderId="0" xfId="0" applyFont="1" applyBorder="1"/>
    <xf numFmtId="0" fontId="0" fillId="18" borderId="0" xfId="0" applyFont="1" applyFill="1"/>
    <xf numFmtId="0" fontId="0" fillId="18" borderId="0" xfId="0" applyFont="1" applyFill="1" applyBorder="1"/>
    <xf numFmtId="0" fontId="0" fillId="18" borderId="0" xfId="0" applyFont="1" applyFill="1" applyAlignment="1">
      <alignment wrapText="1"/>
    </xf>
    <xf numFmtId="0" fontId="0" fillId="7" borderId="0" xfId="0" applyFont="1" applyFill="1"/>
    <xf numFmtId="0" fontId="0" fillId="7" borderId="0" xfId="0" applyFont="1" applyFill="1" applyBorder="1"/>
    <xf numFmtId="0" fontId="0" fillId="7" borderId="0" xfId="0" applyFont="1" applyFill="1" applyAlignment="1">
      <alignment wrapText="1"/>
    </xf>
    <xf numFmtId="0" fontId="47" fillId="0" borderId="0" xfId="16" applyFont="1" applyBorder="1">
      <alignment vertical="top"/>
    </xf>
    <xf numFmtId="0" fontId="16" fillId="0" borderId="5" xfId="18" applyNumberFormat="1" applyFont="1" applyFill="1" applyBorder="1" applyAlignment="1" applyProtection="1">
      <alignment vertical="top" wrapText="1"/>
    </xf>
    <xf numFmtId="0" fontId="16" fillId="0" borderId="0" xfId="18" applyNumberFormat="1" applyFont="1" applyFill="1" applyBorder="1" applyAlignment="1" applyProtection="1">
      <alignment vertical="top" wrapText="1"/>
    </xf>
    <xf numFmtId="0" fontId="16" fillId="0" borderId="5" xfId="18" applyNumberFormat="1" applyFont="1" applyFill="1" applyBorder="1" applyAlignment="1" applyProtection="1">
      <alignment horizontal="left" vertical="top" wrapText="1"/>
    </xf>
    <xf numFmtId="0" fontId="92" fillId="0" borderId="5" xfId="19" applyNumberFormat="1" applyFont="1" applyFill="1" applyBorder="1" applyAlignment="1" applyProtection="1">
      <alignment vertical="top" wrapText="1"/>
    </xf>
    <xf numFmtId="0" fontId="92" fillId="0" borderId="0" xfId="19" applyNumberFormat="1" applyFont="1" applyFill="1" applyBorder="1" applyAlignment="1" applyProtection="1">
      <alignment vertical="top" wrapText="1"/>
    </xf>
    <xf numFmtId="0" fontId="92" fillId="0" borderId="5" xfId="19" applyFont="1" applyBorder="1">
      <alignment vertical="top" wrapText="1"/>
    </xf>
    <xf numFmtId="0" fontId="47" fillId="0" borderId="0" xfId="16" applyFont="1" applyBorder="1" applyAlignment="1">
      <alignment vertical="top" wrapText="1"/>
    </xf>
    <xf numFmtId="0" fontId="47" fillId="0" borderId="5" xfId="1" applyNumberFormat="1" applyFont="1" applyFill="1" applyBorder="1" applyAlignment="1" applyProtection="1">
      <alignment vertical="top"/>
    </xf>
    <xf numFmtId="0" fontId="47" fillId="0" borderId="5" xfId="17" applyNumberFormat="1" applyFont="1" applyFill="1" applyBorder="1" applyAlignment="1" applyProtection="1">
      <alignment vertical="top"/>
    </xf>
    <xf numFmtId="1" fontId="47" fillId="0" borderId="5" xfId="17" applyNumberFormat="1" applyFont="1" applyFill="1" applyBorder="1" applyAlignment="1" applyProtection="1">
      <alignment vertical="top"/>
    </xf>
    <xf numFmtId="2" fontId="47" fillId="0" borderId="5" xfId="16" applyNumberFormat="1" applyFont="1" applyBorder="1">
      <alignment vertical="top"/>
    </xf>
    <xf numFmtId="164" fontId="47" fillId="0" borderId="5" xfId="16" applyNumberFormat="1" applyFont="1" applyBorder="1">
      <alignment vertical="top"/>
    </xf>
    <xf numFmtId="0" fontId="47" fillId="0" borderId="5" xfId="16" applyFont="1" applyBorder="1">
      <alignment vertical="top"/>
    </xf>
    <xf numFmtId="0" fontId="46" fillId="9" borderId="55" xfId="16" applyFont="1" applyFill="1" applyBorder="1">
      <alignment vertical="top"/>
    </xf>
    <xf numFmtId="0" fontId="47" fillId="9" borderId="35" xfId="16" applyFont="1" applyFill="1" applyBorder="1">
      <alignment vertical="top"/>
    </xf>
    <xf numFmtId="0" fontId="47" fillId="0" borderId="18" xfId="16" applyFont="1" applyBorder="1">
      <alignment vertical="top"/>
    </xf>
    <xf numFmtId="0" fontId="47" fillId="0" borderId="32" xfId="16" applyFont="1" applyBorder="1">
      <alignment vertical="top"/>
    </xf>
    <xf numFmtId="0" fontId="47" fillId="0" borderId="29" xfId="16" applyFont="1" applyBorder="1">
      <alignment vertical="top"/>
    </xf>
    <xf numFmtId="175" fontId="47" fillId="0" borderId="5" xfId="1" applyNumberFormat="1" applyFont="1" applyFill="1" applyBorder="1" applyAlignment="1" applyProtection="1">
      <alignment vertical="top"/>
    </xf>
    <xf numFmtId="0" fontId="47" fillId="0" borderId="0" xfId="16" applyFont="1" applyBorder="1" applyAlignment="1">
      <alignment horizontal="left" vertical="top"/>
    </xf>
    <xf numFmtId="0" fontId="0" fillId="0" borderId="18" xfId="0" applyBorder="1"/>
    <xf numFmtId="0" fontId="0" fillId="0" borderId="32" xfId="0" applyFill="1" applyBorder="1" applyProtection="1"/>
    <xf numFmtId="0" fontId="0" fillId="0" borderId="29" xfId="0" applyFill="1" applyBorder="1" applyAlignment="1" applyProtection="1"/>
    <xf numFmtId="0" fontId="6" fillId="12" borderId="74" xfId="0" applyFont="1" applyFill="1" applyBorder="1" applyAlignment="1" applyProtection="1">
      <alignment wrapText="1"/>
    </xf>
    <xf numFmtId="0" fontId="6" fillId="12" borderId="54" xfId="0" applyFont="1" applyFill="1" applyBorder="1" applyAlignment="1" applyProtection="1">
      <alignment wrapText="1"/>
    </xf>
    <xf numFmtId="9" fontId="0" fillId="4" borderId="0" xfId="8" applyFont="1" applyFill="1" applyBorder="1" applyProtection="1"/>
    <xf numFmtId="0" fontId="6" fillId="12" borderId="35" xfId="0" applyFont="1" applyFill="1" applyBorder="1" applyAlignment="1" applyProtection="1">
      <alignment wrapText="1"/>
    </xf>
    <xf numFmtId="164" fontId="0" fillId="4" borderId="6" xfId="1" applyNumberFormat="1" applyFont="1" applyFill="1" applyBorder="1" applyProtection="1"/>
    <xf numFmtId="164" fontId="0" fillId="4" borderId="7" xfId="1" applyNumberFormat="1" applyFont="1" applyFill="1" applyBorder="1" applyProtection="1"/>
    <xf numFmtId="9" fontId="0" fillId="4" borderId="7" xfId="8" applyFont="1" applyFill="1" applyBorder="1" applyProtection="1"/>
    <xf numFmtId="164" fontId="0" fillId="4" borderId="1" xfId="8" applyNumberFormat="1" applyFont="1" applyFill="1" applyBorder="1" applyProtection="1"/>
    <xf numFmtId="164" fontId="0" fillId="4" borderId="107" xfId="1" applyNumberFormat="1" applyFont="1" applyFill="1" applyBorder="1" applyProtection="1"/>
    <xf numFmtId="0" fontId="58" fillId="0" borderId="0" xfId="0" applyFont="1" applyFill="1"/>
    <xf numFmtId="0" fontId="13" fillId="0" borderId="0" xfId="0" applyFont="1" applyFill="1" applyBorder="1" applyAlignment="1">
      <alignment horizontal="left" vertical="center" wrapText="1"/>
    </xf>
    <xf numFmtId="0" fontId="7" fillId="0" borderId="3" xfId="0" applyFont="1" applyFill="1" applyBorder="1"/>
    <xf numFmtId="0" fontId="7" fillId="0" borderId="1" xfId="0" applyFont="1" applyFill="1" applyBorder="1"/>
    <xf numFmtId="0" fontId="0" fillId="0" borderId="17" xfId="0" applyBorder="1"/>
    <xf numFmtId="0" fontId="0" fillId="0" borderId="7" xfId="0" applyBorder="1"/>
    <xf numFmtId="2" fontId="0" fillId="0" borderId="17" xfId="0" applyNumberFormat="1" applyBorder="1"/>
    <xf numFmtId="2" fontId="0" fillId="0" borderId="3" xfId="0" applyNumberFormat="1" applyBorder="1"/>
    <xf numFmtId="0" fontId="0" fillId="0" borderId="1" xfId="0" applyBorder="1"/>
    <xf numFmtId="166" fontId="0" fillId="0" borderId="17" xfId="0" applyNumberFormat="1" applyBorder="1"/>
    <xf numFmtId="166" fontId="0" fillId="0" borderId="3" xfId="0" applyNumberFormat="1" applyBorder="1"/>
    <xf numFmtId="43" fontId="0" fillId="0" borderId="17" xfId="0" applyNumberFormat="1" applyBorder="1"/>
    <xf numFmtId="1" fontId="0" fillId="0" borderId="7" xfId="0" applyNumberFormat="1" applyBorder="1"/>
    <xf numFmtId="9" fontId="67" fillId="4" borderId="5" xfId="0" applyNumberFormat="1" applyFont="1" applyFill="1" applyBorder="1" applyAlignment="1">
      <alignment horizontal="center" vertical="center"/>
    </xf>
    <xf numFmtId="43" fontId="0" fillId="0" borderId="0" xfId="0" applyNumberFormat="1" applyAlignment="1">
      <alignment vertical="center"/>
    </xf>
    <xf numFmtId="0" fontId="0" fillId="0" borderId="53" xfId="0" applyFill="1" applyBorder="1" applyAlignment="1">
      <alignment horizontal="center"/>
    </xf>
    <xf numFmtId="2" fontId="0" fillId="0" borderId="0" xfId="0" applyNumberFormat="1" applyFill="1" applyBorder="1" applyAlignment="1">
      <alignment horizontal="center"/>
    </xf>
    <xf numFmtId="2" fontId="0" fillId="0" borderId="0" xfId="0" applyNumberForma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107" xfId="0" applyFill="1" applyBorder="1" applyAlignment="1">
      <alignment horizontal="center"/>
    </xf>
    <xf numFmtId="0" fontId="0" fillId="0" borderId="36" xfId="0" applyBorder="1"/>
    <xf numFmtId="0" fontId="0" fillId="0" borderId="27" xfId="0" applyBorder="1"/>
    <xf numFmtId="0" fontId="0" fillId="0" borderId="47" xfId="0" applyFill="1" applyBorder="1" applyAlignment="1">
      <alignment horizontal="center"/>
    </xf>
    <xf numFmtId="0" fontId="0" fillId="0" borderId="14" xfId="0" applyFill="1" applyBorder="1" applyAlignment="1">
      <alignment horizontal="center"/>
    </xf>
    <xf numFmtId="0" fontId="0" fillId="0" borderId="14" xfId="0" applyBorder="1"/>
    <xf numFmtId="0" fontId="0" fillId="0" borderId="6" xfId="0" applyBorder="1"/>
    <xf numFmtId="2" fontId="0" fillId="0" borderId="17" xfId="0" applyNumberFormat="1" applyFill="1" applyBorder="1" applyAlignment="1">
      <alignment horizontal="center"/>
    </xf>
    <xf numFmtId="2" fontId="0" fillId="0" borderId="7" xfId="0" applyNumberFormat="1" applyBorder="1"/>
    <xf numFmtId="2" fontId="0" fillId="0" borderId="48" xfId="0" applyNumberFormat="1" applyFill="1" applyBorder="1" applyAlignment="1">
      <alignment horizontal="center"/>
    </xf>
    <xf numFmtId="2" fontId="0" fillId="0" borderId="8" xfId="0" applyNumberFormat="1" applyFill="1" applyBorder="1" applyAlignment="1">
      <alignment horizontal="center"/>
    </xf>
    <xf numFmtId="2" fontId="0" fillId="0" borderId="2" xfId="0" applyNumberFormat="1" applyFill="1" applyBorder="1" applyAlignment="1">
      <alignment horizontal="center"/>
    </xf>
    <xf numFmtId="0" fontId="6" fillId="3" borderId="0" xfId="0" applyFont="1" applyFill="1" applyAlignment="1">
      <alignment vertical="top"/>
    </xf>
    <xf numFmtId="0" fontId="23" fillId="3" borderId="0" xfId="0" applyFont="1" applyFill="1"/>
    <xf numFmtId="0" fontId="23" fillId="3" borderId="0" xfId="0" applyFont="1" applyFill="1" applyAlignment="1">
      <alignment vertical="top"/>
    </xf>
    <xf numFmtId="0" fontId="23" fillId="3" borderId="0" xfId="0" applyFont="1" applyFill="1" applyAlignment="1">
      <alignment vertical="center"/>
    </xf>
    <xf numFmtId="0" fontId="39" fillId="0" borderId="0" xfId="0" applyFont="1" applyAlignment="1">
      <alignment vertical="center"/>
    </xf>
    <xf numFmtId="0" fontId="65" fillId="3" borderId="69" xfId="0" applyFont="1" applyFill="1" applyBorder="1" applyAlignment="1">
      <alignment vertical="center" wrapText="1"/>
    </xf>
    <xf numFmtId="0" fontId="65" fillId="3" borderId="39" xfId="0" applyFont="1" applyFill="1" applyBorder="1" applyAlignment="1">
      <alignment vertical="center" wrapText="1"/>
    </xf>
    <xf numFmtId="0" fontId="65" fillId="0" borderId="0" xfId="0" applyFont="1" applyFill="1" applyBorder="1" applyAlignment="1">
      <alignment vertical="center" wrapText="1"/>
    </xf>
    <xf numFmtId="0" fontId="65" fillId="3" borderId="38" xfId="0" applyFont="1" applyFill="1" applyBorder="1" applyAlignment="1">
      <alignment vertical="center" wrapText="1"/>
    </xf>
    <xf numFmtId="0" fontId="94" fillId="3" borderId="0" xfId="0" applyFont="1" applyFill="1"/>
    <xf numFmtId="0" fontId="0" fillId="0" borderId="16" xfId="0" applyFill="1" applyBorder="1" applyAlignment="1" applyProtection="1">
      <alignment horizontal="left" vertical="top" wrapText="1"/>
    </xf>
    <xf numFmtId="0" fontId="0" fillId="4" borderId="18" xfId="0" applyFill="1" applyBorder="1" applyAlignment="1">
      <alignment vertical="top"/>
    </xf>
    <xf numFmtId="0" fontId="0" fillId="4" borderId="19" xfId="0" applyFill="1" applyBorder="1" applyAlignment="1">
      <alignment vertical="top"/>
    </xf>
    <xf numFmtId="0" fontId="0" fillId="4" borderId="19" xfId="0" applyFill="1" applyBorder="1" applyAlignment="1">
      <alignment vertical="center" wrapText="1"/>
    </xf>
    <xf numFmtId="0" fontId="0" fillId="4" borderId="20" xfId="0" applyFill="1" applyBorder="1"/>
    <xf numFmtId="0" fontId="0" fillId="4" borderId="29" xfId="0" applyFill="1" applyBorder="1" applyAlignment="1">
      <alignment vertical="top"/>
    </xf>
    <xf numFmtId="0" fontId="0" fillId="4" borderId="24" xfId="0" applyFill="1" applyBorder="1" applyAlignment="1">
      <alignment vertical="top"/>
    </xf>
    <xf numFmtId="0" fontId="0" fillId="4" borderId="24" xfId="0" applyFill="1" applyBorder="1" applyAlignment="1">
      <alignment vertical="center" wrapText="1"/>
    </xf>
    <xf numFmtId="0" fontId="0" fillId="4" borderId="51" xfId="0" applyFill="1" applyBorder="1" applyAlignment="1">
      <alignment vertical="center" wrapText="1"/>
    </xf>
    <xf numFmtId="0" fontId="0" fillId="4" borderId="28" xfId="0" applyFill="1" applyBorder="1"/>
    <xf numFmtId="0" fontId="0" fillId="4" borderId="18" xfId="0" applyFill="1" applyBorder="1" applyAlignment="1">
      <alignment vertical="center"/>
    </xf>
    <xf numFmtId="0" fontId="0" fillId="4" borderId="19" xfId="0" applyFill="1" applyBorder="1" applyAlignment="1">
      <alignment vertical="center"/>
    </xf>
    <xf numFmtId="0" fontId="0" fillId="4" borderId="19" xfId="0" applyFill="1" applyBorder="1" applyAlignment="1">
      <alignment horizontal="left" vertical="center" wrapText="1"/>
    </xf>
    <xf numFmtId="0" fontId="0" fillId="34" borderId="19" xfId="0" applyFill="1" applyBorder="1" applyAlignment="1">
      <alignment vertical="center" wrapText="1"/>
    </xf>
    <xf numFmtId="0" fontId="0" fillId="4" borderId="29" xfId="0" applyFill="1" applyBorder="1" applyAlignment="1">
      <alignment vertical="center"/>
    </xf>
    <xf numFmtId="0" fontId="0" fillId="4" borderId="24" xfId="0" applyFill="1" applyBorder="1" applyAlignment="1">
      <alignment vertical="center"/>
    </xf>
    <xf numFmtId="0" fontId="0" fillId="4" borderId="24" xfId="0" applyFill="1" applyBorder="1" applyAlignment="1">
      <alignment horizontal="left" vertical="center" wrapText="1"/>
    </xf>
    <xf numFmtId="0" fontId="0" fillId="34" borderId="24" xfId="0" applyFill="1" applyBorder="1" applyAlignment="1">
      <alignment vertical="center" wrapText="1"/>
    </xf>
    <xf numFmtId="0" fontId="0" fillId="5" borderId="5" xfId="0" applyFill="1" applyBorder="1" applyAlignment="1">
      <alignment vertical="center"/>
    </xf>
    <xf numFmtId="1" fontId="0" fillId="5" borderId="5" xfId="1" applyNumberFormat="1" applyFont="1" applyFill="1" applyBorder="1" applyAlignment="1">
      <alignment horizontal="center" vertical="center"/>
    </xf>
    <xf numFmtId="1" fontId="0" fillId="0" borderId="5" xfId="0" applyNumberFormat="1" applyBorder="1" applyAlignment="1">
      <alignment horizontal="center"/>
    </xf>
    <xf numFmtId="0" fontId="0" fillId="5" borderId="32" xfId="0" applyFill="1" applyBorder="1" applyAlignment="1">
      <alignment vertical="center"/>
    </xf>
    <xf numFmtId="1" fontId="0" fillId="0" borderId="23" xfId="1" applyNumberFormat="1" applyFont="1" applyBorder="1" applyAlignment="1">
      <alignment horizontal="center"/>
    </xf>
    <xf numFmtId="1" fontId="0" fillId="0" borderId="23" xfId="0" applyNumberFormat="1" applyBorder="1" applyAlignment="1">
      <alignment horizontal="center"/>
    </xf>
    <xf numFmtId="0" fontId="46" fillId="0" borderId="0" xfId="0" applyFont="1" applyAlignment="1">
      <alignment horizontal="right" vertical="center"/>
    </xf>
    <xf numFmtId="0" fontId="58" fillId="0" borderId="0" xfId="0" applyFont="1" applyAlignment="1">
      <alignment horizontal="center" vertical="center"/>
    </xf>
    <xf numFmtId="0" fontId="0" fillId="5" borderId="24" xfId="0" applyFill="1" applyBorder="1" applyAlignment="1">
      <alignment vertical="center"/>
    </xf>
    <xf numFmtId="1" fontId="0" fillId="5" borderId="24" xfId="1" applyNumberFormat="1" applyFont="1" applyFill="1" applyBorder="1" applyAlignment="1">
      <alignment horizontal="center" vertical="center"/>
    </xf>
    <xf numFmtId="164" fontId="2" fillId="4" borderId="27" xfId="1" applyNumberFormat="1" applyFont="1" applyFill="1" applyBorder="1"/>
    <xf numFmtId="0" fontId="0" fillId="25" borderId="0" xfId="0" applyFill="1" applyProtection="1"/>
    <xf numFmtId="0" fontId="0" fillId="0" borderId="7" xfId="0" applyBorder="1" applyProtection="1"/>
    <xf numFmtId="164" fontId="0" fillId="4" borderId="0" xfId="1" applyNumberFormat="1" applyFont="1" applyFill="1" applyAlignment="1">
      <alignment vertical="center"/>
    </xf>
    <xf numFmtId="164" fontId="13" fillId="4" borderId="0" xfId="1" applyNumberFormat="1" applyFont="1" applyFill="1" applyAlignment="1">
      <alignment vertical="center"/>
    </xf>
    <xf numFmtId="0" fontId="13" fillId="0" borderId="0" xfId="0" applyFont="1" applyFill="1" applyAlignment="1">
      <alignment vertical="center"/>
    </xf>
    <xf numFmtId="164" fontId="2" fillId="0" borderId="0" xfId="1" applyNumberFormat="1" applyFont="1" applyFill="1"/>
    <xf numFmtId="0" fontId="7" fillId="0" borderId="2" xfId="0" applyFont="1" applyFill="1" applyBorder="1"/>
    <xf numFmtId="43" fontId="0" fillId="0" borderId="8" xfId="0" applyNumberFormat="1" applyBorder="1"/>
    <xf numFmtId="43" fontId="0" fillId="0" borderId="2" xfId="0" applyNumberFormat="1" applyBorder="1"/>
    <xf numFmtId="0" fontId="0" fillId="0" borderId="0" xfId="0" applyBorder="1" applyAlignment="1" applyProtection="1">
      <alignment vertical="center"/>
    </xf>
    <xf numFmtId="0" fontId="0" fillId="0" borderId="9" xfId="0" applyBorder="1" applyAlignment="1" applyProtection="1">
      <alignment vertical="center"/>
    </xf>
    <xf numFmtId="0" fontId="0" fillId="0" borderId="9" xfId="0" applyBorder="1" applyProtection="1"/>
    <xf numFmtId="164" fontId="0" fillId="4" borderId="51" xfId="1" applyNumberFormat="1" applyFont="1" applyFill="1" applyBorder="1" applyAlignment="1" applyProtection="1">
      <alignment horizontal="center"/>
    </xf>
    <xf numFmtId="0" fontId="0" fillId="0" borderId="56" xfId="0" applyBorder="1" applyProtection="1"/>
    <xf numFmtId="1" fontId="0" fillId="5" borderId="23" xfId="1" applyNumberFormat="1" applyFont="1" applyFill="1" applyBorder="1" applyAlignment="1">
      <alignment horizontal="center" vertical="center"/>
    </xf>
    <xf numFmtId="0" fontId="6" fillId="33" borderId="23" xfId="0" applyFont="1" applyFill="1" applyBorder="1" applyAlignment="1">
      <alignment horizontal="center" wrapText="1"/>
    </xf>
    <xf numFmtId="37" fontId="52" fillId="0" borderId="0" xfId="1" applyNumberFormat="1" applyFont="1" applyFill="1" applyAlignment="1" applyProtection="1">
      <alignment horizontal="center"/>
    </xf>
    <xf numFmtId="0" fontId="81" fillId="0" borderId="0" xfId="0" applyFont="1" applyFill="1" applyAlignment="1" applyProtection="1"/>
    <xf numFmtId="0" fontId="0" fillId="0" borderId="46" xfId="0" applyBorder="1" applyAlignment="1">
      <alignment vertical="top"/>
    </xf>
    <xf numFmtId="0" fontId="6" fillId="19" borderId="0" xfId="0" applyFont="1" applyFill="1" applyBorder="1" applyAlignment="1">
      <alignment vertical="top" wrapText="1"/>
    </xf>
    <xf numFmtId="1" fontId="0" fillId="8" borderId="18" xfId="8" applyNumberFormat="1" applyFont="1" applyFill="1" applyBorder="1" applyAlignment="1">
      <alignment vertical="top"/>
    </xf>
    <xf numFmtId="0" fontId="0" fillId="8" borderId="20" xfId="0" applyFill="1" applyBorder="1" applyAlignment="1">
      <alignment vertical="top"/>
    </xf>
    <xf numFmtId="1" fontId="0" fillId="0" borderId="10" xfId="8" applyNumberFormat="1" applyFont="1" applyBorder="1"/>
    <xf numFmtId="166" fontId="0" fillId="36" borderId="18" xfId="0" applyNumberFormat="1" applyFill="1" applyBorder="1" applyAlignment="1">
      <alignment vertical="top" wrapText="1"/>
    </xf>
    <xf numFmtId="10" fontId="0" fillId="36" borderId="19" xfId="8" applyNumberFormat="1" applyFont="1" applyFill="1" applyBorder="1" applyAlignment="1">
      <alignment vertical="top" wrapText="1"/>
    </xf>
    <xf numFmtId="173" fontId="0" fillId="36" borderId="19" xfId="8" applyNumberFormat="1" applyFont="1" applyFill="1" applyBorder="1" applyAlignment="1">
      <alignment vertical="top" wrapText="1"/>
    </xf>
    <xf numFmtId="173" fontId="0" fillId="0" borderId="0" xfId="8" applyNumberFormat="1" applyFont="1" applyBorder="1"/>
    <xf numFmtId="3" fontId="0" fillId="31" borderId="18" xfId="0" applyNumberFormat="1" applyFill="1" applyBorder="1" applyAlignment="1">
      <alignment vertical="top" wrapText="1"/>
    </xf>
    <xf numFmtId="3" fontId="0" fillId="31" borderId="19" xfId="0" applyNumberFormat="1" applyFill="1" applyBorder="1" applyAlignment="1">
      <alignment vertical="top" wrapText="1"/>
    </xf>
    <xf numFmtId="3" fontId="0" fillId="31" borderId="20" xfId="0" applyNumberFormat="1" applyFill="1" applyBorder="1" applyAlignment="1">
      <alignment vertical="top" wrapText="1"/>
    </xf>
    <xf numFmtId="3" fontId="0" fillId="35" borderId="18" xfId="0" applyNumberFormat="1" applyFill="1" applyBorder="1" applyAlignment="1">
      <alignment vertical="top"/>
    </xf>
    <xf numFmtId="0" fontId="0" fillId="8" borderId="18" xfId="0" applyFill="1" applyBorder="1" applyAlignment="1">
      <alignment vertical="top"/>
    </xf>
    <xf numFmtId="3" fontId="0" fillId="8" borderId="20" xfId="0" applyNumberFormat="1" applyFill="1" applyBorder="1" applyAlignment="1">
      <alignment vertical="top" wrapText="1"/>
    </xf>
    <xf numFmtId="166" fontId="0" fillId="0" borderId="10" xfId="0" applyNumberFormat="1" applyBorder="1"/>
    <xf numFmtId="10" fontId="0" fillId="0" borderId="0" xfId="8" applyNumberFormat="1" applyFont="1" applyBorder="1"/>
    <xf numFmtId="2" fontId="0" fillId="36" borderId="20" xfId="0" applyNumberFormat="1" applyFill="1" applyBorder="1" applyAlignment="1">
      <alignment vertical="top" wrapText="1"/>
    </xf>
    <xf numFmtId="2" fontId="0" fillId="0" borderId="9" xfId="0" applyNumberFormat="1" applyBorder="1"/>
    <xf numFmtId="3" fontId="4" fillId="35" borderId="20" xfId="22" applyNumberFormat="1" applyFont="1" applyFill="1" applyBorder="1" applyAlignment="1">
      <alignment vertical="top"/>
    </xf>
    <xf numFmtId="3" fontId="0" fillId="0" borderId="0" xfId="0" applyNumberFormat="1" applyBorder="1"/>
    <xf numFmtId="3" fontId="0" fillId="0" borderId="9" xfId="0" applyNumberFormat="1" applyBorder="1"/>
    <xf numFmtId="0" fontId="3" fillId="0" borderId="0" xfId="0" applyFont="1" applyAlignment="1">
      <alignment horizontal="left" vertical="center"/>
    </xf>
    <xf numFmtId="0" fontId="0" fillId="0" borderId="0" xfId="0" applyFill="1" applyAlignment="1">
      <alignment wrapText="1"/>
    </xf>
    <xf numFmtId="9" fontId="0" fillId="8" borderId="5" xfId="8" applyFont="1" applyFill="1" applyBorder="1" applyAlignment="1" applyProtection="1">
      <alignment horizontal="center" vertical="center" wrapText="1"/>
      <protection locked="0"/>
    </xf>
    <xf numFmtId="9" fontId="0" fillId="4" borderId="5" xfId="8" applyFont="1" applyFill="1" applyBorder="1" applyAlignment="1" applyProtection="1">
      <alignment horizontal="center" vertical="center" wrapText="1"/>
    </xf>
    <xf numFmtId="9" fontId="67" fillId="4" borderId="5" xfId="8" applyFont="1" applyFill="1" applyBorder="1" applyAlignment="1" applyProtection="1">
      <alignment horizontal="center" vertical="center" wrapText="1"/>
    </xf>
    <xf numFmtId="0" fontId="22" fillId="0" borderId="0" xfId="0" applyFont="1" applyAlignment="1">
      <alignment horizontal="right"/>
    </xf>
    <xf numFmtId="1" fontId="0" fillId="0" borderId="0" xfId="0" applyNumberFormat="1" applyAlignment="1">
      <alignment horizontal="left" vertical="top" indent="4"/>
    </xf>
    <xf numFmtId="0" fontId="7" fillId="0" borderId="0" xfId="0" applyFont="1" applyAlignment="1">
      <alignment vertical="top"/>
    </xf>
    <xf numFmtId="0" fontId="66" fillId="0" borderId="0" xfId="0" applyFont="1" applyAlignment="1">
      <alignment wrapText="1"/>
    </xf>
    <xf numFmtId="0" fontId="23" fillId="3" borderId="0" xfId="0" applyFont="1" applyFill="1" applyProtection="1"/>
    <xf numFmtId="0" fontId="14" fillId="21" borderId="0" xfId="0" applyFont="1" applyFill="1" applyProtection="1"/>
    <xf numFmtId="37" fontId="14" fillId="0" borderId="0" xfId="1" applyNumberFormat="1" applyFont="1" applyAlignment="1" applyProtection="1">
      <alignment horizontal="center" vertical="center" wrapText="1"/>
      <protection locked="0"/>
    </xf>
    <xf numFmtId="0" fontId="14" fillId="7" borderId="0" xfId="0" applyFont="1" applyFill="1" applyProtection="1"/>
    <xf numFmtId="164" fontId="14" fillId="4" borderId="6" xfId="1" applyNumberFormat="1" applyFont="1" applyFill="1" applyBorder="1" applyProtection="1"/>
    <xf numFmtId="37" fontId="14" fillId="0" borderId="0" xfId="1" applyNumberFormat="1" applyFont="1" applyAlignment="1" applyProtection="1">
      <alignment horizontal="center" vertical="center" wrapText="1"/>
    </xf>
    <xf numFmtId="177" fontId="14" fillId="0" borderId="0" xfId="1" applyNumberFormat="1" applyFont="1" applyAlignment="1" applyProtection="1">
      <alignment horizontal="center" vertical="center" wrapText="1"/>
    </xf>
    <xf numFmtId="171" fontId="14" fillId="0" borderId="0" xfId="8" applyNumberFormat="1" applyFont="1" applyAlignment="1" applyProtection="1">
      <alignment horizontal="center" vertical="center" wrapText="1"/>
    </xf>
    <xf numFmtId="166" fontId="0" fillId="0" borderId="0" xfId="0" applyNumberFormat="1" applyAlignment="1">
      <alignment horizontal="center"/>
    </xf>
    <xf numFmtId="3" fontId="96" fillId="0" borderId="0" xfId="0" applyNumberFormat="1" applyFont="1" applyFill="1" applyAlignment="1">
      <alignment horizontal="center" wrapText="1"/>
    </xf>
    <xf numFmtId="0" fontId="97" fillId="0" borderId="0" xfId="0" applyFont="1" applyAlignment="1">
      <alignment horizontal="center"/>
    </xf>
    <xf numFmtId="3" fontId="96" fillId="0" borderId="0" xfId="0" applyNumberFormat="1" applyFont="1" applyFill="1" applyAlignment="1">
      <alignment horizontal="center" vertical="center" wrapText="1"/>
    </xf>
    <xf numFmtId="0" fontId="0" fillId="0" borderId="5" xfId="0" applyBorder="1" applyAlignment="1">
      <alignment vertical="center" wrapText="1"/>
    </xf>
    <xf numFmtId="0" fontId="48" fillId="0" borderId="0" xfId="15" applyAlignment="1" applyProtection="1">
      <alignment horizontal="center"/>
    </xf>
    <xf numFmtId="0" fontId="48" fillId="0" borderId="0" xfId="15" applyAlignment="1" applyProtection="1">
      <alignment horizontal="left"/>
    </xf>
    <xf numFmtId="9" fontId="0" fillId="8" borderId="5" xfId="8" applyFont="1" applyFill="1" applyBorder="1" applyAlignment="1" applyProtection="1">
      <alignment horizontal="center" vertical="center"/>
      <protection locked="0"/>
    </xf>
    <xf numFmtId="169" fontId="0" fillId="8" borderId="5" xfId="1" applyNumberFormat="1" applyFont="1" applyFill="1" applyBorder="1" applyAlignment="1" applyProtection="1">
      <alignment horizontal="center" vertical="center"/>
      <protection locked="0"/>
    </xf>
    <xf numFmtId="0" fontId="48" fillId="0" borderId="64" xfId="15" applyBorder="1" applyAlignment="1">
      <alignment horizontal="center"/>
    </xf>
    <xf numFmtId="0" fontId="98" fillId="18" borderId="0" xfId="15" applyFont="1" applyFill="1" applyAlignment="1">
      <alignment horizontal="center"/>
    </xf>
    <xf numFmtId="0" fontId="48" fillId="7" borderId="0" xfId="15" applyFill="1" applyAlignment="1" applyProtection="1">
      <alignment horizontal="center"/>
    </xf>
    <xf numFmtId="37" fontId="67" fillId="4" borderId="5" xfId="1" applyNumberFormat="1" applyFont="1" applyFill="1" applyBorder="1" applyAlignment="1">
      <alignment horizontal="center"/>
    </xf>
    <xf numFmtId="164" fontId="7" fillId="18" borderId="0" xfId="1" applyNumberFormat="1" applyFont="1" applyFill="1" applyAlignment="1"/>
    <xf numFmtId="0" fontId="91" fillId="0" borderId="0" xfId="0" applyFont="1" applyAlignment="1">
      <alignment horizontal="left"/>
    </xf>
    <xf numFmtId="0" fontId="0" fillId="0" borderId="0" xfId="0" applyAlignment="1">
      <alignment horizontal="left" wrapText="1"/>
    </xf>
    <xf numFmtId="0" fontId="7" fillId="0" borderId="0" xfId="0" applyFont="1" applyAlignment="1">
      <alignment horizontal="left"/>
    </xf>
    <xf numFmtId="0" fontId="14" fillId="0" borderId="0" xfId="0" applyFont="1" applyFill="1"/>
    <xf numFmtId="0" fontId="100" fillId="0" borderId="0" xfId="0" applyFont="1"/>
    <xf numFmtId="0" fontId="100" fillId="0" borderId="0" xfId="0" applyFont="1" applyFill="1" applyBorder="1"/>
    <xf numFmtId="0" fontId="100" fillId="22" borderId="0" xfId="0" applyFont="1" applyFill="1"/>
    <xf numFmtId="37" fontId="101" fillId="0" borderId="0" xfId="1" applyNumberFormat="1" applyFont="1" applyFill="1" applyBorder="1" applyAlignment="1" applyProtection="1">
      <alignment horizontal="center" vertical="center" wrapText="1"/>
    </xf>
    <xf numFmtId="0" fontId="14" fillId="22" borderId="0" xfId="0" applyFont="1" applyFill="1"/>
    <xf numFmtId="9" fontId="0" fillId="4" borderId="5" xfId="0" applyNumberFormat="1" applyFill="1" applyBorder="1" applyAlignment="1">
      <alignment horizontal="center" vertical="center"/>
    </xf>
    <xf numFmtId="0" fontId="4" fillId="0" borderId="0" xfId="15" quotePrefix="1" applyFont="1" applyAlignment="1">
      <alignment horizontal="left" vertical="top" wrapText="1" indent="3"/>
    </xf>
    <xf numFmtId="0" fontId="0" fillId="0" borderId="0" xfId="0" applyAlignment="1">
      <alignment horizontal="left" vertical="center" wrapText="1" indent="1"/>
    </xf>
    <xf numFmtId="0" fontId="7" fillId="0" borderId="0" xfId="0" applyFont="1" applyAlignment="1">
      <alignment horizontal="left" vertical="center" wrapText="1" indent="4"/>
    </xf>
    <xf numFmtId="0" fontId="7" fillId="0" borderId="46" xfId="0" applyFont="1" applyBorder="1"/>
    <xf numFmtId="0" fontId="14" fillId="0" borderId="46" xfId="0" applyFont="1" applyBorder="1"/>
    <xf numFmtId="0" fontId="22" fillId="0" borderId="15" xfId="0" applyFont="1" applyBorder="1"/>
    <xf numFmtId="0" fontId="7" fillId="0" borderId="32" xfId="0" applyFont="1" applyFill="1" applyBorder="1" applyAlignment="1">
      <alignment vertical="center" wrapText="1"/>
    </xf>
    <xf numFmtId="0" fontId="7" fillId="0" borderId="29" xfId="0" applyFont="1" applyFill="1" applyBorder="1" applyAlignment="1" applyProtection="1">
      <alignment vertical="center" wrapText="1"/>
    </xf>
    <xf numFmtId="9" fontId="0" fillId="6" borderId="5" xfId="0" applyNumberFormat="1" applyFill="1" applyBorder="1" applyAlignment="1" applyProtection="1">
      <alignment horizontal="center" vertical="center"/>
      <protection locked="0"/>
    </xf>
    <xf numFmtId="0" fontId="0" fillId="6" borderId="5" xfId="0" applyFill="1" applyBorder="1" applyAlignment="1" applyProtection="1">
      <alignment horizontal="center" vertical="center"/>
      <protection locked="0"/>
    </xf>
    <xf numFmtId="0" fontId="0" fillId="0" borderId="0" xfId="0"/>
    <xf numFmtId="0" fontId="79" fillId="25" borderId="54" xfId="0" applyFont="1" applyFill="1" applyBorder="1" applyAlignment="1">
      <alignment horizontal="center" vertical="center" wrapText="1"/>
    </xf>
    <xf numFmtId="0" fontId="79" fillId="25" borderId="35" xfId="0" applyFont="1" applyFill="1" applyBorder="1" applyAlignment="1">
      <alignment horizontal="center" vertical="center" wrapText="1"/>
    </xf>
    <xf numFmtId="0" fontId="79" fillId="25" borderId="55" xfId="0" applyFont="1" applyFill="1" applyBorder="1" applyAlignment="1">
      <alignment horizontal="center" vertical="center" wrapText="1"/>
    </xf>
    <xf numFmtId="0" fontId="0" fillId="5" borderId="18" xfId="0" applyFill="1" applyBorder="1" applyAlignment="1">
      <alignment vertical="center"/>
    </xf>
    <xf numFmtId="0" fontId="0" fillId="5" borderId="19" xfId="0" applyFill="1" applyBorder="1" applyAlignment="1">
      <alignment vertical="center"/>
    </xf>
    <xf numFmtId="1" fontId="0" fillId="5" borderId="19" xfId="1" applyNumberFormat="1" applyFont="1" applyFill="1" applyBorder="1" applyAlignment="1">
      <alignment horizontal="center" vertical="center"/>
    </xf>
    <xf numFmtId="1" fontId="0" fillId="0" borderId="20" xfId="1" applyNumberFormat="1" applyFont="1" applyBorder="1" applyAlignment="1">
      <alignment horizontal="center"/>
    </xf>
    <xf numFmtId="1" fontId="0" fillId="5" borderId="28" xfId="1" applyNumberFormat="1" applyFont="1" applyFill="1" applyBorder="1" applyAlignment="1">
      <alignment horizontal="center" vertical="center"/>
    </xf>
    <xf numFmtId="0" fontId="80" fillId="0" borderId="0" xfId="0" applyFont="1"/>
    <xf numFmtId="0" fontId="22" fillId="0" borderId="0" xfId="0" applyFont="1" applyFill="1"/>
    <xf numFmtId="0" fontId="48" fillId="0" borderId="0" xfId="15" applyAlignment="1">
      <alignment horizontal="left"/>
    </xf>
    <xf numFmtId="0" fontId="0" fillId="4" borderId="18" xfId="0" applyFill="1" applyBorder="1" applyAlignment="1">
      <alignment vertical="top" wrapText="1"/>
    </xf>
    <xf numFmtId="0" fontId="0" fillId="4" borderId="32" xfId="0" applyFill="1" applyBorder="1" applyAlignment="1">
      <alignment vertical="top" wrapText="1"/>
    </xf>
    <xf numFmtId="0" fontId="0" fillId="4" borderId="29" xfId="0" applyFill="1" applyBorder="1" applyAlignment="1">
      <alignment vertical="top" wrapText="1"/>
    </xf>
    <xf numFmtId="0" fontId="0" fillId="4" borderId="24" xfId="0" applyFill="1" applyBorder="1" applyAlignment="1">
      <alignment vertical="top" wrapText="1"/>
    </xf>
    <xf numFmtId="0" fontId="0" fillId="4" borderId="5" xfId="0" applyFill="1" applyBorder="1" applyAlignment="1" applyProtection="1">
      <alignment vertical="center"/>
      <protection locked="0"/>
    </xf>
    <xf numFmtId="0" fontId="0" fillId="0" borderId="32" xfId="0" applyFill="1" applyBorder="1" applyAlignment="1">
      <alignment vertical="center"/>
    </xf>
    <xf numFmtId="0" fontId="7" fillId="0" borderId="32" xfId="0" applyFont="1" applyFill="1" applyBorder="1" applyAlignment="1" applyProtection="1">
      <alignment horizontal="left" vertical="center" wrapText="1"/>
    </xf>
    <xf numFmtId="0" fontId="22" fillId="0" borderId="10" xfId="0" applyFont="1" applyBorder="1"/>
    <xf numFmtId="9" fontId="67" fillId="4" borderId="5" xfId="8" applyNumberFormat="1" applyFont="1" applyFill="1" applyBorder="1" applyAlignment="1">
      <alignment horizontal="center" vertical="center"/>
    </xf>
    <xf numFmtId="0" fontId="0" fillId="0" borderId="10" xfId="0" applyFont="1" applyFill="1" applyBorder="1" applyAlignment="1">
      <alignment vertical="center" wrapText="1"/>
    </xf>
    <xf numFmtId="1" fontId="67" fillId="4" borderId="5" xfId="1" applyNumberFormat="1" applyFont="1" applyFill="1" applyBorder="1" applyAlignment="1">
      <alignment horizontal="center" vertical="center"/>
    </xf>
    <xf numFmtId="0" fontId="0" fillId="0" borderId="29" xfId="0" applyFont="1" applyFill="1" applyBorder="1" applyAlignment="1">
      <alignment vertical="center"/>
    </xf>
    <xf numFmtId="0" fontId="7" fillId="0" borderId="9" xfId="0" applyFont="1" applyBorder="1" applyAlignment="1">
      <alignment horizontal="center"/>
    </xf>
    <xf numFmtId="0" fontId="0" fillId="0" borderId="0" xfId="0" applyAlignment="1" applyProtection="1"/>
    <xf numFmtId="0" fontId="0" fillId="0" borderId="0" xfId="0" applyAlignment="1">
      <alignment horizontal="left"/>
    </xf>
    <xf numFmtId="0" fontId="67" fillId="4" borderId="5" xfId="0" applyFont="1" applyFill="1" applyBorder="1" applyAlignment="1">
      <alignment horizontal="center" vertical="center"/>
    </xf>
    <xf numFmtId="0" fontId="22" fillId="0" borderId="15" xfId="0" applyFont="1" applyFill="1" applyBorder="1"/>
    <xf numFmtId="176" fontId="67" fillId="4" borderId="5" xfId="0" applyNumberFormat="1" applyFont="1" applyFill="1" applyBorder="1" applyAlignment="1">
      <alignment horizontal="center" vertical="center"/>
    </xf>
    <xf numFmtId="0" fontId="0" fillId="0" borderId="16" xfId="0" applyFont="1" applyBorder="1" applyAlignment="1">
      <alignment vertical="center"/>
    </xf>
    <xf numFmtId="0" fontId="103" fillId="0" borderId="5" xfId="0" applyFont="1" applyFill="1" applyBorder="1" applyAlignment="1">
      <alignment horizontal="center"/>
    </xf>
    <xf numFmtId="0" fontId="103" fillId="0" borderId="5" xfId="0" applyFont="1" applyBorder="1"/>
    <xf numFmtId="2" fontId="103" fillId="0" borderId="5" xfId="0" applyNumberFormat="1" applyFont="1" applyFill="1" applyBorder="1" applyAlignment="1">
      <alignment horizontal="center"/>
    </xf>
    <xf numFmtId="0" fontId="103" fillId="0" borderId="0" xfId="0" applyFont="1"/>
    <xf numFmtId="0" fontId="103" fillId="0" borderId="29" xfId="0" applyFont="1" applyBorder="1"/>
    <xf numFmtId="0" fontId="103" fillId="0" borderId="24" xfId="0" applyFont="1" applyBorder="1"/>
    <xf numFmtId="43" fontId="103" fillId="0" borderId="32" xfId="1" applyFont="1" applyFill="1" applyBorder="1" applyAlignment="1">
      <alignment horizontal="center"/>
    </xf>
    <xf numFmtId="43" fontId="103" fillId="0" borderId="5" xfId="1" applyFont="1" applyFill="1" applyBorder="1" applyAlignment="1">
      <alignment horizontal="center"/>
    </xf>
    <xf numFmtId="43" fontId="103" fillId="0" borderId="5" xfId="1" applyFont="1" applyBorder="1"/>
    <xf numFmtId="43" fontId="103" fillId="0" borderId="0" xfId="1" applyFont="1"/>
    <xf numFmtId="43" fontId="103" fillId="0" borderId="32" xfId="1" applyFont="1" applyFill="1" applyBorder="1"/>
    <xf numFmtId="43" fontId="103" fillId="0" borderId="29" xfId="1" applyFont="1" applyBorder="1"/>
    <xf numFmtId="43" fontId="103" fillId="0" borderId="24" xfId="1" applyFont="1" applyBorder="1"/>
    <xf numFmtId="43" fontId="103" fillId="0" borderId="2" xfId="1" applyFont="1" applyBorder="1"/>
    <xf numFmtId="0" fontId="6" fillId="3" borderId="24" xfId="0" applyFont="1" applyFill="1" applyBorder="1" applyAlignment="1">
      <alignment horizontal="center" wrapText="1"/>
    </xf>
    <xf numFmtId="0" fontId="103" fillId="0" borderId="60" xfId="0" applyFont="1" applyBorder="1"/>
    <xf numFmtId="0" fontId="103" fillId="0" borderId="2" xfId="0" applyFont="1" applyBorder="1"/>
    <xf numFmtId="0" fontId="103" fillId="0" borderId="32" xfId="0" applyFont="1" applyBorder="1"/>
    <xf numFmtId="0" fontId="48" fillId="31" borderId="20" xfId="15" applyFill="1" applyBorder="1" applyAlignment="1">
      <alignment vertical="center"/>
    </xf>
    <xf numFmtId="0" fontId="48" fillId="31" borderId="28" xfId="15" applyFill="1" applyBorder="1" applyAlignment="1">
      <alignment vertical="center"/>
    </xf>
    <xf numFmtId="0" fontId="6" fillId="15" borderId="38" xfId="0" applyFont="1" applyFill="1" applyBorder="1" applyAlignment="1">
      <alignment vertical="center" wrapText="1"/>
    </xf>
    <xf numFmtId="0" fontId="6" fillId="15" borderId="69" xfId="0" applyFont="1" applyFill="1" applyBorder="1" applyAlignment="1">
      <alignment vertical="center" wrapText="1"/>
    </xf>
    <xf numFmtId="0" fontId="6" fillId="15" borderId="39" xfId="0" applyFont="1" applyFill="1" applyBorder="1" applyAlignment="1">
      <alignment vertical="center" wrapText="1"/>
    </xf>
    <xf numFmtId="0" fontId="6" fillId="15" borderId="63" xfId="0" applyFont="1" applyFill="1" applyBorder="1" applyAlignment="1">
      <alignment horizontal="center" wrapText="1"/>
    </xf>
    <xf numFmtId="0" fontId="6" fillId="34" borderId="5" xfId="0" applyFont="1" applyFill="1" applyBorder="1" applyAlignment="1">
      <alignment horizontal="center" wrapText="1"/>
    </xf>
    <xf numFmtId="0" fontId="7" fillId="38" borderId="32" xfId="0" applyFont="1" applyFill="1" applyBorder="1" applyAlignment="1">
      <alignment horizontal="center" wrapText="1"/>
    </xf>
    <xf numFmtId="0" fontId="7" fillId="38" borderId="5" xfId="0" applyFont="1" applyFill="1" applyBorder="1" applyAlignment="1">
      <alignment horizontal="center" wrapText="1"/>
    </xf>
    <xf numFmtId="164" fontId="0" fillId="29" borderId="108" xfId="1" applyNumberFormat="1" applyFont="1" applyFill="1" applyBorder="1" applyAlignment="1">
      <alignment horizontal="center" vertical="center"/>
    </xf>
    <xf numFmtId="2" fontId="0" fillId="0" borderId="51" xfId="0" applyNumberFormat="1" applyFill="1" applyBorder="1" applyAlignment="1">
      <alignment horizontal="center"/>
    </xf>
    <xf numFmtId="0" fontId="0" fillId="0" borderId="46" xfId="0" applyBorder="1"/>
    <xf numFmtId="0" fontId="0" fillId="0" borderId="107" xfId="0" applyBorder="1"/>
    <xf numFmtId="0" fontId="6" fillId="33" borderId="32" xfId="0" applyFont="1" applyFill="1" applyBorder="1" applyAlignment="1">
      <alignment horizontal="center" wrapText="1"/>
    </xf>
    <xf numFmtId="164" fontId="0" fillId="29" borderId="32" xfId="1" applyNumberFormat="1" applyFont="1" applyFill="1" applyBorder="1" applyAlignment="1">
      <alignment horizontal="center" vertical="center"/>
    </xf>
    <xf numFmtId="170" fontId="0" fillId="14" borderId="23" xfId="21" applyNumberFormat="1" applyFont="1" applyFill="1" applyBorder="1"/>
    <xf numFmtId="164" fontId="0" fillId="29" borderId="29" xfId="1" applyNumberFormat="1" applyFont="1" applyFill="1" applyBorder="1" applyAlignment="1">
      <alignment horizontal="center" vertical="center"/>
    </xf>
    <xf numFmtId="170" fontId="0" fillId="14" borderId="28" xfId="21" applyNumberFormat="1" applyFont="1" applyFill="1" applyBorder="1"/>
    <xf numFmtId="164" fontId="0" fillId="29" borderId="18" xfId="1" applyNumberFormat="1" applyFont="1" applyFill="1" applyBorder="1" applyAlignment="1">
      <alignment horizontal="center" vertical="center"/>
    </xf>
    <xf numFmtId="170" fontId="0" fillId="14" borderId="20" xfId="21" applyNumberFormat="1" applyFont="1" applyFill="1" applyBorder="1"/>
    <xf numFmtId="170" fontId="0" fillId="14" borderId="20" xfId="21" applyNumberFormat="1" applyFont="1" applyFill="1" applyBorder="1" applyAlignment="1">
      <alignment vertical="center"/>
    </xf>
    <xf numFmtId="170" fontId="0" fillId="14" borderId="28" xfId="21" applyNumberFormat="1" applyFont="1" applyFill="1" applyBorder="1" applyAlignment="1">
      <alignment vertical="center"/>
    </xf>
    <xf numFmtId="170" fontId="0" fillId="14" borderId="23" xfId="21" applyNumberFormat="1" applyFont="1" applyFill="1" applyBorder="1" applyAlignment="1">
      <alignment vertical="center"/>
    </xf>
    <xf numFmtId="164" fontId="0" fillId="29" borderId="20" xfId="1" applyNumberFormat="1" applyFont="1" applyFill="1" applyBorder="1" applyAlignment="1">
      <alignment horizontal="center" vertical="center"/>
    </xf>
    <xf numFmtId="2" fontId="0" fillId="28" borderId="29" xfId="0" applyNumberFormat="1" applyFill="1" applyBorder="1" applyAlignment="1">
      <alignment horizontal="center" vertical="center"/>
    </xf>
    <xf numFmtId="2" fontId="0" fillId="28" borderId="24" xfId="0" applyNumberFormat="1" applyFill="1" applyBorder="1" applyAlignment="1">
      <alignment horizontal="center" vertical="center"/>
    </xf>
    <xf numFmtId="164" fontId="0" fillId="29" borderId="75" xfId="1" applyNumberFormat="1" applyFont="1" applyFill="1" applyBorder="1" applyAlignment="1">
      <alignment horizontal="center" vertical="center"/>
    </xf>
    <xf numFmtId="2" fontId="0" fillId="0" borderId="36" xfId="0" applyNumberFormat="1" applyFill="1" applyBorder="1" applyAlignment="1">
      <alignment horizontal="center"/>
    </xf>
    <xf numFmtId="2" fontId="0" fillId="0" borderId="26" xfId="0" applyNumberFormat="1" applyFill="1" applyBorder="1" applyAlignment="1">
      <alignment horizontal="center"/>
    </xf>
    <xf numFmtId="2" fontId="0" fillId="0" borderId="54" xfId="0" applyNumberFormat="1" applyFill="1" applyBorder="1" applyAlignment="1">
      <alignment horizontal="center"/>
    </xf>
    <xf numFmtId="2" fontId="0" fillId="0" borderId="29" xfId="0" applyNumberFormat="1" applyFill="1" applyBorder="1" applyAlignment="1">
      <alignment horizontal="center"/>
    </xf>
    <xf numFmtId="2" fontId="0" fillId="0" borderId="13" xfId="0" applyNumberFormat="1" applyFill="1" applyBorder="1" applyAlignment="1">
      <alignment horizontal="center"/>
    </xf>
    <xf numFmtId="2" fontId="0" fillId="0" borderId="13" xfId="0" applyNumberFormat="1" applyBorder="1"/>
    <xf numFmtId="0" fontId="0" fillId="4" borderId="24" xfId="0" applyFill="1" applyBorder="1" applyAlignment="1" applyProtection="1">
      <alignment vertical="center"/>
      <protection locked="0"/>
    </xf>
    <xf numFmtId="0" fontId="0" fillId="4" borderId="28" xfId="0" applyFill="1" applyBorder="1" applyAlignment="1">
      <alignment vertical="top" wrapText="1"/>
    </xf>
    <xf numFmtId="1" fontId="0" fillId="8" borderId="5" xfId="0" applyNumberFormat="1" applyFill="1" applyBorder="1" applyAlignment="1" applyProtection="1">
      <alignment horizontal="center" vertical="center"/>
      <protection locked="0"/>
    </xf>
    <xf numFmtId="0" fontId="7" fillId="16" borderId="109" xfId="0" applyFont="1" applyFill="1" applyBorder="1"/>
    <xf numFmtId="178" fontId="0" fillId="0" borderId="0" xfId="0" applyNumberFormat="1"/>
    <xf numFmtId="0" fontId="0" fillId="8" borderId="5" xfId="0" applyFill="1" applyBorder="1" applyAlignment="1" applyProtection="1">
      <alignment horizontal="center" vertical="center"/>
      <protection locked="0"/>
    </xf>
    <xf numFmtId="37" fontId="0" fillId="4" borderId="5" xfId="0" applyNumberFormat="1" applyFill="1" applyBorder="1" applyAlignment="1">
      <alignment horizontal="center" vertical="center"/>
    </xf>
    <xf numFmtId="0" fontId="14" fillId="0" borderId="0" xfId="0" applyFont="1" applyBorder="1"/>
    <xf numFmtId="170" fontId="14" fillId="0" borderId="0" xfId="21" applyNumberFormat="1" applyFont="1" applyFill="1" applyBorder="1" applyProtection="1"/>
    <xf numFmtId="0" fontId="14" fillId="0" borderId="0" xfId="0" applyFont="1" applyFill="1" applyBorder="1" applyProtection="1"/>
    <xf numFmtId="170" fontId="14" fillId="0" borderId="0" xfId="0" applyNumberFormat="1" applyFont="1" applyBorder="1" applyProtection="1"/>
    <xf numFmtId="0" fontId="14" fillId="0" borderId="0" xfId="0" applyFont="1" applyFill="1" applyBorder="1" applyAlignment="1" applyProtection="1"/>
    <xf numFmtId="44" fontId="0" fillId="28" borderId="67" xfId="21" applyFont="1" applyFill="1" applyBorder="1" applyProtection="1">
      <protection locked="0"/>
    </xf>
    <xf numFmtId="44" fontId="0" fillId="28" borderId="68" xfId="21" applyFont="1" applyFill="1" applyBorder="1" applyProtection="1">
      <protection locked="0"/>
    </xf>
    <xf numFmtId="44" fontId="0" fillId="28" borderId="70" xfId="21" applyFont="1" applyFill="1" applyBorder="1" applyProtection="1">
      <protection locked="0"/>
    </xf>
    <xf numFmtId="44" fontId="0" fillId="28" borderId="70" xfId="21" applyFont="1" applyFill="1" applyBorder="1" applyAlignment="1" applyProtection="1">
      <alignment vertical="center"/>
      <protection locked="0"/>
    </xf>
    <xf numFmtId="44" fontId="0" fillId="28" borderId="68" xfId="21" applyFont="1" applyFill="1" applyBorder="1" applyAlignment="1" applyProtection="1">
      <alignment vertical="center"/>
      <protection locked="0"/>
    </xf>
    <xf numFmtId="44" fontId="7" fillId="18" borderId="67" xfId="21" applyFont="1" applyFill="1" applyBorder="1" applyAlignment="1" applyProtection="1">
      <alignment horizontal="center" vertical="center"/>
      <protection locked="0"/>
    </xf>
    <xf numFmtId="0" fontId="0" fillId="28" borderId="32" xfId="0" applyFont="1" applyFill="1" applyBorder="1" applyAlignment="1" applyProtection="1">
      <alignment horizontal="center"/>
      <protection locked="0"/>
    </xf>
    <xf numFmtId="0" fontId="0" fillId="28" borderId="5" xfId="0" applyFont="1" applyFill="1" applyBorder="1" applyAlignment="1" applyProtection="1">
      <alignment horizontal="center"/>
      <protection locked="0"/>
    </xf>
    <xf numFmtId="2" fontId="0" fillId="28" borderId="32" xfId="0" applyNumberFormat="1" applyFont="1" applyFill="1" applyBorder="1" applyAlignment="1" applyProtection="1">
      <alignment horizontal="center"/>
      <protection locked="0"/>
    </xf>
    <xf numFmtId="2" fontId="0" fillId="28" borderId="5" xfId="0" applyNumberFormat="1" applyFont="1" applyFill="1" applyBorder="1" applyAlignment="1" applyProtection="1">
      <alignment horizontal="center"/>
      <protection locked="0"/>
    </xf>
    <xf numFmtId="2" fontId="0" fillId="28" borderId="16" xfId="0" applyNumberFormat="1" applyFont="1" applyFill="1" applyBorder="1" applyAlignment="1" applyProtection="1">
      <alignment horizontal="center"/>
      <protection locked="0"/>
    </xf>
    <xf numFmtId="2" fontId="0" fillId="28" borderId="4" xfId="0" applyNumberFormat="1" applyFont="1" applyFill="1" applyBorder="1" applyAlignment="1" applyProtection="1">
      <alignment horizontal="center"/>
      <protection locked="0"/>
    </xf>
    <xf numFmtId="0" fontId="0" fillId="28" borderId="29" xfId="0" applyFont="1" applyFill="1" applyBorder="1" applyAlignment="1" applyProtection="1">
      <alignment horizontal="center"/>
      <protection locked="0"/>
    </xf>
    <xf numFmtId="0" fontId="0" fillId="28" borderId="24" xfId="0" applyFont="1" applyFill="1" applyBorder="1" applyAlignment="1" applyProtection="1">
      <alignment horizontal="center"/>
      <protection locked="0"/>
    </xf>
    <xf numFmtId="2" fontId="0" fillId="28" borderId="18" xfId="0" applyNumberFormat="1" applyFont="1" applyFill="1" applyBorder="1" applyAlignment="1" applyProtection="1">
      <alignment horizontal="center"/>
      <protection locked="0"/>
    </xf>
    <xf numFmtId="2" fontId="0" fillId="28" borderId="19" xfId="0" applyNumberFormat="1" applyFont="1" applyFill="1" applyBorder="1" applyAlignment="1" applyProtection="1">
      <alignment horizontal="center"/>
      <protection locked="0"/>
    </xf>
    <xf numFmtId="0" fontId="0" fillId="28" borderId="24" xfId="0" applyFill="1" applyBorder="1" applyAlignment="1" applyProtection="1">
      <alignment horizontal="center"/>
      <protection locked="0"/>
    </xf>
    <xf numFmtId="2" fontId="0" fillId="28" borderId="29" xfId="0" applyNumberFormat="1" applyFont="1" applyFill="1" applyBorder="1" applyAlignment="1" applyProtection="1">
      <alignment horizontal="center"/>
      <protection locked="0"/>
    </xf>
    <xf numFmtId="2" fontId="0" fillId="28" borderId="24" xfId="0" applyNumberFormat="1" applyFont="1" applyFill="1" applyBorder="1" applyAlignment="1" applyProtection="1">
      <alignment horizontal="center"/>
      <protection locked="0"/>
    </xf>
    <xf numFmtId="2" fontId="0" fillId="28" borderId="24" xfId="0" applyNumberFormat="1" applyFill="1" applyBorder="1" applyAlignment="1" applyProtection="1">
      <alignment horizontal="center"/>
      <protection locked="0"/>
    </xf>
    <xf numFmtId="2" fontId="0" fillId="28" borderId="18" xfId="0" applyNumberFormat="1" applyFill="1" applyBorder="1" applyAlignment="1" applyProtection="1">
      <alignment horizontal="center"/>
      <protection locked="0"/>
    </xf>
    <xf numFmtId="2" fontId="0" fillId="28" borderId="32" xfId="0" applyNumberFormat="1" applyFill="1" applyBorder="1" applyAlignment="1" applyProtection="1">
      <alignment horizontal="center"/>
      <protection locked="0"/>
    </xf>
    <xf numFmtId="2" fontId="0" fillId="28" borderId="29" xfId="0" applyNumberFormat="1" applyFill="1" applyBorder="1" applyAlignment="1" applyProtection="1">
      <alignment horizontal="center"/>
      <protection locked="0"/>
    </xf>
    <xf numFmtId="2" fontId="0" fillId="28" borderId="5" xfId="0" applyNumberFormat="1" applyFill="1" applyBorder="1" applyAlignment="1" applyProtection="1">
      <alignment horizontal="center"/>
      <protection locked="0"/>
    </xf>
    <xf numFmtId="2" fontId="0" fillId="28" borderId="19" xfId="0" applyNumberFormat="1" applyFill="1" applyBorder="1" applyAlignment="1" applyProtection="1">
      <alignment horizontal="center"/>
      <protection locked="0"/>
    </xf>
    <xf numFmtId="2" fontId="0" fillId="28" borderId="57" xfId="0" applyNumberFormat="1" applyFill="1" applyBorder="1" applyAlignment="1" applyProtection="1">
      <alignment horizontal="center"/>
      <protection locked="0"/>
    </xf>
    <xf numFmtId="2" fontId="0" fillId="28" borderId="48" xfId="0" applyNumberFormat="1" applyFill="1" applyBorder="1" applyAlignment="1" applyProtection="1">
      <alignment horizontal="center"/>
      <protection locked="0"/>
    </xf>
    <xf numFmtId="2" fontId="0" fillId="28" borderId="18" xfId="0" applyNumberFormat="1" applyFill="1" applyBorder="1" applyAlignment="1" applyProtection="1">
      <alignment horizontal="center" vertical="center"/>
      <protection locked="0"/>
    </xf>
    <xf numFmtId="2" fontId="0" fillId="28" borderId="19" xfId="0" applyNumberFormat="1" applyFill="1" applyBorder="1" applyAlignment="1" applyProtection="1">
      <alignment horizontal="center" vertical="center"/>
      <protection locked="0"/>
    </xf>
    <xf numFmtId="2" fontId="0" fillId="28" borderId="32" xfId="0" applyNumberFormat="1" applyFill="1" applyBorder="1" applyAlignment="1" applyProtection="1">
      <alignment horizontal="center" vertical="center"/>
      <protection locked="0"/>
    </xf>
    <xf numFmtId="2" fontId="0" fillId="28" borderId="5" xfId="0" applyNumberFormat="1" applyFill="1" applyBorder="1" applyAlignment="1" applyProtection="1">
      <alignment horizontal="center" vertical="center"/>
      <protection locked="0"/>
    </xf>
    <xf numFmtId="2" fontId="0" fillId="11" borderId="32" xfId="0" applyNumberFormat="1" applyFill="1" applyBorder="1" applyAlignment="1" applyProtection="1">
      <alignment horizontal="center" vertical="center"/>
      <protection locked="0"/>
    </xf>
    <xf numFmtId="2" fontId="0" fillId="11" borderId="5" xfId="0" applyNumberFormat="1" applyFill="1" applyBorder="1" applyAlignment="1" applyProtection="1">
      <alignment horizontal="center" vertical="center"/>
      <protection locked="0"/>
    </xf>
    <xf numFmtId="10" fontId="0" fillId="8" borderId="5" xfId="0" applyNumberFormat="1" applyFill="1" applyBorder="1" applyAlignment="1" applyProtection="1">
      <alignment horizontal="center"/>
      <protection locked="0"/>
    </xf>
    <xf numFmtId="43" fontId="0" fillId="0" borderId="0" xfId="1" applyNumberFormat="1" applyFont="1"/>
    <xf numFmtId="0" fontId="0" fillId="25" borderId="24" xfId="0" applyFill="1" applyBorder="1" applyAlignment="1">
      <alignment vertical="center" wrapText="1"/>
    </xf>
    <xf numFmtId="0" fontId="7" fillId="6" borderId="18" xfId="0" applyFont="1" applyFill="1" applyBorder="1" applyAlignment="1">
      <alignment vertical="top"/>
    </xf>
    <xf numFmtId="0" fontId="0" fillId="6" borderId="19" xfId="0" applyFill="1" applyBorder="1" applyAlignment="1">
      <alignment vertical="top" wrapText="1"/>
    </xf>
    <xf numFmtId="0" fontId="0" fillId="6" borderId="19" xfId="0" applyFill="1" applyBorder="1" applyAlignment="1">
      <alignment vertical="center" wrapText="1"/>
    </xf>
    <xf numFmtId="0" fontId="0" fillId="6" borderId="19" xfId="0" applyFill="1" applyBorder="1" applyAlignment="1">
      <alignment vertical="center"/>
    </xf>
    <xf numFmtId="0" fontId="0" fillId="6" borderId="31" xfId="0" applyFill="1" applyBorder="1" applyAlignment="1">
      <alignment vertical="center"/>
    </xf>
    <xf numFmtId="44" fontId="0" fillId="6" borderId="75" xfId="21" applyFont="1" applyFill="1" applyBorder="1"/>
    <xf numFmtId="44" fontId="0" fillId="28" borderId="110" xfId="21" applyFont="1" applyFill="1" applyBorder="1"/>
    <xf numFmtId="44" fontId="4" fillId="28" borderId="110" xfId="21" applyFont="1" applyFill="1" applyBorder="1"/>
    <xf numFmtId="44" fontId="0" fillId="28" borderId="23" xfId="21" applyFont="1" applyFill="1" applyBorder="1"/>
    <xf numFmtId="44" fontId="3" fillId="28" borderId="110" xfId="21" applyFont="1" applyFill="1" applyBorder="1"/>
    <xf numFmtId="0" fontId="0" fillId="4" borderId="32" xfId="0" applyFill="1" applyBorder="1" applyAlignment="1">
      <alignment horizontal="left" vertical="center" wrapText="1"/>
    </xf>
    <xf numFmtId="0" fontId="0" fillId="4" borderId="5" xfId="0" applyFill="1" applyBorder="1" applyAlignment="1">
      <alignment horizontal="left" vertical="center" wrapText="1"/>
    </xf>
    <xf numFmtId="164" fontId="2" fillId="4" borderId="8" xfId="1" applyNumberFormat="1" applyFont="1" applyFill="1" applyBorder="1" applyAlignment="1" applyProtection="1">
      <alignment horizontal="center" vertical="center"/>
    </xf>
    <xf numFmtId="164" fontId="2" fillId="4" borderId="48" xfId="1" applyNumberFormat="1" applyFont="1" applyFill="1" applyBorder="1" applyAlignment="1" applyProtection="1">
      <alignment horizontal="center"/>
    </xf>
    <xf numFmtId="164" fontId="2" fillId="4" borderId="8" xfId="1" applyNumberFormat="1" applyFont="1" applyFill="1" applyBorder="1" applyAlignment="1" applyProtection="1">
      <alignment horizontal="center"/>
    </xf>
    <xf numFmtId="164" fontId="2" fillId="4" borderId="2" xfId="1" applyNumberFormat="1" applyFont="1" applyFill="1" applyBorder="1" applyAlignment="1" applyProtection="1">
      <alignment horizontal="center"/>
    </xf>
    <xf numFmtId="164" fontId="2" fillId="4" borderId="5" xfId="1" applyNumberFormat="1" applyFont="1" applyFill="1" applyBorder="1" applyAlignment="1" applyProtection="1">
      <alignment horizontal="center" vertical="center"/>
    </xf>
    <xf numFmtId="164" fontId="2" fillId="4" borderId="51" xfId="1" applyNumberFormat="1" applyFont="1" applyFill="1" applyBorder="1" applyAlignment="1" applyProtection="1">
      <alignment horizontal="center"/>
    </xf>
    <xf numFmtId="164" fontId="2" fillId="4" borderId="7" xfId="1" applyNumberFormat="1" applyFont="1" applyFill="1" applyBorder="1" applyProtection="1"/>
    <xf numFmtId="9" fontId="2" fillId="4" borderId="7" xfId="8" applyFont="1" applyFill="1" applyBorder="1" applyProtection="1"/>
    <xf numFmtId="164" fontId="2" fillId="4" borderId="1" xfId="8" applyNumberFormat="1" applyFont="1" applyFill="1" applyBorder="1" applyProtection="1"/>
    <xf numFmtId="164" fontId="2" fillId="4" borderId="6" xfId="1" applyNumberFormat="1" applyFont="1" applyFill="1" applyBorder="1" applyProtection="1"/>
    <xf numFmtId="164" fontId="2" fillId="4" borderId="107" xfId="1" applyNumberFormat="1" applyFont="1" applyFill="1" applyBorder="1" applyProtection="1"/>
    <xf numFmtId="1" fontId="3" fillId="0" borderId="0" xfId="0" applyNumberFormat="1" applyFont="1" applyProtection="1"/>
    <xf numFmtId="0" fontId="0" fillId="0" borderId="0" xfId="0" applyAlignment="1">
      <alignment horizontal="left" vertical="top" wrapText="1"/>
    </xf>
    <xf numFmtId="164" fontId="3" fillId="0" borderId="0" xfId="1" applyNumberFormat="1" applyFont="1" applyAlignment="1" applyProtection="1">
      <alignment horizontal="left"/>
    </xf>
    <xf numFmtId="0" fontId="105" fillId="5" borderId="0" xfId="0" applyFont="1" applyFill="1" applyProtection="1"/>
    <xf numFmtId="164" fontId="3" fillId="0" borderId="0" xfId="1" applyNumberFormat="1" applyFont="1" applyProtection="1"/>
    <xf numFmtId="164" fontId="3" fillId="0" borderId="0" xfId="0" applyNumberFormat="1" applyFont="1" applyProtection="1"/>
    <xf numFmtId="0" fontId="3" fillId="5" borderId="0" xfId="0" applyFont="1" applyFill="1" applyProtection="1"/>
    <xf numFmtId="0" fontId="7" fillId="0" borderId="18" xfId="0" applyFont="1" applyFill="1" applyBorder="1" applyAlignment="1" applyProtection="1">
      <alignment vertical="center" wrapText="1"/>
    </xf>
    <xf numFmtId="0" fontId="0" fillId="0" borderId="0" xfId="0" applyAlignment="1">
      <alignment horizontal="left" vertical="top"/>
    </xf>
    <xf numFmtId="0" fontId="58" fillId="0" borderId="0" xfId="0" applyFont="1" applyFill="1" applyBorder="1" applyAlignment="1">
      <alignment wrapText="1"/>
    </xf>
    <xf numFmtId="0" fontId="0" fillId="0" borderId="5" xfId="0" applyBorder="1" applyAlignment="1">
      <alignment vertical="center"/>
    </xf>
    <xf numFmtId="0" fontId="52" fillId="0" borderId="0" xfId="0" applyFont="1" applyFill="1" applyProtection="1"/>
    <xf numFmtId="0" fontId="16" fillId="0" borderId="0" xfId="0" applyFont="1" applyFill="1" applyProtection="1"/>
    <xf numFmtId="0" fontId="7" fillId="0" borderId="0" xfId="0" applyFont="1" applyAlignment="1"/>
    <xf numFmtId="0" fontId="7" fillId="0" borderId="0" xfId="0" applyFont="1" applyAlignment="1">
      <alignment vertical="center"/>
    </xf>
    <xf numFmtId="0" fontId="7" fillId="0" borderId="0" xfId="0" applyFont="1" applyFill="1" applyAlignment="1">
      <alignment horizontal="center"/>
    </xf>
    <xf numFmtId="0" fontId="107" fillId="0" borderId="0" xfId="0" applyFont="1" applyProtection="1"/>
    <xf numFmtId="4" fontId="67" fillId="4" borderId="5" xfId="0" applyNumberFormat="1" applyFont="1" applyFill="1" applyBorder="1" applyAlignment="1">
      <alignment horizontal="center" vertical="center"/>
    </xf>
    <xf numFmtId="0" fontId="6" fillId="12" borderId="40" xfId="0" applyFont="1" applyFill="1" applyBorder="1" applyAlignment="1" applyProtection="1">
      <alignment horizontal="center"/>
    </xf>
    <xf numFmtId="164" fontId="0" fillId="4" borderId="111" xfId="1" applyNumberFormat="1" applyFont="1" applyFill="1" applyBorder="1" applyProtection="1"/>
    <xf numFmtId="164" fontId="0" fillId="4" borderId="9" xfId="1" applyNumberFormat="1" applyFont="1" applyFill="1" applyBorder="1" applyProtection="1"/>
    <xf numFmtId="9" fontId="0" fillId="4" borderId="9" xfId="8" applyFont="1" applyFill="1" applyBorder="1" applyProtection="1"/>
    <xf numFmtId="164" fontId="0" fillId="4" borderId="107" xfId="8" applyNumberFormat="1" applyFont="1" applyFill="1" applyBorder="1" applyProtection="1"/>
    <xf numFmtId="164" fontId="2" fillId="4" borderId="107" xfId="8" applyNumberFormat="1" applyFont="1" applyFill="1" applyBorder="1" applyProtection="1"/>
    <xf numFmtId="9" fontId="0" fillId="4" borderId="46" xfId="8" applyFont="1" applyFill="1" applyBorder="1" applyProtection="1"/>
    <xf numFmtId="9" fontId="0" fillId="4" borderId="56" xfId="8" applyFont="1" applyFill="1" applyBorder="1" applyProtection="1"/>
    <xf numFmtId="164" fontId="0" fillId="4" borderId="56" xfId="1" applyNumberFormat="1" applyFont="1" applyFill="1" applyBorder="1" applyProtection="1"/>
    <xf numFmtId="0" fontId="0" fillId="13" borderId="0" xfId="0" applyFill="1"/>
    <xf numFmtId="0" fontId="0" fillId="0" borderId="16" xfId="0" applyFont="1" applyFill="1" applyBorder="1" applyAlignment="1">
      <alignment vertical="center" wrapText="1"/>
    </xf>
    <xf numFmtId="9" fontId="0" fillId="4" borderId="5" xfId="0" applyNumberFormat="1" applyFill="1" applyBorder="1" applyAlignment="1" applyProtection="1">
      <alignment horizontal="center" vertical="center"/>
    </xf>
    <xf numFmtId="0" fontId="0" fillId="0" borderId="5" xfId="0" applyFill="1" applyBorder="1" applyAlignment="1">
      <alignment vertical="center"/>
    </xf>
    <xf numFmtId="0" fontId="109" fillId="0" borderId="32" xfId="0" applyFont="1" applyFill="1" applyBorder="1" applyAlignment="1">
      <alignment vertical="center"/>
    </xf>
    <xf numFmtId="0" fontId="22" fillId="0" borderId="10" xfId="0" applyFont="1" applyFill="1" applyBorder="1"/>
    <xf numFmtId="0" fontId="22" fillId="0" borderId="12" xfId="0" applyFont="1" applyFill="1" applyBorder="1"/>
    <xf numFmtId="3" fontId="0" fillId="8" borderId="28" xfId="0" applyNumberFormat="1" applyFill="1" applyBorder="1" applyAlignment="1" applyProtection="1">
      <alignment horizontal="center"/>
      <protection locked="0"/>
    </xf>
    <xf numFmtId="164" fontId="0" fillId="29" borderId="0" xfId="1" applyNumberFormat="1" applyFont="1" applyFill="1" applyBorder="1" applyAlignment="1">
      <alignment horizontal="center" vertical="center"/>
    </xf>
    <xf numFmtId="0" fontId="0" fillId="0" borderId="9" xfId="0" applyFill="1" applyBorder="1"/>
    <xf numFmtId="0" fontId="0" fillId="0" borderId="62" xfId="0" applyFill="1" applyBorder="1"/>
    <xf numFmtId="0" fontId="0" fillId="0" borderId="0" xfId="0"/>
    <xf numFmtId="0" fontId="7" fillId="0" borderId="0" xfId="0" applyFont="1" applyAlignment="1">
      <alignment wrapText="1"/>
    </xf>
    <xf numFmtId="0" fontId="0" fillId="0" borderId="0" xfId="0" applyProtection="1"/>
    <xf numFmtId="0" fontId="14" fillId="0" borderId="0" xfId="0" applyFont="1" applyProtection="1"/>
    <xf numFmtId="1" fontId="14" fillId="0" borderId="0" xfId="0" applyNumberFormat="1" applyFont="1" applyProtection="1"/>
    <xf numFmtId="0" fontId="14" fillId="0" borderId="0" xfId="0" applyFont="1" applyFill="1" applyProtection="1"/>
    <xf numFmtId="0" fontId="6" fillId="12" borderId="20" xfId="0" applyFont="1" applyFill="1" applyBorder="1" applyProtection="1"/>
    <xf numFmtId="0" fontId="48" fillId="0" borderId="0" xfId="15" applyAlignment="1">
      <alignment horizontal="center" vertical="top"/>
    </xf>
    <xf numFmtId="0" fontId="0" fillId="0" borderId="0" xfId="0" applyBorder="1"/>
    <xf numFmtId="0" fontId="0" fillId="4" borderId="2" xfId="0" applyFill="1" applyBorder="1" applyAlignment="1">
      <alignment vertical="center" wrapText="1"/>
    </xf>
    <xf numFmtId="0" fontId="0" fillId="4" borderId="23" xfId="0" applyFill="1" applyBorder="1"/>
    <xf numFmtId="0" fontId="0" fillId="4" borderId="5" xfId="0" applyFill="1" applyBorder="1" applyAlignment="1">
      <alignment vertical="center" wrapText="1"/>
    </xf>
    <xf numFmtId="164" fontId="0" fillId="4" borderId="16" xfId="1" applyNumberFormat="1" applyFont="1" applyFill="1" applyBorder="1" applyAlignment="1" applyProtection="1">
      <alignment horizontal="center"/>
    </xf>
    <xf numFmtId="170" fontId="0" fillId="4" borderId="23" xfId="21" applyNumberFormat="1" applyFont="1" applyFill="1" applyBorder="1" applyProtection="1"/>
    <xf numFmtId="164" fontId="0" fillId="4" borderId="0" xfId="1" applyNumberFormat="1" applyFont="1" applyFill="1"/>
    <xf numFmtId="0" fontId="0" fillId="0" borderId="29" xfId="0" applyBorder="1"/>
    <xf numFmtId="0" fontId="0" fillId="0" borderId="60" xfId="0" applyBorder="1"/>
    <xf numFmtId="0" fontId="6" fillId="12" borderId="33" xfId="0" applyFont="1" applyFill="1" applyBorder="1" applyAlignment="1" applyProtection="1"/>
    <xf numFmtId="0" fontId="3" fillId="0" borderId="0" xfId="0" applyFont="1" applyProtection="1"/>
    <xf numFmtId="37" fontId="13" fillId="4" borderId="5" xfId="1" applyNumberFormat="1" applyFont="1" applyFill="1" applyBorder="1" applyAlignment="1">
      <alignment horizontal="center"/>
    </xf>
    <xf numFmtId="0" fontId="13" fillId="0" borderId="5" xfId="0" applyFont="1" applyBorder="1"/>
    <xf numFmtId="0" fontId="0" fillId="0" borderId="16" xfId="0" applyFill="1" applyBorder="1" applyAlignment="1" applyProtection="1">
      <alignment horizontal="left" vertical="top" wrapText="1"/>
    </xf>
    <xf numFmtId="0" fontId="0" fillId="0" borderId="4" xfId="0" applyFill="1" applyBorder="1" applyAlignment="1" applyProtection="1">
      <alignment vertical="top" wrapText="1"/>
    </xf>
    <xf numFmtId="0" fontId="0" fillId="0" borderId="16" xfId="0" applyFill="1" applyBorder="1" applyAlignment="1" applyProtection="1">
      <alignment vertical="top"/>
    </xf>
    <xf numFmtId="0" fontId="6" fillId="12" borderId="18" xfId="0" applyFont="1" applyFill="1" applyBorder="1" applyProtection="1"/>
    <xf numFmtId="0" fontId="0" fillId="0" borderId="25" xfId="0" applyFill="1" applyBorder="1" applyAlignment="1" applyProtection="1">
      <alignment vertical="top"/>
    </xf>
    <xf numFmtId="0" fontId="0" fillId="0" borderId="26" xfId="0" applyFill="1" applyBorder="1" applyAlignment="1" applyProtection="1">
      <alignment vertical="top" wrapText="1"/>
    </xf>
    <xf numFmtId="0" fontId="0" fillId="0" borderId="25" xfId="0" applyFill="1" applyBorder="1" applyAlignment="1" applyProtection="1">
      <alignment horizontal="left" vertical="top" wrapText="1"/>
    </xf>
    <xf numFmtId="164" fontId="0" fillId="4" borderId="25" xfId="1" applyNumberFormat="1" applyFont="1" applyFill="1" applyBorder="1" applyAlignment="1" applyProtection="1">
      <alignment horizontal="center"/>
    </xf>
    <xf numFmtId="170" fontId="0" fillId="4" borderId="28" xfId="21" applyNumberFormat="1" applyFont="1" applyFill="1" applyBorder="1" applyProtection="1"/>
    <xf numFmtId="164" fontId="0" fillId="4" borderId="5" xfId="1" applyNumberFormat="1" applyFont="1" applyFill="1" applyBorder="1" applyAlignment="1" applyProtection="1">
      <alignment horizontal="center"/>
    </xf>
    <xf numFmtId="0" fontId="0" fillId="0" borderId="19" xfId="0" applyFill="1" applyBorder="1" applyAlignment="1" applyProtection="1">
      <alignment horizontal="left" vertical="top" wrapText="1"/>
    </xf>
    <xf numFmtId="164" fontId="0" fillId="4" borderId="19" xfId="1" applyNumberFormat="1" applyFont="1" applyFill="1" applyBorder="1" applyAlignment="1" applyProtection="1">
      <alignment horizontal="center"/>
    </xf>
    <xf numFmtId="0" fontId="0" fillId="0" borderId="24" xfId="0" applyFill="1" applyBorder="1" applyAlignment="1" applyProtection="1">
      <alignment horizontal="left" vertical="top" wrapText="1"/>
    </xf>
    <xf numFmtId="164" fontId="0" fillId="4" borderId="24" xfId="1" applyNumberFormat="1" applyFont="1" applyFill="1" applyBorder="1" applyAlignment="1" applyProtection="1">
      <alignment horizontal="center"/>
    </xf>
    <xf numFmtId="0" fontId="7" fillId="0" borderId="32" xfId="0" applyFont="1" applyFill="1" applyBorder="1" applyAlignment="1" applyProtection="1">
      <alignment horizontal="left" vertical="top" wrapText="1"/>
    </xf>
    <xf numFmtId="0" fontId="7" fillId="0" borderId="29" xfId="0" applyFont="1" applyFill="1" applyBorder="1" applyAlignment="1" applyProtection="1">
      <alignment horizontal="left" vertical="top" wrapText="1"/>
    </xf>
    <xf numFmtId="0" fontId="7" fillId="0" borderId="18" xfId="0" applyFont="1" applyFill="1" applyBorder="1" applyAlignment="1" applyProtection="1">
      <alignment horizontal="left" vertical="top" wrapText="1"/>
    </xf>
    <xf numFmtId="3" fontId="0" fillId="8" borderId="23" xfId="0" applyNumberFormat="1" applyFill="1" applyBorder="1" applyAlignment="1" applyProtection="1">
      <alignment horizontal="center"/>
      <protection locked="0"/>
    </xf>
    <xf numFmtId="3" fontId="0" fillId="8" borderId="23" xfId="0" applyNumberFormat="1" applyFill="1" applyBorder="1" applyAlignment="1" applyProtection="1">
      <alignment horizontal="center" vertical="center"/>
      <protection locked="0"/>
    </xf>
    <xf numFmtId="0" fontId="0" fillId="4" borderId="5" xfId="0" applyFill="1" applyBorder="1" applyAlignment="1">
      <alignment vertical="top"/>
    </xf>
    <xf numFmtId="0" fontId="0" fillId="4" borderId="32" xfId="0" applyFill="1" applyBorder="1" applyAlignment="1">
      <alignment vertical="top"/>
    </xf>
    <xf numFmtId="0" fontId="0" fillId="4" borderId="18" xfId="0" applyFill="1" applyBorder="1" applyAlignment="1">
      <alignment vertical="top"/>
    </xf>
    <xf numFmtId="0" fontId="0" fillId="4" borderId="19" xfId="0" applyFill="1" applyBorder="1" applyAlignment="1">
      <alignment vertical="top"/>
    </xf>
    <xf numFmtId="0" fontId="0" fillId="4" borderId="19" xfId="0" applyFill="1" applyBorder="1" applyAlignment="1">
      <alignment vertical="center" wrapText="1"/>
    </xf>
    <xf numFmtId="0" fontId="0" fillId="4" borderId="20" xfId="0" applyFill="1" applyBorder="1"/>
    <xf numFmtId="0" fontId="0" fillId="4" borderId="29" xfId="0" applyFill="1" applyBorder="1" applyAlignment="1">
      <alignment vertical="top"/>
    </xf>
    <xf numFmtId="0" fontId="0" fillId="4" borderId="24" xfId="0" applyFill="1" applyBorder="1" applyAlignment="1">
      <alignment vertical="top"/>
    </xf>
    <xf numFmtId="0" fontId="0" fillId="4" borderId="24" xfId="0" applyFill="1" applyBorder="1" applyAlignment="1">
      <alignment vertical="center" wrapText="1"/>
    </xf>
    <xf numFmtId="0" fontId="0" fillId="4" borderId="51" xfId="0" applyFill="1" applyBorder="1" applyAlignment="1">
      <alignment vertical="center" wrapText="1"/>
    </xf>
    <xf numFmtId="0" fontId="0" fillId="4" borderId="28" xfId="0" applyFill="1" applyBorder="1"/>
    <xf numFmtId="0" fontId="7" fillId="0" borderId="46" xfId="0" applyFont="1" applyBorder="1"/>
    <xf numFmtId="0" fontId="0" fillId="0" borderId="32" xfId="0" applyFill="1" applyBorder="1" applyAlignment="1">
      <alignment vertical="center"/>
    </xf>
    <xf numFmtId="0" fontId="0" fillId="0" borderId="29" xfId="0" applyFont="1" applyFill="1" applyBorder="1" applyAlignment="1">
      <alignment vertical="center"/>
    </xf>
    <xf numFmtId="170" fontId="0" fillId="4" borderId="20" xfId="21" applyNumberFormat="1" applyFont="1" applyFill="1" applyBorder="1" applyAlignment="1" applyProtection="1">
      <alignment horizontal="center"/>
    </xf>
    <xf numFmtId="170" fontId="0" fillId="4" borderId="23" xfId="21" applyNumberFormat="1" applyFont="1" applyFill="1" applyBorder="1" applyAlignment="1" applyProtection="1">
      <alignment horizontal="center"/>
    </xf>
    <xf numFmtId="164" fontId="0" fillId="29" borderId="32" xfId="1" applyNumberFormat="1" applyFont="1" applyFill="1" applyBorder="1" applyAlignment="1">
      <alignment horizontal="center" vertical="center"/>
    </xf>
    <xf numFmtId="170" fontId="0" fillId="14" borderId="23" xfId="21" applyNumberFormat="1" applyFont="1" applyFill="1" applyBorder="1"/>
    <xf numFmtId="164" fontId="0" fillId="29" borderId="29" xfId="1" applyNumberFormat="1" applyFont="1" applyFill="1" applyBorder="1" applyAlignment="1">
      <alignment horizontal="center" vertical="center"/>
    </xf>
    <xf numFmtId="170" fontId="0" fillId="14" borderId="28" xfId="21" applyNumberFormat="1" applyFont="1" applyFill="1" applyBorder="1"/>
    <xf numFmtId="164" fontId="0" fillId="29" borderId="18" xfId="1" applyNumberFormat="1" applyFont="1" applyFill="1" applyBorder="1" applyAlignment="1">
      <alignment horizontal="center" vertical="center"/>
    </xf>
    <xf numFmtId="170" fontId="0" fillId="14" borderId="20" xfId="21" applyNumberFormat="1" applyFont="1" applyFill="1" applyBorder="1"/>
    <xf numFmtId="0" fontId="0" fillId="0" borderId="5" xfId="0" applyFill="1" applyBorder="1" applyAlignment="1" applyProtection="1">
      <alignment horizontal="left" vertical="top" wrapText="1"/>
    </xf>
    <xf numFmtId="44" fontId="0" fillId="28" borderId="67" xfId="21" applyFont="1" applyFill="1" applyBorder="1" applyProtection="1">
      <protection locked="0"/>
    </xf>
    <xf numFmtId="44" fontId="0" fillId="28" borderId="68" xfId="21" applyFont="1" applyFill="1" applyBorder="1" applyProtection="1">
      <protection locked="0"/>
    </xf>
    <xf numFmtId="44" fontId="0" fillId="28" borderId="70" xfId="21" applyFont="1" applyFill="1" applyBorder="1" applyProtection="1">
      <protection locked="0"/>
    </xf>
    <xf numFmtId="3" fontId="0" fillId="0" borderId="24" xfId="0" applyNumberFormat="1" applyBorder="1" applyAlignment="1">
      <alignment horizontal="center"/>
    </xf>
    <xf numFmtId="164" fontId="0" fillId="0" borderId="28" xfId="1" applyNumberFormat="1" applyFont="1" applyBorder="1"/>
    <xf numFmtId="3" fontId="0" fillId="0" borderId="2" xfId="0" applyNumberFormat="1" applyBorder="1" applyAlignment="1">
      <alignment horizontal="center"/>
    </xf>
    <xf numFmtId="164" fontId="0" fillId="0" borderId="50" xfId="1" applyNumberFormat="1" applyFont="1" applyBorder="1"/>
    <xf numFmtId="0" fontId="7" fillId="0" borderId="42" xfId="0" applyFont="1" applyBorder="1"/>
    <xf numFmtId="0" fontId="0" fillId="8" borderId="32" xfId="0" applyFont="1" applyFill="1" applyBorder="1" applyAlignment="1" applyProtection="1">
      <alignment vertical="center"/>
      <protection locked="0"/>
    </xf>
    <xf numFmtId="164" fontId="0" fillId="0" borderId="45" xfId="0" applyNumberFormat="1" applyBorder="1" applyAlignment="1">
      <alignment horizontal="left" indent="1"/>
    </xf>
    <xf numFmtId="164" fontId="0" fillId="0" borderId="64" xfId="0" applyNumberFormat="1" applyBorder="1" applyAlignment="1">
      <alignment horizontal="left" indent="1"/>
    </xf>
    <xf numFmtId="1" fontId="67" fillId="4" borderId="5" xfId="0" applyNumberFormat="1" applyFont="1" applyFill="1" applyBorder="1" applyAlignment="1">
      <alignment horizontal="center" vertical="center"/>
    </xf>
    <xf numFmtId="9" fontId="58" fillId="0" borderId="0" xfId="8" applyFont="1" applyAlignment="1">
      <alignment horizontal="center"/>
    </xf>
    <xf numFmtId="9" fontId="73" fillId="0" borderId="0" xfId="8" applyFont="1" applyAlignment="1">
      <alignment horizontal="center"/>
    </xf>
    <xf numFmtId="170" fontId="0" fillId="4" borderId="28" xfId="21" applyNumberFormat="1" applyFont="1" applyFill="1" applyBorder="1" applyAlignment="1" applyProtection="1">
      <alignment horizontal="center"/>
    </xf>
    <xf numFmtId="0" fontId="6" fillId="12" borderId="19" xfId="0" applyFont="1" applyFill="1" applyBorder="1" applyAlignment="1" applyProtection="1"/>
    <xf numFmtId="164" fontId="14" fillId="0" borderId="0" xfId="1" applyNumberFormat="1" applyFont="1" applyAlignment="1" applyProtection="1">
      <alignment horizontal="left"/>
    </xf>
    <xf numFmtId="0" fontId="111" fillId="0" borderId="0" xfId="0" applyFont="1" applyBorder="1" applyAlignment="1">
      <alignment vertical="top" wrapText="1"/>
    </xf>
    <xf numFmtId="3" fontId="47" fillId="4" borderId="52" xfId="0" applyNumberFormat="1" applyFont="1" applyFill="1" applyBorder="1" applyAlignment="1">
      <alignment vertical="center"/>
    </xf>
    <xf numFmtId="0" fontId="47" fillId="4" borderId="5" xfId="0" applyFont="1" applyFill="1" applyBorder="1" applyAlignment="1">
      <alignment vertical="center" wrapText="1"/>
    </xf>
    <xf numFmtId="0" fontId="47" fillId="4" borderId="24" xfId="0" applyFont="1" applyFill="1" applyBorder="1" applyAlignment="1">
      <alignment vertical="center" wrapText="1"/>
    </xf>
    <xf numFmtId="0" fontId="47" fillId="4" borderId="2" xfId="0" applyFont="1" applyFill="1" applyBorder="1" applyAlignment="1">
      <alignment horizontal="center" vertical="center"/>
    </xf>
    <xf numFmtId="0" fontId="47" fillId="4" borderId="5" xfId="0" applyFont="1" applyFill="1" applyBorder="1" applyAlignment="1">
      <alignment horizontal="center" vertical="center"/>
    </xf>
    <xf numFmtId="0" fontId="47" fillId="4" borderId="24" xfId="0" applyFont="1" applyFill="1" applyBorder="1" applyAlignment="1">
      <alignment horizontal="center" vertical="center"/>
    </xf>
    <xf numFmtId="0" fontId="0" fillId="0" borderId="0" xfId="0" applyAlignment="1">
      <alignment horizontal="left" vertical="top" wrapText="1"/>
    </xf>
    <xf numFmtId="0" fontId="65" fillId="3" borderId="55" xfId="0" applyFont="1" applyFill="1" applyBorder="1" applyAlignment="1">
      <alignment horizontal="center" vertical="center" wrapText="1"/>
    </xf>
    <xf numFmtId="0" fontId="65" fillId="3" borderId="54" xfId="0" applyFont="1" applyFill="1" applyBorder="1" applyAlignment="1">
      <alignment horizontal="center" vertical="center" wrapText="1"/>
    </xf>
    <xf numFmtId="0" fontId="65" fillId="3" borderId="54" xfId="0" applyFont="1" applyFill="1" applyBorder="1" applyAlignment="1">
      <alignment horizontal="left" vertical="center" wrapText="1"/>
    </xf>
    <xf numFmtId="0" fontId="65" fillId="3" borderId="35" xfId="0" applyFont="1" applyFill="1" applyBorder="1" applyAlignment="1">
      <alignment horizontal="center" vertical="center" wrapText="1"/>
    </xf>
    <xf numFmtId="3" fontId="47" fillId="14" borderId="19" xfId="0" applyNumberFormat="1" applyFont="1" applyFill="1" applyBorder="1" applyAlignment="1">
      <alignment vertical="center"/>
    </xf>
    <xf numFmtId="3" fontId="47" fillId="14" borderId="20" xfId="0" applyNumberFormat="1" applyFont="1" applyFill="1" applyBorder="1" applyAlignment="1">
      <alignment vertical="center"/>
    </xf>
    <xf numFmtId="0" fontId="39" fillId="14" borderId="4" xfId="0" applyFont="1" applyFill="1" applyBorder="1" applyAlignment="1" applyProtection="1">
      <alignment vertical="center" wrapText="1"/>
    </xf>
    <xf numFmtId="3" fontId="47" fillId="14" borderId="5" xfId="0" applyNumberFormat="1" applyFont="1" applyFill="1" applyBorder="1" applyAlignment="1">
      <alignment vertical="center"/>
    </xf>
    <xf numFmtId="3" fontId="47" fillId="14" borderId="23" xfId="0" applyNumberFormat="1" applyFont="1" applyFill="1" applyBorder="1" applyAlignment="1">
      <alignment vertical="center"/>
    </xf>
    <xf numFmtId="3" fontId="47" fillId="14" borderId="24" xfId="0" applyNumberFormat="1" applyFont="1" applyFill="1" applyBorder="1" applyAlignment="1">
      <alignment vertical="center"/>
    </xf>
    <xf numFmtId="3" fontId="47" fillId="14" borderId="28" xfId="0" applyNumberFormat="1" applyFont="1" applyFill="1" applyBorder="1" applyAlignment="1">
      <alignment vertical="center"/>
    </xf>
    <xf numFmtId="3" fontId="47" fillId="4" borderId="19" xfId="0" applyNumberFormat="1" applyFont="1" applyFill="1" applyBorder="1" applyAlignment="1">
      <alignment vertical="center"/>
    </xf>
    <xf numFmtId="3" fontId="47" fillId="4" borderId="20" xfId="0" applyNumberFormat="1" applyFont="1" applyFill="1" applyBorder="1" applyAlignment="1">
      <alignment vertical="center"/>
    </xf>
    <xf numFmtId="3" fontId="47" fillId="4" borderId="23" xfId="0" applyNumberFormat="1" applyFont="1" applyFill="1" applyBorder="1" applyAlignment="1">
      <alignment vertical="center"/>
    </xf>
    <xf numFmtId="3" fontId="47" fillId="4" borderId="28" xfId="0" applyNumberFormat="1" applyFont="1" applyFill="1" applyBorder="1" applyAlignment="1">
      <alignment vertical="center"/>
    </xf>
    <xf numFmtId="0" fontId="0" fillId="0" borderId="0" xfId="0" applyFill="1" applyAlignment="1">
      <alignment horizontal="left" vertical="center"/>
    </xf>
    <xf numFmtId="0" fontId="0" fillId="0" borderId="0" xfId="0" applyFill="1" applyAlignment="1">
      <alignment horizontal="left" wrapText="1"/>
    </xf>
    <xf numFmtId="0" fontId="37" fillId="0" borderId="0" xfId="0" applyFont="1" applyFill="1" applyAlignment="1">
      <alignment horizontal="left" vertical="center"/>
    </xf>
    <xf numFmtId="0" fontId="7" fillId="0" borderId="0" xfId="0" applyFont="1" applyFill="1" applyAlignment="1">
      <alignment horizontal="left"/>
    </xf>
    <xf numFmtId="0" fontId="0" fillId="0" borderId="47" xfId="0" applyFill="1" applyBorder="1"/>
    <xf numFmtId="0" fontId="0" fillId="0" borderId="14" xfId="0" applyFill="1" applyBorder="1"/>
    <xf numFmtId="0" fontId="0" fillId="0" borderId="6" xfId="0" applyFill="1" applyBorder="1"/>
    <xf numFmtId="0" fontId="0" fillId="0" borderId="17" xfId="0" applyFill="1" applyBorder="1"/>
    <xf numFmtId="0" fontId="0" fillId="0" borderId="7" xfId="0" applyFill="1" applyBorder="1"/>
    <xf numFmtId="0" fontId="0" fillId="0" borderId="17" xfId="0" applyFill="1" applyBorder="1" applyAlignment="1">
      <alignment horizontal="left"/>
    </xf>
    <xf numFmtId="0" fontId="0" fillId="0" borderId="0" xfId="0" applyFill="1" applyAlignment="1">
      <alignment horizontal="left"/>
    </xf>
    <xf numFmtId="0" fontId="0" fillId="0" borderId="7" xfId="0" applyFill="1" applyBorder="1" applyAlignment="1">
      <alignment horizontal="left"/>
    </xf>
    <xf numFmtId="0" fontId="0" fillId="0" borderId="3" xfId="0" applyFill="1" applyBorder="1" applyAlignment="1">
      <alignment horizontal="left"/>
    </xf>
    <xf numFmtId="0" fontId="0" fillId="0" borderId="15" xfId="0" applyFill="1" applyBorder="1" applyAlignment="1">
      <alignment horizontal="left"/>
    </xf>
    <xf numFmtId="0" fontId="0" fillId="0" borderId="1" xfId="0" applyFill="1" applyBorder="1" applyAlignment="1">
      <alignment horizontal="left"/>
    </xf>
    <xf numFmtId="0" fontId="0" fillId="0" borderId="46" xfId="0" applyFill="1" applyBorder="1" applyAlignment="1">
      <alignment horizontal="left"/>
    </xf>
    <xf numFmtId="0" fontId="0" fillId="0" borderId="107" xfId="0" applyFill="1" applyBorder="1" applyAlignment="1">
      <alignment horizontal="left"/>
    </xf>
    <xf numFmtId="0" fontId="13" fillId="0" borderId="0" xfId="0" applyFont="1" applyFill="1" applyAlignment="1">
      <alignment horizontal="left"/>
    </xf>
    <xf numFmtId="0" fontId="13" fillId="0" borderId="7" xfId="0" applyFont="1" applyFill="1" applyBorder="1" applyAlignment="1">
      <alignment horizontal="left"/>
    </xf>
    <xf numFmtId="0" fontId="0" fillId="0" borderId="46" xfId="0" applyFill="1" applyBorder="1"/>
    <xf numFmtId="0" fontId="0" fillId="0" borderId="107" xfId="0" applyFill="1" applyBorder="1"/>
    <xf numFmtId="1" fontId="0" fillId="4" borderId="5" xfId="0" applyNumberFormat="1" applyFill="1" applyBorder="1"/>
    <xf numFmtId="2" fontId="0" fillId="4" borderId="5" xfId="0" applyNumberFormat="1" applyFill="1" applyBorder="1"/>
    <xf numFmtId="10" fontId="67" fillId="4" borderId="5" xfId="8" applyNumberFormat="1" applyFont="1" applyFill="1" applyBorder="1" applyAlignment="1">
      <alignment horizontal="center" vertical="center"/>
    </xf>
    <xf numFmtId="0" fontId="48" fillId="0" borderId="0" xfId="15" applyAlignment="1">
      <alignment horizontal="center"/>
    </xf>
    <xf numFmtId="0" fontId="95" fillId="0" borderId="0" xfId="0" applyFont="1" applyAlignment="1">
      <alignment vertical="top"/>
    </xf>
    <xf numFmtId="0" fontId="28" fillId="3" borderId="0" xfId="0" applyFont="1" applyFill="1" applyAlignment="1">
      <alignment horizontal="left" vertical="center" indent="1"/>
    </xf>
    <xf numFmtId="0" fontId="64" fillId="0" borderId="0" xfId="0" applyFont="1"/>
    <xf numFmtId="37" fontId="14" fillId="0" borderId="0" xfId="1" applyNumberFormat="1" applyFont="1" applyFill="1" applyAlignment="1" applyProtection="1">
      <alignment horizontal="center" vertical="center" wrapText="1"/>
    </xf>
    <xf numFmtId="0" fontId="6" fillId="19" borderId="44" xfId="0" applyFont="1" applyFill="1" applyBorder="1" applyAlignment="1">
      <alignment vertical="top" wrapText="1"/>
    </xf>
    <xf numFmtId="0" fontId="47" fillId="4" borderId="2" xfId="0" applyFont="1" applyFill="1" applyBorder="1" applyAlignment="1">
      <alignment vertical="center" wrapText="1"/>
    </xf>
    <xf numFmtId="2" fontId="0" fillId="28" borderId="29" xfId="0" applyNumberFormat="1" applyFill="1" applyBorder="1" applyAlignment="1" applyProtection="1">
      <alignment horizontal="center" vertical="center"/>
      <protection locked="0"/>
    </xf>
    <xf numFmtId="2" fontId="0" fillId="28" borderId="24" xfId="0" applyNumberFormat="1" applyFill="1" applyBorder="1" applyAlignment="1" applyProtection="1">
      <alignment horizontal="center" vertical="center"/>
      <protection locked="0"/>
    </xf>
    <xf numFmtId="0" fontId="47" fillId="14" borderId="33" xfId="0" applyFont="1" applyFill="1" applyBorder="1" applyAlignment="1">
      <alignment vertical="center" wrapText="1"/>
    </xf>
    <xf numFmtId="0" fontId="47" fillId="14" borderId="4" xfId="0" applyFont="1" applyFill="1" applyBorder="1" applyAlignment="1">
      <alignment vertical="center" wrapText="1"/>
    </xf>
    <xf numFmtId="0" fontId="47" fillId="14" borderId="26" xfId="0" applyFont="1" applyFill="1" applyBorder="1" applyAlignment="1">
      <alignment vertical="center" wrapText="1"/>
    </xf>
    <xf numFmtId="0" fontId="47" fillId="4" borderId="33" xfId="0" applyFont="1" applyFill="1" applyBorder="1" applyAlignment="1">
      <alignment vertical="center" wrapText="1"/>
    </xf>
    <xf numFmtId="0" fontId="47" fillId="4" borderId="4" xfId="0" applyFont="1" applyFill="1" applyBorder="1" applyAlignment="1">
      <alignment vertical="center" wrapText="1"/>
    </xf>
    <xf numFmtId="0" fontId="47" fillId="4" borderId="26" xfId="0" applyFont="1" applyFill="1" applyBorder="1" applyAlignment="1">
      <alignment vertical="center" wrapText="1"/>
    </xf>
    <xf numFmtId="0" fontId="47" fillId="14" borderId="33" xfId="0" applyFont="1" applyFill="1" applyBorder="1" applyAlignment="1">
      <alignment horizontal="center" vertical="center"/>
    </xf>
    <xf numFmtId="0" fontId="47" fillId="14" borderId="4" xfId="0" applyFont="1" applyFill="1" applyBorder="1" applyAlignment="1">
      <alignment horizontal="center" vertical="center"/>
    </xf>
    <xf numFmtId="0" fontId="47" fillId="14" borderId="26" xfId="0" applyFont="1" applyFill="1" applyBorder="1" applyAlignment="1">
      <alignment horizontal="center" vertical="center"/>
    </xf>
    <xf numFmtId="0" fontId="47" fillId="4" borderId="33" xfId="0" applyFont="1" applyFill="1" applyBorder="1" applyAlignment="1">
      <alignment horizontal="center" vertical="center"/>
    </xf>
    <xf numFmtId="0" fontId="47" fillId="4" borderId="4" xfId="0" applyFont="1" applyFill="1" applyBorder="1" applyAlignment="1">
      <alignment horizontal="center" vertical="center"/>
    </xf>
    <xf numFmtId="0" fontId="47" fillId="4" borderId="26" xfId="0" applyFont="1" applyFill="1" applyBorder="1" applyAlignment="1">
      <alignment horizontal="center" vertical="center"/>
    </xf>
    <xf numFmtId="171" fontId="14" fillId="0" borderId="0" xfId="8"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xf>
    <xf numFmtId="37" fontId="14" fillId="0" borderId="0" xfId="1" applyNumberFormat="1" applyFont="1" applyFill="1" applyBorder="1" applyAlignment="1" applyProtection="1">
      <alignment horizontal="center" vertical="center" wrapText="1"/>
    </xf>
    <xf numFmtId="0" fontId="100" fillId="22" borderId="0" xfId="0" applyFont="1" applyFill="1" applyProtection="1"/>
    <xf numFmtId="0" fontId="100" fillId="0" borderId="0" xfId="0" applyFont="1" applyFill="1" applyProtection="1"/>
    <xf numFmtId="0" fontId="80" fillId="0" borderId="0" xfId="0" applyFont="1" applyAlignment="1" applyProtection="1">
      <alignment vertical="center" wrapText="1"/>
    </xf>
    <xf numFmtId="0" fontId="100" fillId="0" borderId="0" xfId="0" applyFont="1" applyProtection="1"/>
    <xf numFmtId="0" fontId="100" fillId="0" borderId="0" xfId="0" applyFont="1" applyFill="1" applyBorder="1" applyProtection="1"/>
    <xf numFmtId="39" fontId="14" fillId="0" borderId="0" xfId="1" applyNumberFormat="1" applyFont="1" applyFill="1" applyBorder="1" applyAlignment="1" applyProtection="1">
      <alignment horizontal="center" vertical="center" wrapText="1"/>
    </xf>
    <xf numFmtId="0" fontId="14" fillId="22" borderId="0" xfId="0" applyFont="1" applyFill="1" applyProtection="1"/>
    <xf numFmtId="0" fontId="14" fillId="0" borderId="0" xfId="0" applyFont="1" applyFill="1" applyAlignment="1" applyProtection="1">
      <alignment vertical="center"/>
    </xf>
    <xf numFmtId="164" fontId="14" fillId="0" borderId="0" xfId="1" applyNumberFormat="1" applyFont="1" applyFill="1" applyBorder="1" applyProtection="1"/>
    <xf numFmtId="0" fontId="28" fillId="3" borderId="0" xfId="0" applyFont="1" applyFill="1" applyAlignment="1" applyProtection="1">
      <alignment horizontal="left" vertical="center" indent="13"/>
    </xf>
    <xf numFmtId="0" fontId="14" fillId="5" borderId="0" xfId="0" applyFont="1" applyFill="1"/>
    <xf numFmtId="0" fontId="58" fillId="0" borderId="17" xfId="0" applyFont="1" applyFill="1" applyBorder="1" applyAlignment="1">
      <alignment horizontal="left" vertical="center" indent="1"/>
    </xf>
    <xf numFmtId="0" fontId="58" fillId="0" borderId="0" xfId="0" applyFont="1" applyFill="1" applyAlignment="1">
      <alignment horizontal="left" vertical="center" wrapText="1"/>
    </xf>
    <xf numFmtId="0" fontId="58" fillId="0" borderId="0" xfId="0" applyFont="1" applyFill="1" applyBorder="1" applyAlignment="1">
      <alignment horizontal="left" indent="1"/>
    </xf>
    <xf numFmtId="37" fontId="97" fillId="0" borderId="0" xfId="1" applyNumberFormat="1" applyFont="1" applyFill="1" applyBorder="1" applyAlignment="1">
      <alignment horizontal="center" vertical="center"/>
    </xf>
    <xf numFmtId="0" fontId="7" fillId="0" borderId="0" xfId="5" applyFont="1" applyFill="1" applyBorder="1" applyAlignment="1" applyProtection="1">
      <alignment horizontal="center" vertical="center" wrapText="1"/>
    </xf>
    <xf numFmtId="0" fontId="14" fillId="0" borderId="0" xfId="0" applyFont="1" applyProtection="1">
      <protection locked="0"/>
    </xf>
    <xf numFmtId="0" fontId="14" fillId="0" borderId="0" xfId="0" applyFont="1" applyFill="1" applyProtection="1">
      <protection locked="0"/>
    </xf>
    <xf numFmtId="1" fontId="14" fillId="0" borderId="0" xfId="0" applyNumberFormat="1" applyFont="1" applyProtection="1">
      <protection locked="0"/>
    </xf>
    <xf numFmtId="1" fontId="0" fillId="8" borderId="5" xfId="0" applyNumberFormat="1" applyFill="1" applyBorder="1" applyProtection="1">
      <protection locked="0"/>
    </xf>
    <xf numFmtId="2" fontId="0" fillId="0" borderId="5" xfId="0" applyNumberFormat="1" applyBorder="1" applyProtection="1">
      <protection locked="0"/>
    </xf>
    <xf numFmtId="0" fontId="14" fillId="0" borderId="0" xfId="0" applyFont="1" applyAlignment="1" applyProtection="1">
      <alignment horizontal="center" vertical="center"/>
      <protection locked="0"/>
    </xf>
    <xf numFmtId="1" fontId="0" fillId="0" borderId="18" xfId="0" applyNumberFormat="1" applyBorder="1" applyAlignment="1">
      <alignment horizontal="right"/>
    </xf>
    <xf numFmtId="0" fontId="0" fillId="0" borderId="19" xfId="0" applyBorder="1" applyAlignment="1">
      <alignment horizontal="center" wrapText="1"/>
    </xf>
    <xf numFmtId="2" fontId="0" fillId="0" borderId="19" xfId="0" applyNumberFormat="1" applyBorder="1" applyAlignment="1">
      <alignment horizontal="center" wrapText="1"/>
    </xf>
    <xf numFmtId="1" fontId="0" fillId="0" borderId="19" xfId="0" applyNumberFormat="1" applyBorder="1" applyAlignment="1">
      <alignment horizontal="center" wrapText="1"/>
    </xf>
    <xf numFmtId="1" fontId="0" fillId="0" borderId="20" xfId="0" applyNumberFormat="1" applyBorder="1" applyAlignment="1">
      <alignment horizontal="center" wrapText="1"/>
    </xf>
    <xf numFmtId="1" fontId="0" fillId="0" borderId="32" xfId="0" applyNumberFormat="1" applyBorder="1"/>
    <xf numFmtId="2" fontId="0" fillId="4" borderId="23" xfId="0" applyNumberFormat="1" applyFill="1" applyBorder="1"/>
    <xf numFmtId="1" fontId="0" fillId="0" borderId="29" xfId="0" applyNumberFormat="1" applyBorder="1"/>
    <xf numFmtId="1" fontId="0" fillId="8" borderId="24" xfId="0" applyNumberFormat="1" applyFill="1" applyBorder="1" applyProtection="1">
      <protection locked="0"/>
    </xf>
    <xf numFmtId="2" fontId="0" fillId="0" borderId="24" xfId="0" applyNumberFormat="1" applyBorder="1" applyProtection="1">
      <protection locked="0"/>
    </xf>
    <xf numFmtId="2" fontId="0" fillId="4" borderId="24" xfId="0" applyNumberFormat="1" applyFill="1" applyBorder="1"/>
    <xf numFmtId="2" fontId="0" fillId="4" borderId="28" xfId="0" applyNumberFormat="1" applyFill="1" applyBorder="1"/>
    <xf numFmtId="0" fontId="0" fillId="4" borderId="19" xfId="0" applyFill="1" applyBorder="1" applyProtection="1"/>
    <xf numFmtId="0" fontId="0" fillId="4" borderId="5" xfId="0" applyFill="1" applyBorder="1" applyProtection="1"/>
    <xf numFmtId="0" fontId="0" fillId="4" borderId="24" xfId="0" applyFill="1" applyBorder="1" applyProtection="1"/>
    <xf numFmtId="0" fontId="0" fillId="4" borderId="19" xfId="0" applyFill="1" applyBorder="1" applyAlignment="1" applyProtection="1">
      <alignment vertical="center" wrapText="1"/>
    </xf>
    <xf numFmtId="0" fontId="0" fillId="4" borderId="5" xfId="0" applyFill="1" applyBorder="1" applyAlignment="1" applyProtection="1">
      <alignment vertical="center"/>
    </xf>
    <xf numFmtId="0" fontId="0" fillId="4" borderId="24" xfId="0" applyFill="1" applyBorder="1" applyAlignment="1" applyProtection="1">
      <alignment vertical="center"/>
    </xf>
    <xf numFmtId="3" fontId="0" fillId="0" borderId="12" xfId="0" applyNumberFormat="1" applyBorder="1"/>
    <xf numFmtId="3" fontId="0" fillId="0" borderId="65" xfId="0" applyNumberFormat="1" applyBorder="1"/>
    <xf numFmtId="0" fontId="0" fillId="0" borderId="68" xfId="0" applyBorder="1"/>
    <xf numFmtId="164" fontId="0" fillId="8" borderId="64" xfId="1" applyNumberFormat="1" applyFont="1" applyFill="1" applyBorder="1" applyProtection="1">
      <protection locked="0"/>
    </xf>
    <xf numFmtId="2" fontId="0" fillId="14" borderId="0" xfId="0" applyNumberFormat="1" applyFill="1"/>
    <xf numFmtId="10" fontId="0" fillId="14" borderId="0" xfId="8" applyNumberFormat="1" applyFont="1" applyFill="1"/>
    <xf numFmtId="1" fontId="0" fillId="4" borderId="5" xfId="0" applyNumberFormat="1" applyFill="1" applyBorder="1" applyAlignment="1" applyProtection="1">
      <alignment horizontal="center" vertical="center"/>
    </xf>
    <xf numFmtId="43" fontId="47" fillId="4" borderId="20" xfId="1" applyFont="1" applyFill="1" applyBorder="1" applyAlignment="1">
      <alignment vertical="top"/>
    </xf>
    <xf numFmtId="43" fontId="47" fillId="4" borderId="9" xfId="16" applyNumberFormat="1" applyFont="1" applyFill="1" applyBorder="1">
      <alignment vertical="top"/>
    </xf>
    <xf numFmtId="43" fontId="47" fillId="4" borderId="23" xfId="1" applyFont="1" applyFill="1" applyBorder="1" applyAlignment="1">
      <alignment vertical="top"/>
    </xf>
    <xf numFmtId="43" fontId="47" fillId="4" borderId="28" xfId="1" applyFont="1" applyFill="1" applyBorder="1" applyAlignment="1">
      <alignment vertical="top"/>
    </xf>
    <xf numFmtId="0" fontId="21" fillId="9" borderId="0" xfId="0" applyFont="1" applyFill="1" applyProtection="1"/>
    <xf numFmtId="0" fontId="7" fillId="0" borderId="12" xfId="0" applyFont="1" applyBorder="1" applyProtection="1"/>
    <xf numFmtId="0" fontId="48" fillId="0" borderId="13" xfId="15" applyBorder="1" applyProtection="1"/>
    <xf numFmtId="0" fontId="0" fillId="0" borderId="13" xfId="0" applyBorder="1" applyProtection="1"/>
    <xf numFmtId="0" fontId="0" fillId="0" borderId="62" xfId="0" applyBorder="1" applyProtection="1"/>
    <xf numFmtId="0" fontId="0" fillId="0" borderId="10" xfId="0" applyBorder="1" applyProtection="1"/>
    <xf numFmtId="0" fontId="48" fillId="0" borderId="0" xfId="15" applyBorder="1" applyProtection="1"/>
    <xf numFmtId="0" fontId="0" fillId="0" borderId="65" xfId="0" applyBorder="1" applyProtection="1"/>
    <xf numFmtId="0" fontId="48" fillId="0" borderId="46" xfId="15" applyBorder="1" applyProtection="1"/>
    <xf numFmtId="0" fontId="7" fillId="11" borderId="0" xfId="0" applyFont="1" applyFill="1" applyProtection="1"/>
    <xf numFmtId="0" fontId="0" fillId="11" borderId="0" xfId="0" applyFill="1" applyProtection="1"/>
    <xf numFmtId="0" fontId="11" fillId="11" borderId="0" xfId="5" applyFont="1" applyFill="1" applyBorder="1" applyAlignment="1" applyProtection="1">
      <alignment vertical="center"/>
    </xf>
    <xf numFmtId="0" fontId="11" fillId="11" borderId="0" xfId="5" applyFont="1" applyFill="1" applyBorder="1" applyAlignment="1" applyProtection="1">
      <alignment horizontal="center" vertical="center" wrapText="1"/>
    </xf>
    <xf numFmtId="0" fontId="0" fillId="0" borderId="0" xfId="0" applyFont="1" applyFill="1" applyProtection="1"/>
    <xf numFmtId="0" fontId="11" fillId="0" borderId="0" xfId="5" applyFont="1" applyFill="1" applyBorder="1" applyAlignment="1" applyProtection="1">
      <alignment vertical="center"/>
    </xf>
    <xf numFmtId="0" fontId="11" fillId="0" borderId="0" xfId="5" applyFont="1" applyFill="1" applyBorder="1" applyAlignment="1" applyProtection="1">
      <alignment horizontal="center" vertical="center" wrapText="1"/>
    </xf>
    <xf numFmtId="0" fontId="7" fillId="0" borderId="15" xfId="0" applyFont="1" applyBorder="1" applyProtection="1"/>
    <xf numFmtId="0" fontId="0" fillId="0" borderId="15" xfId="0" applyBorder="1" applyProtection="1"/>
    <xf numFmtId="164" fontId="0" fillId="0" borderId="0" xfId="1" applyNumberFormat="1" applyFont="1" applyFill="1" applyProtection="1"/>
    <xf numFmtId="0" fontId="20" fillId="0" borderId="0" xfId="0" applyFont="1" applyProtection="1"/>
    <xf numFmtId="164" fontId="0" fillId="4" borderId="0" xfId="1" applyNumberFormat="1" applyFont="1" applyFill="1" applyProtection="1"/>
    <xf numFmtId="164" fontId="0" fillId="4" borderId="27" xfId="1" applyNumberFormat="1" applyFont="1" applyFill="1" applyBorder="1" applyProtection="1"/>
    <xf numFmtId="164" fontId="0" fillId="4" borderId="5" xfId="1" applyNumberFormat="1" applyFont="1" applyFill="1" applyBorder="1" applyProtection="1"/>
    <xf numFmtId="9" fontId="0" fillId="0" borderId="0" xfId="8" applyFont="1" applyProtection="1"/>
    <xf numFmtId="43" fontId="0" fillId="4" borderId="5" xfId="0" applyNumberFormat="1" applyFill="1" applyBorder="1" applyProtection="1"/>
    <xf numFmtId="164" fontId="0" fillId="4" borderId="5" xfId="0" applyNumberFormat="1" applyFill="1" applyBorder="1" applyProtection="1"/>
    <xf numFmtId="0" fontId="1" fillId="0" borderId="0" xfId="13" applyProtection="1"/>
    <xf numFmtId="9" fontId="0" fillId="4" borderId="5" xfId="8" applyFont="1" applyFill="1" applyBorder="1" applyAlignment="1" applyProtection="1">
      <alignment horizontal="center" vertical="center"/>
    </xf>
    <xf numFmtId="9" fontId="1" fillId="4" borderId="5" xfId="13" applyNumberFormat="1" applyFill="1" applyBorder="1" applyAlignment="1" applyProtection="1">
      <alignment horizontal="center"/>
    </xf>
    <xf numFmtId="9" fontId="1" fillId="0" borderId="0" xfId="13" applyNumberFormat="1" applyBorder="1" applyAlignment="1" applyProtection="1">
      <alignment horizontal="center"/>
    </xf>
    <xf numFmtId="0" fontId="1" fillId="0" borderId="0" xfId="13" applyFill="1" applyBorder="1" applyProtection="1"/>
    <xf numFmtId="2" fontId="0" fillId="4" borderId="5" xfId="1" applyNumberFormat="1" applyFont="1" applyFill="1" applyBorder="1" applyAlignment="1" applyProtection="1">
      <alignment horizontal="center"/>
    </xf>
    <xf numFmtId="0" fontId="1" fillId="0" borderId="0" xfId="13" applyAlignment="1" applyProtection="1">
      <alignment wrapText="1"/>
    </xf>
    <xf numFmtId="0" fontId="0" fillId="9" borderId="0" xfId="0" applyFill="1" applyProtection="1"/>
    <xf numFmtId="164" fontId="2" fillId="4" borderId="5" xfId="1" applyNumberFormat="1" applyFont="1" applyFill="1" applyBorder="1" applyProtection="1"/>
    <xf numFmtId="0" fontId="7" fillId="0" borderId="15" xfId="0" applyFont="1" applyFill="1" applyBorder="1" applyProtection="1"/>
    <xf numFmtId="0" fontId="7" fillId="0" borderId="0" xfId="0" applyFont="1" applyFill="1" applyProtection="1"/>
    <xf numFmtId="164" fontId="0" fillId="4" borderId="5" xfId="1" applyNumberFormat="1" applyFont="1" applyFill="1" applyBorder="1" applyAlignment="1" applyProtection="1">
      <alignment vertical="center"/>
    </xf>
    <xf numFmtId="164" fontId="0" fillId="4" borderId="0" xfId="0" applyNumberFormat="1" applyFill="1" applyProtection="1"/>
    <xf numFmtId="164" fontId="0" fillId="4" borderId="27" xfId="0" applyNumberFormat="1" applyFill="1" applyBorder="1" applyProtection="1"/>
    <xf numFmtId="164" fontId="0" fillId="0" borderId="0" xfId="0" applyNumberFormat="1" applyFill="1" applyBorder="1" applyProtection="1"/>
    <xf numFmtId="0" fontId="25" fillId="0" borderId="0" xfId="11" applyProtection="1"/>
    <xf numFmtId="0" fontId="26" fillId="0" borderId="0" xfId="11" applyFont="1" applyProtection="1"/>
    <xf numFmtId="164" fontId="0" fillId="4" borderId="44" xfId="12" applyNumberFormat="1" applyFont="1" applyFill="1" applyBorder="1" applyProtection="1"/>
    <xf numFmtId="0" fontId="25" fillId="0" borderId="0" xfId="11" applyAlignment="1" applyProtection="1">
      <alignment horizontal="center"/>
    </xf>
    <xf numFmtId="0" fontId="26" fillId="0" borderId="0" xfId="11" applyFont="1" applyFill="1" applyBorder="1" applyProtection="1"/>
    <xf numFmtId="0" fontId="25" fillId="0" borderId="0" xfId="11" applyFill="1" applyBorder="1" applyProtection="1"/>
    <xf numFmtId="0" fontId="12" fillId="0" borderId="0" xfId="11" applyFont="1" applyProtection="1"/>
    <xf numFmtId="0" fontId="26" fillId="0" borderId="15" xfId="11" applyFont="1" applyBorder="1" applyProtection="1"/>
    <xf numFmtId="0" fontId="25" fillId="0" borderId="15" xfId="11" applyBorder="1" applyProtection="1"/>
    <xf numFmtId="164" fontId="25" fillId="0" borderId="0" xfId="11" applyNumberFormat="1" applyProtection="1"/>
    <xf numFmtId="0" fontId="25" fillId="8" borderId="5" xfId="11" applyFill="1" applyBorder="1" applyProtection="1"/>
    <xf numFmtId="0" fontId="25" fillId="0" borderId="0" xfId="11" applyFill="1" applyBorder="1" applyAlignment="1" applyProtection="1">
      <alignment horizontal="center"/>
    </xf>
    <xf numFmtId="0" fontId="12" fillId="0" borderId="0" xfId="11" applyFont="1" applyFill="1" applyBorder="1" applyProtection="1"/>
    <xf numFmtId="166" fontId="25" fillId="8" borderId="5" xfId="11" applyNumberFormat="1" applyFill="1" applyBorder="1" applyProtection="1"/>
    <xf numFmtId="164" fontId="25" fillId="0" borderId="0" xfId="11" applyNumberFormat="1" applyFill="1" applyBorder="1" applyProtection="1"/>
    <xf numFmtId="43" fontId="25" fillId="0" borderId="0" xfId="11" applyNumberFormat="1" applyFill="1" applyBorder="1" applyProtection="1"/>
    <xf numFmtId="167" fontId="25" fillId="0" borderId="0" xfId="11" applyNumberFormat="1" applyProtection="1"/>
    <xf numFmtId="167" fontId="25" fillId="0" borderId="0" xfId="11" applyNumberFormat="1" applyFill="1" applyBorder="1" applyProtection="1"/>
    <xf numFmtId="0" fontId="25" fillId="4" borderId="5" xfId="11" applyFill="1" applyBorder="1" applyAlignment="1" applyProtection="1">
      <alignment wrapText="1"/>
    </xf>
    <xf numFmtId="0" fontId="12" fillId="4" borderId="0" xfId="11" applyFont="1" applyFill="1" applyAlignment="1" applyProtection="1">
      <alignment wrapText="1"/>
    </xf>
    <xf numFmtId="164" fontId="25" fillId="4" borderId="5" xfId="11" applyNumberFormat="1" applyFill="1" applyBorder="1" applyProtection="1"/>
    <xf numFmtId="0" fontId="12" fillId="4" borderId="0" xfId="11" applyFont="1" applyFill="1" applyAlignment="1" applyProtection="1">
      <alignment horizontal="center"/>
    </xf>
    <xf numFmtId="0" fontId="12" fillId="4" borderId="5" xfId="11" applyFont="1" applyFill="1" applyBorder="1" applyProtection="1"/>
    <xf numFmtId="166" fontId="12" fillId="4" borderId="5" xfId="20" applyNumberFormat="1" applyFont="1" applyFill="1" applyBorder="1" applyProtection="1"/>
    <xf numFmtId="0" fontId="12" fillId="0" borderId="0" xfId="11" applyFont="1" applyFill="1" applyProtection="1"/>
    <xf numFmtId="166" fontId="12" fillId="0" borderId="0" xfId="20" applyNumberFormat="1" applyFont="1" applyFill="1" applyProtection="1"/>
    <xf numFmtId="0" fontId="25" fillId="0" borderId="0" xfId="11" applyFill="1" applyProtection="1"/>
    <xf numFmtId="167" fontId="25" fillId="0" borderId="0" xfId="11" applyNumberFormat="1" applyFill="1" applyProtection="1"/>
    <xf numFmtId="0" fontId="26" fillId="0" borderId="0" xfId="11" applyFont="1" applyBorder="1" applyProtection="1"/>
    <xf numFmtId="9" fontId="25" fillId="8" borderId="5" xfId="11" applyNumberFormat="1" applyFill="1" applyBorder="1" applyProtection="1"/>
    <xf numFmtId="167" fontId="12" fillId="0" borderId="0" xfId="11" applyNumberFormat="1" applyFont="1" applyFill="1" applyBorder="1" applyProtection="1"/>
    <xf numFmtId="9" fontId="12" fillId="8" borderId="5" xfId="11" applyNumberFormat="1" applyFont="1" applyFill="1" applyBorder="1" applyProtection="1"/>
    <xf numFmtId="9" fontId="25" fillId="4" borderId="5" xfId="11" applyNumberFormat="1" applyFill="1" applyBorder="1" applyProtection="1"/>
    <xf numFmtId="0" fontId="25" fillId="0" borderId="0" xfId="11" applyBorder="1" applyProtection="1"/>
    <xf numFmtId="167" fontId="104" fillId="0" borderId="0" xfId="11" applyNumberFormat="1" applyFont="1" applyFill="1" applyBorder="1" applyProtection="1"/>
    <xf numFmtId="164" fontId="25" fillId="4" borderId="5" xfId="1" applyNumberFormat="1" applyFont="1" applyFill="1" applyBorder="1" applyProtection="1"/>
    <xf numFmtId="0" fontId="40" fillId="0" borderId="0" xfId="11" quotePrefix="1" applyFont="1" applyProtection="1"/>
    <xf numFmtId="0" fontId="12" fillId="0" borderId="0" xfId="11" applyFont="1" applyBorder="1" applyProtection="1"/>
    <xf numFmtId="2" fontId="25" fillId="4" borderId="5" xfId="11" applyNumberFormat="1" applyFill="1" applyBorder="1" applyProtection="1"/>
    <xf numFmtId="0" fontId="12" fillId="0" borderId="0" xfId="11" applyFont="1" applyAlignment="1" applyProtection="1">
      <alignment wrapText="1"/>
    </xf>
    <xf numFmtId="43" fontId="25" fillId="4" borderId="5" xfId="11" applyNumberFormat="1" applyFill="1" applyBorder="1" applyProtection="1"/>
    <xf numFmtId="39" fontId="25" fillId="4" borderId="5" xfId="11" applyNumberFormat="1" applyFill="1" applyBorder="1" applyProtection="1"/>
    <xf numFmtId="0" fontId="108" fillId="0" borderId="0" xfId="11" applyFont="1" applyProtection="1"/>
    <xf numFmtId="0" fontId="108" fillId="0" borderId="0" xfId="11" applyFont="1" applyAlignment="1" applyProtection="1">
      <alignment vertical="center"/>
    </xf>
    <xf numFmtId="43" fontId="25" fillId="0" borderId="0" xfId="11" applyNumberFormat="1" applyProtection="1"/>
    <xf numFmtId="0" fontId="7" fillId="14" borderId="0" xfId="0" applyFont="1" applyFill="1" applyProtection="1"/>
    <xf numFmtId="0" fontId="0" fillId="14" borderId="0" xfId="0" applyFill="1" applyProtection="1"/>
    <xf numFmtId="0" fontId="7" fillId="22" borderId="0" xfId="0" applyFont="1" applyFill="1" applyProtection="1"/>
    <xf numFmtId="0" fontId="0" fillId="22" borderId="0" xfId="0" applyFill="1" applyProtection="1"/>
    <xf numFmtId="0" fontId="22" fillId="0" borderId="0" xfId="0" applyFont="1" applyProtection="1"/>
    <xf numFmtId="9" fontId="0" fillId="8" borderId="5" xfId="0" applyNumberFormat="1" applyFill="1" applyBorder="1" applyProtection="1"/>
    <xf numFmtId="0" fontId="0" fillId="8" borderId="5" xfId="0" applyFill="1" applyBorder="1" applyProtection="1"/>
    <xf numFmtId="0" fontId="7" fillId="0" borderId="37" xfId="0" applyFont="1" applyBorder="1" applyAlignment="1" applyProtection="1">
      <alignment horizontal="left" vertical="center"/>
    </xf>
    <xf numFmtId="0" fontId="7" fillId="0" borderId="37" xfId="0" applyFont="1" applyBorder="1" applyAlignment="1" applyProtection="1">
      <alignment horizontal="center"/>
    </xf>
    <xf numFmtId="0" fontId="22" fillId="0" borderId="0" xfId="0" applyFont="1" applyAlignment="1" applyProtection="1">
      <alignment horizontal="center" vertical="top"/>
    </xf>
    <xf numFmtId="0" fontId="22" fillId="0" borderId="0" xfId="0" applyFont="1" applyFill="1" applyAlignment="1" applyProtection="1">
      <alignment vertical="top"/>
    </xf>
    <xf numFmtId="0" fontId="20" fillId="0" borderId="0" xfId="0" applyFont="1" applyBorder="1" applyProtection="1"/>
    <xf numFmtId="0" fontId="7" fillId="0" borderId="5" xfId="0" applyFont="1" applyBorder="1" applyAlignment="1" applyProtection="1">
      <alignment horizontal="center"/>
    </xf>
    <xf numFmtId="0" fontId="7" fillId="0" borderId="5" xfId="0" applyFont="1" applyFill="1" applyBorder="1" applyAlignment="1" applyProtection="1">
      <alignment horizontal="center"/>
    </xf>
    <xf numFmtId="1" fontId="0" fillId="4" borderId="5" xfId="8" applyNumberFormat="1" applyFont="1" applyFill="1" applyBorder="1" applyAlignment="1" applyProtection="1">
      <alignment horizontal="center" vertical="center"/>
    </xf>
    <xf numFmtId="0" fontId="58" fillId="0" borderId="0" xfId="0" applyFont="1" applyFill="1" applyAlignment="1" applyProtection="1">
      <alignment horizontal="left" indent="1"/>
    </xf>
    <xf numFmtId="1" fontId="0" fillId="8" borderId="5" xfId="0" applyNumberFormat="1" applyFill="1" applyBorder="1" applyProtection="1"/>
    <xf numFmtId="0" fontId="69" fillId="5" borderId="0" xfId="0" applyFont="1" applyFill="1" applyProtection="1"/>
    <xf numFmtId="0" fontId="0" fillId="0" borderId="5" xfId="0" applyFont="1" applyFill="1" applyBorder="1" applyAlignment="1" applyProtection="1">
      <alignment vertical="center"/>
    </xf>
    <xf numFmtId="0" fontId="69" fillId="5" borderId="0" xfId="13" applyFont="1" applyFill="1" applyProtection="1"/>
    <xf numFmtId="0" fontId="7" fillId="0" borderId="0" xfId="0" applyFont="1" applyFill="1" applyBorder="1" applyAlignment="1" applyProtection="1">
      <alignment vertical="center"/>
    </xf>
    <xf numFmtId="0" fontId="66" fillId="0" borderId="0" xfId="0" applyFont="1" applyFill="1" applyProtection="1"/>
    <xf numFmtId="0" fontId="71" fillId="0" borderId="0" xfId="0" applyFont="1" applyFill="1" applyProtection="1"/>
    <xf numFmtId="0" fontId="37" fillId="0" borderId="0" xfId="0" applyFont="1" applyFill="1" applyProtection="1"/>
    <xf numFmtId="0" fontId="72" fillId="0" borderId="0" xfId="0" applyFont="1" applyFill="1" applyProtection="1"/>
    <xf numFmtId="0" fontId="0" fillId="0" borderId="5" xfId="0" applyBorder="1" applyProtection="1"/>
    <xf numFmtId="0" fontId="70" fillId="5" borderId="0" xfId="0" applyFont="1" applyFill="1" applyProtection="1"/>
    <xf numFmtId="0" fontId="16" fillId="5" borderId="0" xfId="0" applyFont="1" applyFill="1" applyBorder="1" applyProtection="1"/>
    <xf numFmtId="0" fontId="70" fillId="5" borderId="0" xfId="0" applyFont="1" applyFill="1" applyAlignment="1" applyProtection="1">
      <alignment horizontal="center" vertical="center"/>
    </xf>
    <xf numFmtId="0" fontId="0" fillId="5" borderId="0" xfId="0" applyFont="1" applyFill="1" applyProtection="1"/>
    <xf numFmtId="0" fontId="0" fillId="0" borderId="0" xfId="0" applyAlignment="1" applyProtection="1">
      <alignment horizontal="center"/>
    </xf>
    <xf numFmtId="0" fontId="0" fillId="5" borderId="0" xfId="0" applyFont="1" applyFill="1" applyAlignment="1" applyProtection="1">
      <alignment horizontal="left"/>
    </xf>
    <xf numFmtId="0" fontId="0" fillId="0" borderId="0" xfId="0" applyFont="1" applyBorder="1" applyAlignment="1" applyProtection="1">
      <alignment vertical="center"/>
    </xf>
    <xf numFmtId="0" fontId="68" fillId="5" borderId="0" xfId="0" applyFont="1" applyFill="1" applyAlignment="1" applyProtection="1">
      <alignment horizontal="center" vertical="center"/>
    </xf>
    <xf numFmtId="0" fontId="0" fillId="5" borderId="0" xfId="0" applyFont="1" applyFill="1" applyAlignment="1" applyProtection="1">
      <alignment horizontal="center" vertical="center"/>
    </xf>
    <xf numFmtId="1" fontId="68" fillId="5" borderId="0" xfId="0" applyNumberFormat="1" applyFont="1" applyFill="1" applyAlignment="1" applyProtection="1">
      <alignment horizontal="center" vertical="center"/>
    </xf>
    <xf numFmtId="1" fontId="0" fillId="5" borderId="0" xfId="0" applyNumberFormat="1" applyFont="1" applyFill="1" applyAlignment="1" applyProtection="1">
      <alignment horizontal="center" vertical="center"/>
    </xf>
    <xf numFmtId="0" fontId="13" fillId="5" borderId="0" xfId="0" applyFont="1" applyFill="1" applyProtection="1"/>
    <xf numFmtId="0" fontId="68" fillId="5" borderId="0" xfId="0" applyFont="1" applyFill="1" applyAlignment="1" applyProtection="1">
      <alignment horizontal="left"/>
    </xf>
    <xf numFmtId="0" fontId="68" fillId="5" borderId="0" xfId="0" applyFont="1" applyFill="1" applyBorder="1" applyAlignment="1" applyProtection="1">
      <alignment horizontal="left"/>
    </xf>
    <xf numFmtId="0" fontId="0" fillId="0" borderId="5" xfId="0" applyBorder="1" applyAlignment="1" applyProtection="1">
      <alignment wrapText="1"/>
    </xf>
    <xf numFmtId="0" fontId="0" fillId="0" borderId="16" xfId="0" applyBorder="1" applyAlignment="1" applyProtection="1">
      <alignment wrapText="1"/>
    </xf>
    <xf numFmtId="0" fontId="7" fillId="0" borderId="0" xfId="0" applyFont="1" applyAlignment="1" applyProtection="1">
      <alignment horizontal="center"/>
    </xf>
    <xf numFmtId="0" fontId="7" fillId="0" borderId="0" xfId="0" applyFont="1" applyAlignment="1" applyProtection="1">
      <alignment wrapText="1"/>
    </xf>
    <xf numFmtId="1" fontId="0" fillId="4" borderId="5" xfId="0" applyNumberFormat="1" applyFill="1" applyBorder="1" applyAlignment="1" applyProtection="1">
      <alignment horizontal="center"/>
    </xf>
    <xf numFmtId="0" fontId="0" fillId="0" borderId="0" xfId="0" applyAlignment="1" applyProtection="1">
      <alignment vertical="top"/>
    </xf>
    <xf numFmtId="0" fontId="68" fillId="5" borderId="0" xfId="0" applyFont="1" applyFill="1" applyAlignment="1" applyProtection="1">
      <alignment horizontal="left" wrapText="1"/>
    </xf>
    <xf numFmtId="0" fontId="0" fillId="0" borderId="53" xfId="0" applyFill="1" applyBorder="1" applyAlignment="1">
      <alignment horizontal="left"/>
    </xf>
    <xf numFmtId="3" fontId="0" fillId="0" borderId="64" xfId="1" applyNumberFormat="1" applyFont="1" applyBorder="1"/>
    <xf numFmtId="0" fontId="0" fillId="0" borderId="64" xfId="0" applyBorder="1"/>
    <xf numFmtId="0" fontId="14" fillId="0" borderId="0" xfId="0" applyFont="1" applyFill="1" applyBorder="1" applyAlignment="1" applyProtection="1">
      <alignment horizontal="center" vertical="center"/>
    </xf>
    <xf numFmtId="0" fontId="119" fillId="0" borderId="0" xfId="0" applyFont="1" applyProtection="1"/>
    <xf numFmtId="0" fontId="119" fillId="0" borderId="0" xfId="0" applyFont="1" applyFill="1" applyProtection="1"/>
    <xf numFmtId="164" fontId="119" fillId="0" borderId="0" xfId="1" applyNumberFormat="1" applyFont="1" applyAlignment="1" applyProtection="1">
      <alignment horizontal="left"/>
    </xf>
    <xf numFmtId="2" fontId="4" fillId="0" borderId="19" xfId="0" applyNumberFormat="1" applyFont="1" applyBorder="1" applyAlignment="1">
      <alignment horizontal="center" wrapText="1"/>
    </xf>
    <xf numFmtId="0" fontId="14" fillId="0" borderId="13" xfId="0" applyFont="1" applyFill="1" applyBorder="1" applyAlignment="1" applyProtection="1"/>
    <xf numFmtId="0" fontId="7" fillId="0" borderId="0" xfId="0" applyFont="1" applyAlignment="1" applyProtection="1"/>
    <xf numFmtId="0" fontId="7" fillId="10" borderId="16" xfId="0" applyFont="1" applyFill="1" applyBorder="1" applyAlignment="1">
      <alignment horizontal="center"/>
    </xf>
    <xf numFmtId="0" fontId="7" fillId="10" borderId="4" xfId="0" applyFont="1" applyFill="1" applyBorder="1" applyAlignment="1">
      <alignment horizontal="center"/>
    </xf>
    <xf numFmtId="0" fontId="23" fillId="20" borderId="55" xfId="0" applyFont="1" applyFill="1" applyBorder="1" applyAlignment="1">
      <alignment horizontal="center" vertical="center"/>
    </xf>
    <xf numFmtId="0" fontId="23" fillId="20" borderId="54" xfId="0" applyFont="1" applyFill="1" applyBorder="1" applyAlignment="1">
      <alignment horizontal="center" vertical="center"/>
    </xf>
    <xf numFmtId="0" fontId="53" fillId="0" borderId="18" xfId="0" applyFont="1" applyBorder="1" applyAlignment="1">
      <alignment horizontal="left" vertical="center" wrapText="1"/>
    </xf>
    <xf numFmtId="0" fontId="53" fillId="0" borderId="19" xfId="0" applyFont="1" applyBorder="1" applyAlignment="1">
      <alignment horizontal="left" vertical="center" wrapText="1"/>
    </xf>
    <xf numFmtId="0" fontId="53" fillId="0" borderId="32" xfId="0" applyFont="1" applyBorder="1" applyAlignment="1">
      <alignment horizontal="left" vertical="top" wrapText="1"/>
    </xf>
    <xf numFmtId="0" fontId="53" fillId="0" borderId="5" xfId="0" applyFont="1" applyBorder="1" applyAlignment="1">
      <alignment horizontal="left" vertical="top" wrapText="1"/>
    </xf>
    <xf numFmtId="0" fontId="53" fillId="0" borderId="29" xfId="0" applyFont="1" applyBorder="1" applyAlignment="1">
      <alignment horizontal="left" vertical="top" wrapText="1"/>
    </xf>
    <xf numFmtId="0" fontId="53" fillId="0" borderId="24" xfId="0" applyFont="1" applyBorder="1" applyAlignment="1">
      <alignment horizontal="left" vertical="top" wrapText="1"/>
    </xf>
    <xf numFmtId="0" fontId="0" fillId="8" borderId="35" xfId="0" applyFill="1" applyBorder="1" applyAlignment="1" applyProtection="1">
      <alignment horizontal="center" vertical="center"/>
      <protection locked="0"/>
    </xf>
    <xf numFmtId="0" fontId="0" fillId="8" borderId="49" xfId="0" applyFill="1" applyBorder="1" applyAlignment="1" applyProtection="1">
      <alignment horizontal="center" vertical="center"/>
      <protection locked="0"/>
    </xf>
    <xf numFmtId="0" fontId="0" fillId="8" borderId="52" xfId="0" applyFill="1" applyBorder="1" applyAlignment="1" applyProtection="1">
      <alignment horizontal="center" vertical="center"/>
      <protection locked="0"/>
    </xf>
    <xf numFmtId="0" fontId="33" fillId="19" borderId="43" xfId="0" quotePrefix="1" applyFont="1" applyFill="1" applyBorder="1" applyAlignment="1">
      <alignment horizontal="left"/>
    </xf>
    <xf numFmtId="0" fontId="33" fillId="19" borderId="0" xfId="0" quotePrefix="1" applyFont="1" applyFill="1" applyAlignment="1">
      <alignment horizontal="left"/>
    </xf>
    <xf numFmtId="0" fontId="23" fillId="20" borderId="40" xfId="0" applyFont="1" applyFill="1" applyBorder="1" applyAlignment="1">
      <alignment horizontal="center" vertical="center"/>
    </xf>
    <xf numFmtId="0" fontId="23" fillId="20" borderId="41" xfId="0" applyFont="1" applyFill="1" applyBorder="1" applyAlignment="1">
      <alignment horizontal="center" vertical="center"/>
    </xf>
    <xf numFmtId="0" fontId="23" fillId="20" borderId="42" xfId="0" applyFont="1" applyFill="1" applyBorder="1" applyAlignment="1">
      <alignment horizontal="center" vertical="center"/>
    </xf>
    <xf numFmtId="0" fontId="7" fillId="13" borderId="0" xfId="0" applyFont="1" applyFill="1" applyAlignment="1">
      <alignment horizontal="left" vertical="center"/>
    </xf>
    <xf numFmtId="0" fontId="0" fillId="0" borderId="0" xfId="0" applyFont="1" applyAlignment="1">
      <alignment horizontal="left" vertical="top" wrapText="1"/>
    </xf>
    <xf numFmtId="0" fontId="33" fillId="19" borderId="0" xfId="0" quotePrefix="1" applyFont="1" applyFill="1" applyBorder="1" applyAlignment="1">
      <alignment horizontal="left"/>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1" fillId="25" borderId="0" xfId="13" applyFill="1" applyAlignment="1">
      <alignment horizontal="left" vertical="top" wrapText="1"/>
    </xf>
    <xf numFmtId="0" fontId="1" fillId="25" borderId="0" xfId="13" applyFill="1" applyAlignment="1">
      <alignment vertical="top" wrapText="1"/>
    </xf>
    <xf numFmtId="0" fontId="1" fillId="0" borderId="0" xfId="13" applyAlignment="1">
      <alignment vertical="top" wrapText="1"/>
    </xf>
    <xf numFmtId="0" fontId="58" fillId="0" borderId="0" xfId="0" applyFont="1" applyFill="1" applyBorder="1" applyAlignment="1">
      <alignment horizontal="right" vertical="top"/>
    </xf>
    <xf numFmtId="0" fontId="22" fillId="0" borderId="77" xfId="0" applyFont="1" applyBorder="1" applyAlignment="1">
      <alignment horizontal="left" wrapText="1"/>
    </xf>
    <xf numFmtId="0" fontId="22" fillId="0" borderId="75" xfId="0" applyFont="1" applyBorder="1" applyAlignment="1">
      <alignment horizontal="left" wrapText="1"/>
    </xf>
    <xf numFmtId="0" fontId="58" fillId="0" borderId="17" xfId="0" applyFont="1" applyFill="1" applyBorder="1" applyAlignment="1">
      <alignment horizontal="left" vertical="center" wrapText="1" indent="1"/>
    </xf>
    <xf numFmtId="0" fontId="58" fillId="0" borderId="0" xfId="0" applyFont="1" applyFill="1" applyAlignment="1">
      <alignment horizontal="left" vertical="center" wrapText="1" indent="1"/>
    </xf>
    <xf numFmtId="0" fontId="58" fillId="0" borderId="17" xfId="0" quotePrefix="1" applyFont="1" applyFill="1" applyBorder="1" applyAlignment="1">
      <alignment horizontal="left" wrapText="1" indent="1"/>
    </xf>
    <xf numFmtId="0" fontId="58" fillId="0" borderId="0" xfId="0" applyFont="1" applyFill="1" applyAlignment="1">
      <alignment horizontal="left" wrapText="1" indent="1"/>
    </xf>
    <xf numFmtId="0" fontId="42" fillId="0" borderId="0" xfId="0" applyFont="1" applyAlignment="1">
      <alignment horizontal="left" vertical="top" wrapText="1"/>
    </xf>
    <xf numFmtId="0" fontId="58" fillId="0" borderId="17" xfId="0" quotePrefix="1" applyFont="1" applyFill="1" applyBorder="1" applyAlignment="1">
      <alignment horizontal="left" vertical="center" wrapText="1" inden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62" xfId="0" applyBorder="1" applyAlignment="1">
      <alignment horizontal="left" vertical="center" wrapText="1"/>
    </xf>
    <xf numFmtId="0" fontId="0" fillId="0" borderId="10" xfId="0" applyBorder="1" applyAlignment="1">
      <alignment horizontal="left" vertical="center" wrapText="1"/>
    </xf>
    <xf numFmtId="0" fontId="0" fillId="0" borderId="0" xfId="0" applyBorder="1" applyAlignment="1">
      <alignment horizontal="left" vertical="center" wrapText="1"/>
    </xf>
    <xf numFmtId="0" fontId="0" fillId="0" borderId="9" xfId="0" applyBorder="1" applyAlignment="1">
      <alignment horizontal="left" vertical="center" wrapText="1"/>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56" xfId="0" applyBorder="1" applyAlignment="1">
      <alignment horizontal="left" vertical="center" wrapText="1"/>
    </xf>
    <xf numFmtId="0" fontId="15" fillId="0" borderId="37" xfId="0" applyFont="1" applyBorder="1" applyAlignment="1">
      <alignment horizontal="center" vertical="top"/>
    </xf>
    <xf numFmtId="0" fontId="15" fillId="0" borderId="37" xfId="0" applyFont="1" applyBorder="1" applyAlignment="1">
      <alignment horizontal="center" vertical="center"/>
    </xf>
    <xf numFmtId="0" fontId="66" fillId="0" borderId="0" xfId="0" applyFont="1" applyAlignment="1">
      <alignment horizontal="right" vertical="center" wrapText="1" indent="4"/>
    </xf>
    <xf numFmtId="0" fontId="66" fillId="0" borderId="7" xfId="0" applyFont="1" applyBorder="1" applyAlignment="1">
      <alignment horizontal="right" vertical="center" wrapText="1" indent="4"/>
    </xf>
    <xf numFmtId="0" fontId="6" fillId="26" borderId="16" xfId="0" applyFont="1" applyFill="1" applyBorder="1" applyAlignment="1">
      <alignment horizontal="center" vertical="center" wrapText="1"/>
    </xf>
    <xf numFmtId="0" fontId="6" fillId="26" borderId="4" xfId="0" applyFont="1" applyFill="1" applyBorder="1" applyAlignment="1">
      <alignment horizontal="center" vertical="center" wrapText="1"/>
    </xf>
    <xf numFmtId="0" fontId="7" fillId="0" borderId="46" xfId="0" applyFont="1" applyBorder="1" applyAlignment="1">
      <alignment horizontal="center" vertical="center"/>
    </xf>
    <xf numFmtId="0" fontId="7" fillId="0" borderId="15" xfId="0" applyFont="1" applyFill="1" applyBorder="1" applyAlignment="1">
      <alignment horizontal="left" vertical="center" wrapText="1"/>
    </xf>
    <xf numFmtId="0" fontId="106" fillId="0" borderId="0" xfId="0" applyFont="1" applyAlignment="1">
      <alignment horizontal="left" vertical="center" wrapText="1"/>
    </xf>
    <xf numFmtId="0" fontId="58" fillId="0" borderId="17" xfId="0" applyFont="1" applyFill="1" applyBorder="1" applyAlignment="1">
      <alignment horizontal="left" wrapText="1" indent="1"/>
    </xf>
    <xf numFmtId="0" fontId="48" fillId="0" borderId="0" xfId="15" applyAlignment="1">
      <alignment horizontal="center"/>
    </xf>
    <xf numFmtId="0" fontId="58" fillId="0" borderId="22" xfId="0" applyFont="1" applyFill="1" applyBorder="1" applyAlignment="1">
      <alignment horizontal="right" vertical="top"/>
    </xf>
    <xf numFmtId="0" fontId="42" fillId="0" borderId="0" xfId="0" applyFont="1" applyAlignment="1">
      <alignment horizontal="left" vertical="center" wrapText="1"/>
    </xf>
    <xf numFmtId="0" fontId="58" fillId="0" borderId="0" xfId="0" quotePrefix="1" applyFont="1" applyFill="1" applyBorder="1" applyAlignment="1">
      <alignment horizontal="left" vertical="center" wrapText="1" indent="1"/>
    </xf>
    <xf numFmtId="0" fontId="58" fillId="0" borderId="0" xfId="0" applyFont="1" applyFill="1" applyBorder="1" applyAlignment="1">
      <alignment horizontal="left" vertical="center" wrapText="1" indent="1"/>
    </xf>
    <xf numFmtId="0" fontId="58" fillId="0" borderId="17" xfId="0" applyFont="1" applyFill="1" applyBorder="1" applyAlignment="1">
      <alignment horizontal="left" vertical="top" wrapText="1" indent="1"/>
    </xf>
    <xf numFmtId="0" fontId="58" fillId="0" borderId="0" xfId="0" applyFont="1" applyFill="1" applyAlignment="1">
      <alignment horizontal="left" vertical="top" wrapText="1" indent="1"/>
    </xf>
    <xf numFmtId="0" fontId="7" fillId="0" borderId="46" xfId="0" applyFont="1" applyFill="1" applyBorder="1" applyAlignment="1">
      <alignment horizontal="center" vertical="center"/>
    </xf>
    <xf numFmtId="0" fontId="7" fillId="0" borderId="57" xfId="0" applyFont="1" applyBorder="1" applyAlignment="1" applyProtection="1">
      <alignment horizontal="center" vertical="center"/>
    </xf>
    <xf numFmtId="0" fontId="7" fillId="0" borderId="59" xfId="0" applyFont="1" applyBorder="1" applyAlignment="1" applyProtection="1">
      <alignment horizontal="center" vertical="center"/>
    </xf>
    <xf numFmtId="0" fontId="0" fillId="0" borderId="16" xfId="0" applyFill="1" applyBorder="1" applyAlignment="1" applyProtection="1">
      <alignment horizontal="left" vertical="top" wrapText="1"/>
    </xf>
    <xf numFmtId="0" fontId="0" fillId="0" borderId="4" xfId="0" applyFill="1" applyBorder="1" applyAlignment="1" applyProtection="1">
      <alignment horizontal="left" vertical="top" wrapText="1"/>
    </xf>
    <xf numFmtId="1" fontId="0" fillId="0" borderId="0" xfId="0" applyNumberFormat="1" applyAlignment="1">
      <alignment horizontal="left" wrapText="1"/>
    </xf>
    <xf numFmtId="1" fontId="7" fillId="0" borderId="16" xfId="0" applyNumberFormat="1" applyFont="1" applyBorder="1" applyAlignment="1">
      <alignment horizontal="left" vertical="center" wrapText="1"/>
    </xf>
    <xf numFmtId="1" fontId="7" fillId="0" borderId="22" xfId="0" applyNumberFormat="1" applyFont="1" applyBorder="1" applyAlignment="1">
      <alignment horizontal="left" vertical="center" wrapText="1"/>
    </xf>
    <xf numFmtId="1" fontId="7" fillId="0" borderId="4" xfId="0" applyNumberFormat="1" applyFont="1" applyBorder="1" applyAlignment="1">
      <alignment horizontal="left" vertical="center" wrapText="1"/>
    </xf>
    <xf numFmtId="0" fontId="0" fillId="0" borderId="25"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7" fillId="0" borderId="0" xfId="0" applyFont="1" applyAlignment="1">
      <alignment horizontal="center" wrapText="1"/>
    </xf>
    <xf numFmtId="0" fontId="6" fillId="12" borderId="31" xfId="0" applyFont="1" applyFill="1" applyBorder="1" applyAlignment="1" applyProtection="1">
      <alignment horizontal="left"/>
    </xf>
    <xf numFmtId="0" fontId="6" fillId="12" borderId="33" xfId="0" applyFont="1" applyFill="1" applyBorder="1" applyAlignment="1" applyProtection="1">
      <alignment horizontal="left"/>
    </xf>
    <xf numFmtId="0" fontId="48" fillId="22" borderId="12" xfId="15" applyFill="1" applyBorder="1" applyAlignment="1" applyProtection="1">
      <alignment horizontal="center" vertical="center"/>
    </xf>
    <xf numFmtId="0" fontId="48" fillId="22" borderId="13" xfId="15" applyFill="1" applyBorder="1" applyAlignment="1" applyProtection="1">
      <alignment horizontal="center" vertical="center"/>
    </xf>
    <xf numFmtId="0" fontId="48" fillId="22" borderId="62" xfId="15" applyFill="1" applyBorder="1" applyAlignment="1" applyProtection="1">
      <alignment horizontal="center" vertical="center"/>
    </xf>
    <xf numFmtId="0" fontId="48" fillId="22" borderId="65" xfId="15" applyFill="1" applyBorder="1" applyAlignment="1" applyProtection="1">
      <alignment horizontal="center" vertical="center"/>
    </xf>
    <xf numFmtId="0" fontId="48" fillId="22" borderId="46" xfId="15" applyFill="1" applyBorder="1" applyAlignment="1" applyProtection="1">
      <alignment horizontal="center" vertical="center"/>
    </xf>
    <xf numFmtId="0" fontId="48" fillId="22" borderId="56" xfId="15" applyFill="1" applyBorder="1" applyAlignment="1" applyProtection="1">
      <alignment horizontal="center" vertical="center"/>
    </xf>
    <xf numFmtId="0" fontId="7" fillId="0" borderId="17" xfId="0" applyFont="1" applyBorder="1" applyAlignment="1">
      <alignment horizontal="left"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15" xfId="0" applyBorder="1" applyAlignment="1">
      <alignment horizontal="left" vertical="center" wrapText="1"/>
    </xf>
    <xf numFmtId="0" fontId="0" fillId="0" borderId="1" xfId="0" applyBorder="1" applyAlignment="1">
      <alignment horizontal="left" vertical="center" wrapText="1"/>
    </xf>
    <xf numFmtId="10" fontId="4" fillId="8" borderId="48" xfId="1" applyNumberFormat="1" applyFont="1" applyFill="1" applyBorder="1" applyAlignment="1" applyProtection="1">
      <alignment horizontal="center" vertical="center" wrapText="1"/>
      <protection locked="0"/>
    </xf>
    <xf numFmtId="10" fontId="4" fillId="8" borderId="2" xfId="1" applyNumberFormat="1" applyFont="1" applyFill="1" applyBorder="1" applyAlignment="1" applyProtection="1">
      <alignment horizontal="center" vertical="center" wrapText="1"/>
      <protection locked="0"/>
    </xf>
    <xf numFmtId="10" fontId="4" fillId="4" borderId="48" xfId="0" applyNumberFormat="1" applyFont="1" applyFill="1" applyBorder="1" applyAlignment="1">
      <alignment horizontal="center" vertical="center"/>
    </xf>
    <xf numFmtId="10" fontId="4" fillId="4" borderId="2" xfId="0" applyNumberFormat="1" applyFont="1" applyFill="1" applyBorder="1" applyAlignment="1">
      <alignment horizontal="center" vertical="center"/>
    </xf>
    <xf numFmtId="0" fontId="111" fillId="0" borderId="47" xfId="0" applyFont="1" applyBorder="1" applyAlignment="1">
      <alignment horizontal="left" vertical="top" wrapText="1"/>
    </xf>
    <xf numFmtId="0" fontId="111" fillId="0" borderId="14" xfId="0" applyFont="1" applyBorder="1" applyAlignment="1">
      <alignment horizontal="left" vertical="top" wrapText="1"/>
    </xf>
    <xf numFmtId="0" fontId="111" fillId="0" borderId="6" xfId="0" applyFont="1" applyBorder="1" applyAlignment="1">
      <alignment horizontal="left" vertical="top" wrapText="1"/>
    </xf>
    <xf numFmtId="0" fontId="111" fillId="0" borderId="3" xfId="0" applyFont="1" applyBorder="1" applyAlignment="1">
      <alignment horizontal="left" vertical="top" wrapText="1"/>
    </xf>
    <xf numFmtId="0" fontId="111" fillId="0" borderId="15" xfId="0" applyFont="1" applyBorder="1" applyAlignment="1">
      <alignment horizontal="left" vertical="top" wrapText="1"/>
    </xf>
    <xf numFmtId="0" fontId="111" fillId="0" borderId="1" xfId="0" applyFont="1" applyBorder="1" applyAlignment="1">
      <alignment horizontal="left" vertical="top" wrapText="1"/>
    </xf>
    <xf numFmtId="0" fontId="73" fillId="0" borderId="0" xfId="0" applyFont="1" applyBorder="1" applyAlignment="1" applyProtection="1">
      <alignment horizontal="left" vertical="top" wrapText="1"/>
    </xf>
    <xf numFmtId="0" fontId="6" fillId="12" borderId="71" xfId="0" applyFont="1" applyFill="1" applyBorder="1" applyAlignment="1" applyProtection="1">
      <alignment horizontal="left"/>
    </xf>
    <xf numFmtId="0" fontId="6" fillId="12" borderId="41" xfId="0" applyFont="1" applyFill="1" applyBorder="1" applyAlignment="1" applyProtection="1">
      <alignment horizontal="left"/>
    </xf>
    <xf numFmtId="0" fontId="6" fillId="12" borderId="72" xfId="0" applyFont="1" applyFill="1" applyBorder="1" applyAlignment="1" applyProtection="1">
      <alignment horizontal="left"/>
    </xf>
    <xf numFmtId="0" fontId="31" fillId="21" borderId="0" xfId="0" applyFont="1" applyFill="1" applyAlignment="1" applyProtection="1">
      <alignment horizontal="left" vertical="center" wrapText="1" indent="3"/>
    </xf>
    <xf numFmtId="0" fontId="0" fillId="0" borderId="73" xfId="0"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74" xfId="0" applyBorder="1" applyAlignment="1" applyProtection="1">
      <alignment horizontal="left" vertical="center" wrapText="1"/>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0" borderId="7" xfId="0" applyBorder="1" applyAlignment="1" applyProtection="1">
      <alignment horizontal="left"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4" xfId="0" applyBorder="1" applyAlignment="1" applyProtection="1">
      <alignment horizontal="left" vertical="center" wrapText="1"/>
    </xf>
    <xf numFmtId="0" fontId="52" fillId="0" borderId="0" xfId="0" applyFont="1" applyAlignment="1" applyProtection="1">
      <alignment horizontal="right" wrapText="1"/>
    </xf>
    <xf numFmtId="0" fontId="21" fillId="0" borderId="37" xfId="0" applyFont="1" applyFill="1" applyBorder="1" applyAlignment="1" applyProtection="1">
      <alignment horizontal="center"/>
    </xf>
    <xf numFmtId="0" fontId="0" fillId="0" borderId="47" xfId="0"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6" xfId="0" applyBorder="1" applyAlignment="1" applyProtection="1">
      <alignment horizontal="left" vertical="center" wrapText="1"/>
    </xf>
    <xf numFmtId="0" fontId="7" fillId="0" borderId="57"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60" xfId="0" applyFont="1" applyFill="1" applyBorder="1" applyAlignment="1" applyProtection="1">
      <alignment horizontal="center" vertical="center"/>
    </xf>
    <xf numFmtId="0" fontId="48" fillId="0" borderId="12" xfId="15" applyBorder="1" applyAlignment="1" applyProtection="1">
      <alignment horizontal="center" vertical="center"/>
    </xf>
    <xf numFmtId="0" fontId="48" fillId="0" borderId="62" xfId="15" applyBorder="1" applyAlignment="1" applyProtection="1">
      <alignment horizontal="center" vertical="center"/>
    </xf>
    <xf numFmtId="1" fontId="58" fillId="0" borderId="10" xfId="0" applyNumberFormat="1" applyFont="1" applyFill="1" applyBorder="1" applyAlignment="1" applyProtection="1">
      <alignment horizontal="center" vertical="center" wrapText="1"/>
    </xf>
    <xf numFmtId="1" fontId="58" fillId="0" borderId="0" xfId="0" applyNumberFormat="1" applyFont="1" applyFill="1" applyBorder="1" applyAlignment="1" applyProtection="1">
      <alignment horizontal="center" vertical="center" wrapText="1"/>
    </xf>
    <xf numFmtId="0" fontId="14" fillId="0" borderId="0" xfId="0" applyFont="1" applyAlignment="1" applyProtection="1">
      <alignment horizontal="center" wrapText="1"/>
    </xf>
    <xf numFmtId="0" fontId="7" fillId="0" borderId="21"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65" xfId="0" applyFont="1" applyFill="1" applyBorder="1" applyAlignment="1">
      <alignment horizontal="center" vertical="center"/>
    </xf>
    <xf numFmtId="0" fontId="0" fillId="0" borderId="31" xfId="0" applyFill="1" applyBorder="1" applyAlignment="1" applyProtection="1">
      <alignment horizontal="left" vertical="top" wrapText="1"/>
    </xf>
    <xf numFmtId="0" fontId="0" fillId="0" borderId="33" xfId="0" applyFill="1" applyBorder="1" applyAlignment="1" applyProtection="1">
      <alignment horizontal="left" vertical="top" wrapText="1"/>
    </xf>
    <xf numFmtId="0" fontId="64" fillId="0" borderId="13" xfId="0" applyFont="1" applyBorder="1" applyAlignment="1">
      <alignment horizontal="center" wrapText="1"/>
    </xf>
    <xf numFmtId="0" fontId="64" fillId="0" borderId="46" xfId="0" applyFont="1" applyBorder="1" applyAlignment="1">
      <alignment horizontal="center" wrapText="1"/>
    </xf>
    <xf numFmtId="1" fontId="73" fillId="0" borderId="0" xfId="0" applyNumberFormat="1" applyFont="1" applyAlignment="1">
      <alignment horizontal="left" vertical="top" wrapText="1"/>
    </xf>
    <xf numFmtId="0" fontId="7" fillId="0" borderId="55" xfId="0" applyFont="1" applyBorder="1" applyAlignment="1" applyProtection="1">
      <alignment horizontal="center" vertical="center"/>
    </xf>
    <xf numFmtId="0" fontId="7" fillId="0" borderId="58" xfId="0" applyFont="1" applyBorder="1" applyAlignment="1" applyProtection="1">
      <alignment horizontal="center" vertical="center"/>
    </xf>
    <xf numFmtId="0" fontId="7" fillId="0" borderId="60" xfId="0" applyFont="1" applyBorder="1" applyAlignment="1" applyProtection="1">
      <alignment horizontal="center" vertical="center"/>
    </xf>
    <xf numFmtId="0" fontId="6" fillId="26" borderId="47" xfId="0" applyFont="1" applyFill="1" applyBorder="1" applyAlignment="1">
      <alignment horizontal="center" vertical="center" wrapText="1"/>
    </xf>
    <xf numFmtId="0" fontId="6" fillId="26" borderId="14" xfId="0" applyFont="1" applyFill="1" applyBorder="1" applyAlignment="1">
      <alignment horizontal="center" vertical="center" wrapText="1"/>
    </xf>
    <xf numFmtId="0" fontId="6" fillId="26" borderId="6" xfId="0" applyFont="1" applyFill="1" applyBorder="1" applyAlignment="1">
      <alignment horizontal="center" vertical="center" wrapText="1"/>
    </xf>
    <xf numFmtId="0" fontId="6" fillId="26" borderId="3" xfId="0" applyFont="1" applyFill="1" applyBorder="1" applyAlignment="1">
      <alignment horizontal="center" vertical="center" wrapText="1"/>
    </xf>
    <xf numFmtId="0" fontId="6" fillId="26" borderId="15" xfId="0" applyFont="1" applyFill="1" applyBorder="1" applyAlignment="1">
      <alignment horizontal="center" vertical="center" wrapText="1"/>
    </xf>
    <xf numFmtId="0" fontId="6" fillId="26" borderId="1" xfId="0" applyFont="1" applyFill="1" applyBorder="1" applyAlignment="1">
      <alignment horizontal="center" vertical="center" wrapText="1"/>
    </xf>
    <xf numFmtId="0" fontId="66" fillId="0" borderId="0" xfId="0" applyFont="1" applyAlignment="1">
      <alignment horizontal="left" vertical="center" wrapText="1"/>
    </xf>
    <xf numFmtId="0" fontId="66" fillId="0" borderId="7" xfId="0" applyFont="1" applyBorder="1" applyAlignment="1">
      <alignment horizontal="left" vertical="center" wrapText="1"/>
    </xf>
    <xf numFmtId="0" fontId="111" fillId="0" borderId="5" xfId="0" applyFont="1" applyBorder="1" applyAlignment="1">
      <alignment horizontal="left" vertical="top" wrapText="1"/>
    </xf>
    <xf numFmtId="0" fontId="16" fillId="0" borderId="16"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1" fontId="0" fillId="0" borderId="22" xfId="0" applyNumberFormat="1" applyBorder="1" applyAlignment="1">
      <alignment horizontal="left" vertical="center" wrapText="1"/>
    </xf>
    <xf numFmtId="1" fontId="0" fillId="0" borderId="4" xfId="0" applyNumberFormat="1" applyBorder="1" applyAlignment="1">
      <alignment horizontal="left" vertical="center" wrapText="1"/>
    </xf>
    <xf numFmtId="0" fontId="0" fillId="0" borderId="15" xfId="0" applyBorder="1" applyAlignment="1" applyProtection="1">
      <alignment horizontal="center"/>
    </xf>
    <xf numFmtId="0" fontId="7" fillId="22" borderId="40" xfId="0" applyFont="1" applyFill="1" applyBorder="1" applyAlignment="1">
      <alignment horizontal="center" vertical="center"/>
    </xf>
    <xf numFmtId="0" fontId="7" fillId="22" borderId="42" xfId="0" applyFont="1" applyFill="1" applyBorder="1" applyAlignment="1">
      <alignment horizontal="center" vertical="center"/>
    </xf>
    <xf numFmtId="0" fontId="48" fillId="0" borderId="10" xfId="15" applyBorder="1" applyAlignment="1">
      <alignment horizontal="center" vertical="center"/>
    </xf>
    <xf numFmtId="0" fontId="48" fillId="0" borderId="9" xfId="15" applyBorder="1" applyAlignment="1">
      <alignment horizontal="center" vertical="center"/>
    </xf>
    <xf numFmtId="0" fontId="48" fillId="0" borderId="65" xfId="15" applyBorder="1" applyAlignment="1">
      <alignment horizontal="center" vertical="center"/>
    </xf>
    <xf numFmtId="0" fontId="48" fillId="0" borderId="56" xfId="15" applyBorder="1" applyAlignment="1">
      <alignment horizontal="center" vertical="center"/>
    </xf>
    <xf numFmtId="0" fontId="7" fillId="0" borderId="57" xfId="0" applyFont="1" applyFill="1" applyBorder="1" applyAlignment="1">
      <alignment horizontal="center" vertical="center"/>
    </xf>
    <xf numFmtId="0" fontId="7" fillId="0" borderId="59" xfId="0" applyFont="1" applyFill="1" applyBorder="1" applyAlignment="1">
      <alignment horizontal="center" vertical="center"/>
    </xf>
    <xf numFmtId="0" fontId="7" fillId="22" borderId="40" xfId="0" applyFont="1" applyFill="1" applyBorder="1" applyAlignment="1">
      <alignment horizontal="center" vertical="center" wrapText="1"/>
    </xf>
    <xf numFmtId="0" fontId="7" fillId="22" borderId="42" xfId="0" applyFont="1" applyFill="1" applyBorder="1" applyAlignment="1">
      <alignment horizontal="center" vertical="center" wrapText="1"/>
    </xf>
    <xf numFmtId="0" fontId="7" fillId="22" borderId="41" xfId="0" applyFont="1" applyFill="1" applyBorder="1" applyAlignment="1">
      <alignment horizontal="center" vertical="center"/>
    </xf>
    <xf numFmtId="0" fontId="48" fillId="0" borderId="0" xfId="15" applyBorder="1" applyAlignment="1">
      <alignment horizontal="center" vertical="center"/>
    </xf>
    <xf numFmtId="0" fontId="48" fillId="0" borderId="46" xfId="15" applyBorder="1" applyAlignment="1">
      <alignment horizontal="center" vertical="center"/>
    </xf>
    <xf numFmtId="0" fontId="6" fillId="33" borderId="18" xfId="0" applyFont="1" applyFill="1" applyBorder="1" applyAlignment="1">
      <alignment horizontal="center"/>
    </xf>
    <xf numFmtId="0" fontId="6" fillId="33" borderId="20" xfId="0" applyFont="1" applyFill="1" applyBorder="1" applyAlignment="1">
      <alignment horizontal="center"/>
    </xf>
    <xf numFmtId="0" fontId="0" fillId="0" borderId="0" xfId="0" applyAlignment="1">
      <alignment horizontal="right" wrapText="1"/>
    </xf>
    <xf numFmtId="0" fontId="21" fillId="4" borderId="58" xfId="0" applyFont="1" applyFill="1" applyBorder="1" applyAlignment="1">
      <alignment horizontal="center" vertical="center" textRotation="90"/>
    </xf>
    <xf numFmtId="0" fontId="21" fillId="4" borderId="59" xfId="0" applyFont="1" applyFill="1" applyBorder="1" applyAlignment="1">
      <alignment horizontal="center" vertical="center" textRotation="90"/>
    </xf>
    <xf numFmtId="0" fontId="6" fillId="27" borderId="12" xfId="0" applyFont="1" applyFill="1" applyBorder="1" applyAlignment="1">
      <alignment horizontal="center"/>
    </xf>
    <xf numFmtId="0" fontId="6" fillId="27" borderId="13" xfId="0" applyFont="1" applyFill="1" applyBorder="1" applyAlignment="1">
      <alignment horizontal="center"/>
    </xf>
    <xf numFmtId="0" fontId="6" fillId="27" borderId="62" xfId="0" applyFont="1" applyFill="1" applyBorder="1" applyAlignment="1">
      <alignment horizontal="center"/>
    </xf>
    <xf numFmtId="0" fontId="6" fillId="37" borderId="18" xfId="0" applyFont="1" applyFill="1" applyBorder="1" applyAlignment="1">
      <alignment horizontal="center" vertical="center"/>
    </xf>
    <xf numFmtId="0" fontId="6" fillId="37" borderId="19" xfId="0" applyFont="1" applyFill="1" applyBorder="1" applyAlignment="1">
      <alignment horizontal="center" vertical="center"/>
    </xf>
    <xf numFmtId="0" fontId="6" fillId="37" borderId="31" xfId="0" applyFont="1" applyFill="1" applyBorder="1" applyAlignment="1">
      <alignment horizontal="center" vertical="center"/>
    </xf>
    <xf numFmtId="0" fontId="6" fillId="37" borderId="20" xfId="0" applyFont="1" applyFill="1" applyBorder="1" applyAlignment="1">
      <alignment horizontal="center" vertical="center"/>
    </xf>
    <xf numFmtId="0" fontId="6" fillId="37" borderId="12" xfId="0" applyFont="1" applyFill="1" applyBorder="1" applyAlignment="1">
      <alignment horizontal="center" vertical="center" wrapText="1"/>
    </xf>
    <xf numFmtId="0" fontId="6" fillId="37" borderId="13" xfId="0" applyFont="1" applyFill="1" applyBorder="1" applyAlignment="1">
      <alignment horizontal="center" vertical="center" wrapText="1"/>
    </xf>
    <xf numFmtId="0" fontId="6" fillId="37" borderId="62" xfId="0" applyFont="1" applyFill="1" applyBorder="1" applyAlignment="1">
      <alignment horizontal="center" vertical="center" wrapText="1"/>
    </xf>
    <xf numFmtId="0" fontId="6" fillId="37" borderId="77" xfId="0" applyFont="1" applyFill="1" applyBorder="1" applyAlignment="1">
      <alignment horizontal="center" vertical="center" wrapText="1"/>
    </xf>
    <xf numFmtId="0" fontId="6" fillId="37" borderId="61" xfId="0" applyFont="1" applyFill="1" applyBorder="1" applyAlignment="1">
      <alignment horizontal="center" vertical="center" wrapText="1"/>
    </xf>
    <xf numFmtId="0" fontId="6" fillId="37" borderId="75" xfId="0" applyFont="1" applyFill="1" applyBorder="1" applyAlignment="1">
      <alignment horizontal="center" vertical="center" wrapText="1"/>
    </xf>
    <xf numFmtId="0" fontId="0" fillId="14" borderId="12" xfId="0" applyFill="1" applyBorder="1" applyAlignment="1">
      <alignment horizontal="center" vertical="center"/>
    </xf>
    <xf numFmtId="0" fontId="0" fillId="14" borderId="13" xfId="0" applyFill="1" applyBorder="1" applyAlignment="1">
      <alignment horizontal="center" vertical="center"/>
    </xf>
    <xf numFmtId="0" fontId="0" fillId="14" borderId="62" xfId="0" applyFill="1" applyBorder="1" applyAlignment="1">
      <alignment horizontal="center" vertical="center"/>
    </xf>
    <xf numFmtId="0" fontId="0" fillId="14" borderId="65" xfId="0" applyFill="1" applyBorder="1" applyAlignment="1">
      <alignment horizontal="center" vertical="center"/>
    </xf>
    <xf numFmtId="0" fontId="0" fillId="14" borderId="46" xfId="0" applyFill="1" applyBorder="1" applyAlignment="1">
      <alignment horizontal="center" vertical="center"/>
    </xf>
    <xf numFmtId="0" fontId="0" fillId="14" borderId="56" xfId="0" applyFill="1" applyBorder="1" applyAlignment="1">
      <alignment horizontal="center" vertical="center"/>
    </xf>
    <xf numFmtId="0" fontId="0" fillId="14" borderId="10" xfId="0" applyFill="1" applyBorder="1" applyAlignment="1">
      <alignment horizontal="center" vertical="center"/>
    </xf>
    <xf numFmtId="0" fontId="0" fillId="14" borderId="0" xfId="0" applyFill="1" applyBorder="1" applyAlignment="1">
      <alignment horizontal="center" vertical="center"/>
    </xf>
    <xf numFmtId="0" fontId="0" fillId="14" borderId="9" xfId="0" applyFill="1" applyBorder="1" applyAlignment="1">
      <alignment horizontal="center" vertical="center"/>
    </xf>
    <xf numFmtId="0" fontId="21" fillId="14" borderId="70" xfId="0" applyFont="1" applyFill="1" applyBorder="1" applyAlignment="1">
      <alignment horizontal="center" vertical="center" textRotation="90"/>
    </xf>
    <xf numFmtId="0" fontId="21" fillId="14" borderId="67" xfId="0" applyFont="1" applyFill="1" applyBorder="1" applyAlignment="1">
      <alignment horizontal="center" vertical="center" textRotation="90"/>
    </xf>
    <xf numFmtId="0" fontId="21" fillId="14" borderId="68" xfId="0" applyFont="1" applyFill="1" applyBorder="1" applyAlignment="1">
      <alignment horizontal="center" vertical="center" textRotation="90"/>
    </xf>
    <xf numFmtId="0" fontId="21" fillId="4" borderId="70" xfId="0" applyFont="1" applyFill="1" applyBorder="1" applyAlignment="1">
      <alignment horizontal="center" vertical="center" textRotation="90" wrapText="1"/>
    </xf>
    <xf numFmtId="0" fontId="21" fillId="4" borderId="67" xfId="0" applyFont="1" applyFill="1" applyBorder="1" applyAlignment="1">
      <alignment horizontal="center" vertical="center" textRotation="90"/>
    </xf>
    <xf numFmtId="0" fontId="21" fillId="4" borderId="68" xfId="0" applyFont="1" applyFill="1" applyBorder="1" applyAlignment="1">
      <alignment horizontal="center" vertical="center" textRotation="90"/>
    </xf>
    <xf numFmtId="0" fontId="7" fillId="0" borderId="0" xfId="0" applyFont="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22" fillId="18" borderId="0" xfId="0" applyFont="1" applyFill="1" applyAlignment="1">
      <alignment horizontal="center" vertical="center"/>
    </xf>
    <xf numFmtId="0" fontId="0" fillId="0" borderId="0" xfId="0" applyAlignment="1">
      <alignment horizontal="left" vertical="top" wrapText="1"/>
    </xf>
    <xf numFmtId="0" fontId="7" fillId="21" borderId="0" xfId="0" applyFont="1" applyFill="1" applyAlignment="1">
      <alignment horizontal="center"/>
    </xf>
    <xf numFmtId="0" fontId="23" fillId="3" borderId="40" xfId="0" applyFont="1" applyFill="1" applyBorder="1" applyAlignment="1">
      <alignment horizontal="center" vertical="center"/>
    </xf>
    <xf numFmtId="0" fontId="23" fillId="3" borderId="42" xfId="0" applyFont="1" applyFill="1" applyBorder="1" applyAlignment="1">
      <alignment horizontal="center" vertical="center"/>
    </xf>
    <xf numFmtId="0" fontId="23" fillId="3" borderId="41" xfId="0" applyFont="1" applyFill="1" applyBorder="1" applyAlignment="1">
      <alignment horizontal="center" vertical="center"/>
    </xf>
    <xf numFmtId="0" fontId="7" fillId="0" borderId="16" xfId="0" applyFont="1" applyBorder="1" applyAlignment="1">
      <alignment horizontal="center"/>
    </xf>
    <xf numFmtId="0" fontId="7" fillId="0" borderId="4" xfId="0" applyFont="1" applyBorder="1" applyAlignment="1">
      <alignment horizontal="center"/>
    </xf>
    <xf numFmtId="0" fontId="7" fillId="0" borderId="15" xfId="0" applyFont="1" applyBorder="1" applyAlignment="1">
      <alignment horizontal="center"/>
    </xf>
    <xf numFmtId="0" fontId="46" fillId="9" borderId="5" xfId="16" applyFont="1" applyFill="1" applyBorder="1" applyAlignment="1">
      <alignment horizontal="center" vertical="top"/>
    </xf>
    <xf numFmtId="0" fontId="0" fillId="0" borderId="63" xfId="10" applyFont="1" applyBorder="1" applyAlignment="1">
      <alignment horizontal="left" vertical="top" wrapText="1"/>
    </xf>
    <xf numFmtId="0" fontId="0" fillId="0" borderId="45" xfId="10" applyFont="1" applyBorder="1" applyAlignment="1">
      <alignment horizontal="left" vertical="top" wrapText="1"/>
    </xf>
    <xf numFmtId="0" fontId="0" fillId="0" borderId="64" xfId="10" applyFont="1" applyBorder="1" applyAlignment="1">
      <alignment horizontal="left" vertical="top" wrapText="1"/>
    </xf>
    <xf numFmtId="0" fontId="7" fillId="0" borderId="15" xfId="0" applyFont="1" applyBorder="1" applyAlignment="1" applyProtection="1">
      <alignment horizontal="center"/>
    </xf>
    <xf numFmtId="0" fontId="0" fillId="0" borderId="0" xfId="0" applyAlignment="1">
      <alignment horizontal="center"/>
    </xf>
  </cellXfs>
  <cellStyles count="31">
    <cellStyle name="Comma" xfId="1" builtinId="3"/>
    <cellStyle name="Comma 2" xfId="3" xr:uid="{00000000-0005-0000-0000-000001000000}"/>
    <cellStyle name="Comma 2 2" xfId="26" xr:uid="{00000000-0005-0000-0000-000002000000}"/>
    <cellStyle name="Comma 2 3" xfId="24" xr:uid="{00000000-0005-0000-0000-000003000000}"/>
    <cellStyle name="Comma 3" xfId="9" xr:uid="{00000000-0005-0000-0000-000004000000}"/>
    <cellStyle name="Comma 4" xfId="12" xr:uid="{00000000-0005-0000-0000-000005000000}"/>
    <cellStyle name="Comma 4 2" xfId="28" xr:uid="{00000000-0005-0000-0000-000006000000}"/>
    <cellStyle name="Comma 4 3" xfId="30" xr:uid="{00000000-0005-0000-0000-000007000000}"/>
    <cellStyle name="Currency" xfId="21" builtinId="4"/>
    <cellStyle name="Data 2" xfId="17" xr:uid="{00000000-0005-0000-0000-000009000000}"/>
    <cellStyle name="Good" xfId="22" builtinId="26"/>
    <cellStyle name="Header 2" xfId="18" xr:uid="{00000000-0005-0000-0000-00000B000000}"/>
    <cellStyle name="HeaderHyperlink 2" xfId="19" xr:uid="{00000000-0005-0000-0000-00000C000000}"/>
    <cellStyle name="Hyperlink" xfId="15" builtinId="8"/>
    <cellStyle name="Input" xfId="5" builtinId="20"/>
    <cellStyle name="Normal" xfId="0" builtinId="0"/>
    <cellStyle name="Normal 2" xfId="2" xr:uid="{00000000-0005-0000-0000-000010000000}"/>
    <cellStyle name="Normal 2 2" xfId="4" xr:uid="{00000000-0005-0000-0000-000011000000}"/>
    <cellStyle name="Normal 2 2 2" xfId="13" xr:uid="{00000000-0005-0000-0000-000012000000}"/>
    <cellStyle name="Normal 2 2 3" xfId="27" xr:uid="{00000000-0005-0000-0000-000013000000}"/>
    <cellStyle name="Normal 2 3" xfId="10" xr:uid="{00000000-0005-0000-0000-000014000000}"/>
    <cellStyle name="Normal 2 4" xfId="23" xr:uid="{00000000-0005-0000-0000-000015000000}"/>
    <cellStyle name="Normal 3" xfId="6" xr:uid="{00000000-0005-0000-0000-000016000000}"/>
    <cellStyle name="Normal 3 2" xfId="7" xr:uid="{00000000-0005-0000-0000-000017000000}"/>
    <cellStyle name="Normal 3 3" xfId="25" xr:uid="{00000000-0005-0000-0000-000018000000}"/>
    <cellStyle name="Normal 4" xfId="11" xr:uid="{00000000-0005-0000-0000-000019000000}"/>
    <cellStyle name="Normal 4 2" xfId="14" xr:uid="{00000000-0005-0000-0000-00001A000000}"/>
    <cellStyle name="Normal 4 3" xfId="20" xr:uid="{00000000-0005-0000-0000-00001B000000}"/>
    <cellStyle name="Normal 4 4" xfId="29" xr:uid="{00000000-0005-0000-0000-00001C000000}"/>
    <cellStyle name="Normal 5" xfId="16" xr:uid="{00000000-0005-0000-0000-00001D000000}"/>
    <cellStyle name="Percent" xfId="8" builtinId="5"/>
  </cellStyles>
  <dxfs count="107">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rgb="FF9C6500"/>
      </font>
      <fill>
        <patternFill>
          <bgColor rgb="FFFFEB9C"/>
        </patternFill>
      </fill>
    </dxf>
    <dxf>
      <font>
        <color rgb="FF9C6500"/>
      </font>
      <fill>
        <patternFill>
          <bgColor rgb="FFFFEB9C"/>
        </patternFill>
      </fill>
    </dxf>
    <dxf>
      <font>
        <color theme="0"/>
      </font>
      <fill>
        <patternFill>
          <bgColor theme="0"/>
        </patternFill>
      </fill>
      <border>
        <left/>
        <right/>
        <top/>
        <bottom/>
        <vertical/>
        <horizontal/>
      </border>
    </dxf>
    <dxf>
      <border>
        <left style="thin">
          <color auto="1"/>
        </left>
        <right style="thin">
          <color auto="1"/>
        </right>
        <vertical/>
        <horizontal/>
      </border>
    </dxf>
    <dxf>
      <border>
        <left/>
        <right/>
        <top/>
        <bottom/>
        <vertical/>
        <horizontal/>
      </border>
    </dxf>
    <dxf>
      <font>
        <color rgb="FFC00000"/>
      </font>
    </dxf>
    <dxf>
      <border>
        <left/>
        <right/>
        <top/>
        <bottom/>
        <vertical/>
        <horizontal/>
      </border>
    </dxf>
    <dxf>
      <border>
        <left style="thin">
          <color auto="1"/>
        </left>
        <right style="thin">
          <color auto="1"/>
        </right>
        <vertical/>
        <horizontal/>
      </border>
    </dxf>
    <dxf>
      <font>
        <color theme="0"/>
      </font>
    </dxf>
    <dxf>
      <fill>
        <patternFill patternType="none">
          <bgColor auto="1"/>
        </patternFill>
      </fill>
    </dxf>
    <dxf>
      <font>
        <color theme="0"/>
      </font>
      <fill>
        <patternFill patternType="solid">
          <bgColor theme="0"/>
        </patternFill>
      </fill>
      <border>
        <left/>
        <right/>
        <top/>
        <bottom/>
      </border>
    </dxf>
    <dxf>
      <fill>
        <patternFill>
          <bgColor theme="2" tint="-0.499984740745262"/>
        </patternFill>
      </fill>
    </dxf>
    <dxf>
      <font>
        <color theme="0"/>
      </font>
      <fill>
        <patternFill patternType="solid">
          <bgColor theme="0"/>
        </patternFill>
      </fill>
      <border>
        <left/>
        <right/>
        <top/>
        <bottom/>
      </border>
    </dxf>
    <dxf>
      <fill>
        <patternFill>
          <bgColor theme="8" tint="0.39994506668294322"/>
        </patternFill>
      </fill>
    </dxf>
    <dxf>
      <font>
        <color theme="0"/>
      </font>
      <fill>
        <patternFill patternType="solid">
          <bgColor theme="0"/>
        </patternFill>
      </fill>
      <border>
        <left/>
        <right/>
        <top/>
        <bottom/>
      </border>
    </dxf>
    <dxf>
      <fill>
        <patternFill patternType="none">
          <bgColor auto="1"/>
        </patternFill>
      </fill>
    </dxf>
    <dxf>
      <font>
        <color theme="0"/>
      </font>
      <fill>
        <patternFill patternType="solid">
          <bgColor theme="0"/>
        </patternFill>
      </fill>
      <border>
        <left/>
        <right/>
        <top/>
        <bottom/>
      </border>
    </dxf>
    <dxf>
      <fill>
        <patternFill>
          <bgColor theme="2" tint="-0.499984740745262"/>
        </patternFill>
      </fill>
    </dxf>
    <dxf>
      <font>
        <color theme="0"/>
      </font>
      <fill>
        <patternFill patternType="solid">
          <bgColor theme="0"/>
        </patternFill>
      </fill>
      <border>
        <left/>
        <right/>
        <top/>
        <bottom/>
      </border>
    </dxf>
    <dxf>
      <fill>
        <patternFill>
          <bgColor theme="8" tint="0.39994506668294322"/>
        </patternFill>
      </fill>
    </dxf>
    <dxf>
      <font>
        <color theme="0"/>
      </font>
      <fill>
        <patternFill patternType="solid">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fgColor theme="0"/>
          <bgColor theme="0"/>
        </patternFill>
      </fill>
      <border>
        <left/>
        <right/>
        <top/>
        <bottom/>
      </border>
    </dxf>
    <dxf>
      <font>
        <color theme="0"/>
      </font>
      <fill>
        <patternFill>
          <f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border>
        <top style="thin">
          <color auto="1"/>
        </top>
        <vertical/>
        <horizontal/>
      </border>
    </dxf>
    <dxf>
      <font>
        <color theme="0"/>
      </font>
      <fill>
        <patternFill>
          <bgColor theme="0"/>
        </patternFill>
      </fill>
      <border>
        <left/>
        <right/>
        <top/>
        <bottom/>
        <vertical/>
        <horizontal/>
      </border>
    </dxf>
    <dxf>
      <border>
        <top style="thin">
          <color auto="1"/>
        </top>
        <vertical/>
        <horizontal/>
      </border>
    </dxf>
    <dxf>
      <font>
        <color theme="0"/>
      </font>
      <fill>
        <patternFill>
          <bgColor theme="0"/>
        </patternFill>
      </fill>
      <border>
        <left/>
        <right/>
        <top/>
        <bottom/>
        <vertical/>
        <horizontal/>
      </border>
    </dxf>
    <dxf>
      <border>
        <top style="thin">
          <color auto="1"/>
        </top>
        <vertical/>
        <horizontal/>
      </border>
    </dxf>
    <dxf>
      <font>
        <color theme="0"/>
      </font>
      <fill>
        <patternFill>
          <bgColor theme="0"/>
        </patternFill>
      </fill>
      <border>
        <left/>
        <right/>
        <top/>
        <bottom/>
        <vertical/>
        <horizontal/>
      </border>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34998626667073579"/>
        </patternFill>
      </fill>
    </dxf>
    <dxf>
      <font>
        <color theme="0"/>
      </font>
      <fill>
        <patternFill>
          <bgColor theme="0"/>
        </patternFill>
      </fill>
      <border>
        <left/>
        <right/>
        <top/>
        <bottom/>
      </border>
    </dxf>
    <dxf>
      <border>
        <left style="thin">
          <color auto="1"/>
        </left>
        <vertical/>
        <horizontal/>
      </border>
    </dxf>
    <dxf>
      <fill>
        <patternFill>
          <bgColor theme="7"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bgColor theme="0"/>
        </patternFill>
      </fill>
      <border>
        <left/>
        <right/>
        <top/>
        <bottom/>
        <vertical/>
        <horizontal/>
      </border>
    </dxf>
    <dxf>
      <font>
        <b/>
        <i val="0"/>
        <color theme="0"/>
      </font>
    </dxf>
    <dxf>
      <font>
        <color theme="0"/>
      </font>
      <fill>
        <patternFill>
          <bgColor theme="0"/>
        </patternFill>
      </fill>
      <border>
        <left/>
        <right/>
        <top/>
        <bottom/>
      </border>
    </dxf>
    <dxf>
      <border>
        <top style="thin">
          <color auto="1"/>
        </top>
        <bottom style="thin">
          <color auto="1"/>
        </bottom>
        <vertical/>
        <horizontal/>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theme="0"/>
      </font>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b/>
        <i val="0"/>
        <color rgb="FFC00000"/>
      </font>
    </dxf>
    <dxf>
      <font>
        <color rgb="FFC00000"/>
      </font>
    </dxf>
    <dxf>
      <font>
        <color theme="0"/>
      </font>
      <fill>
        <patternFill patternType="none">
          <bgColor auto="1"/>
        </patternFill>
      </fill>
      <border>
        <left/>
        <right/>
        <top/>
        <bottom/>
        <vertical/>
        <horizontal/>
      </border>
    </dxf>
    <dxf>
      <font>
        <b/>
        <i val="0"/>
        <color theme="0"/>
      </font>
      <fill>
        <patternFill>
          <bgColor rgb="FFC00000"/>
        </patternFill>
      </fill>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dxf>
    <dxf>
      <font>
        <color theme="0"/>
      </font>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vertical/>
        <horizontal/>
      </border>
    </dxf>
    <dxf>
      <font>
        <color theme="0"/>
      </font>
      <fill>
        <patternFill>
          <bgColor theme="0"/>
        </patternFill>
      </fill>
      <border>
        <left/>
        <right/>
        <top/>
        <bottom/>
        <vertical/>
        <horizontal/>
      </border>
    </dxf>
    <dxf>
      <font>
        <color theme="0"/>
      </font>
      <fill>
        <patternFill>
          <bgColor theme="0"/>
        </patternFill>
      </fill>
    </dxf>
    <dxf>
      <font>
        <b/>
        <i val="0"/>
        <color rgb="FFFF0000"/>
      </font>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none">
          <bgColor auto="1"/>
        </patternFill>
      </fill>
      <border>
        <left style="thin">
          <color auto="1"/>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dxf>
    <dxf>
      <font>
        <color theme="0"/>
      </font>
      <fill>
        <patternFill>
          <bgColor theme="0"/>
        </patternFill>
      </fill>
    </dxf>
    <dxf>
      <font>
        <color theme="0"/>
      </font>
      <fill>
        <patternFill patternType="none">
          <bgColor auto="1"/>
        </patternFill>
      </fill>
      <border>
        <left style="thin">
          <color auto="1"/>
        </left>
        <right/>
        <top/>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color auto="1"/>
      </font>
      <fill>
        <patternFill>
          <bgColor theme="7" tint="0.79998168889431442"/>
        </patternFill>
      </fill>
      <border>
        <left style="thin">
          <color auto="1"/>
        </left>
        <right style="thin">
          <color auto="1"/>
        </right>
        <top style="thin">
          <color auto="1"/>
        </top>
        <bottom style="thin">
          <color auto="1"/>
        </bottom>
        <vertical/>
        <horizontal/>
      </border>
    </dxf>
    <dxf>
      <font>
        <b/>
        <i val="0"/>
        <color rgb="FFFF0000"/>
      </font>
    </dxf>
    <dxf>
      <font>
        <color theme="0"/>
      </font>
      <fill>
        <patternFill>
          <bgColor theme="0"/>
        </patternFill>
      </fill>
      <border>
        <left/>
        <right/>
        <top/>
        <bottom/>
      </border>
    </dxf>
    <dxf>
      <font>
        <color theme="0"/>
      </font>
      <fill>
        <patternFill patternType="solid">
          <bgColor theme="0"/>
        </patternFill>
      </fill>
      <border>
        <left/>
        <right/>
        <top/>
        <bottom/>
        <vertical/>
        <horizontal/>
      </border>
    </dxf>
    <dxf>
      <font>
        <color rgb="FF9C0006"/>
      </font>
      <fill>
        <patternFill>
          <bgColor rgb="FFFFC7CE"/>
        </patternFill>
      </fill>
    </dxf>
    <dxf>
      <font>
        <b/>
        <i val="0"/>
        <color theme="0"/>
      </font>
      <fill>
        <patternFill>
          <bgColor rgb="FFC0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1E7FB8"/>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COVID-19 Cases</a:t>
            </a:r>
            <a:br>
              <a:rPr lang="en-US" b="1">
                <a:solidFill>
                  <a:schemeClr val="tx1"/>
                </a:solidFill>
              </a:rPr>
            </a:br>
            <a:r>
              <a:rPr lang="en-US" sz="1200" b="0" i="1">
                <a:solidFill>
                  <a:schemeClr val="tx1"/>
                </a:solidFill>
              </a:rPr>
              <a:t>Over</a:t>
            </a:r>
            <a:r>
              <a:rPr lang="en-US" sz="1200" b="0" i="1" baseline="0">
                <a:solidFill>
                  <a:schemeClr val="tx1"/>
                </a:solidFill>
              </a:rPr>
              <a:t> Forecast Period</a:t>
            </a:r>
            <a:endParaRPr lang="en-US" b="1">
              <a:solidFill>
                <a:schemeClr val="tx1"/>
              </a:solidFill>
            </a:endParaRPr>
          </a:p>
        </c:rich>
      </c:tx>
      <c:layout>
        <c:manualLayout>
          <c:xMode val="edge"/>
          <c:yMode val="edge"/>
          <c:x val="0.63559426361375171"/>
          <c:y val="3.0586522355755798E-2"/>
        </c:manualLayout>
      </c:layout>
      <c:overlay val="1"/>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3"/>
          <c:order val="0"/>
          <c:tx>
            <c:v>Mild Cases</c:v>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Dashboard'!$C$26</c:f>
              <c:numCache>
                <c:formatCode>_(* #,##0_);_(* \(#,##0\);_(* "-"??_);_(@_)</c:formatCode>
                <c:ptCount val="1"/>
                <c:pt idx="0">
                  <c:v>649525.67538466584</c:v>
                </c:pt>
              </c:numCache>
            </c:numRef>
          </c:val>
          <c:extLst>
            <c:ext xmlns:c16="http://schemas.microsoft.com/office/drawing/2014/chart" uri="{C3380CC4-5D6E-409C-BE32-E72D297353CC}">
              <c16:uniqueId val="{00000000-0BD7-4566-B9E8-783F7408EB42}"/>
            </c:ext>
          </c:extLst>
        </c:ser>
        <c:ser>
          <c:idx val="0"/>
          <c:order val="1"/>
          <c:tx>
            <c:v>Moderate Cases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Dashboard'!$C$27</c:f>
              <c:numCache>
                <c:formatCode>_(* #,##0_);_(* \(#,##0\);_(* "-"??_);_(@_)</c:formatCode>
                <c:ptCount val="1"/>
                <c:pt idx="0">
                  <c:v>649525.67538466584</c:v>
                </c:pt>
              </c:numCache>
            </c:numRef>
          </c:val>
          <c:extLst>
            <c:ext xmlns:c16="http://schemas.microsoft.com/office/drawing/2014/chart" uri="{C3380CC4-5D6E-409C-BE32-E72D297353CC}">
              <c16:uniqueId val="{00000000-D134-477C-BC17-E3F1C40F83EB}"/>
            </c:ext>
          </c:extLst>
        </c:ser>
        <c:ser>
          <c:idx val="1"/>
          <c:order val="2"/>
          <c:tx>
            <c:v>Severe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Dashboard'!$C$28</c:f>
              <c:numCache>
                <c:formatCode>_(* #,##0_);_(* \(#,##0\);_(* "-"??_);_(@_)</c:formatCode>
                <c:ptCount val="1"/>
                <c:pt idx="0">
                  <c:v>243572.12826924969</c:v>
                </c:pt>
              </c:numCache>
            </c:numRef>
          </c:val>
          <c:extLst>
            <c:ext xmlns:c16="http://schemas.microsoft.com/office/drawing/2014/chart" uri="{C3380CC4-5D6E-409C-BE32-E72D297353CC}">
              <c16:uniqueId val="{00000001-D134-477C-BC17-E3F1C40F83EB}"/>
            </c:ext>
          </c:extLst>
        </c:ser>
        <c:ser>
          <c:idx val="2"/>
          <c:order val="3"/>
          <c:tx>
            <c:v>Critical Cases</c:v>
          </c:tx>
          <c:spPr>
            <a:solidFill>
              <a:srgbClr val="C00000"/>
            </a:solidFill>
            <a:ln>
              <a:noFill/>
            </a:ln>
            <a:effectLst/>
          </c:spPr>
          <c:invertIfNegative val="0"/>
          <c:dLbls>
            <c:dLbl>
              <c:idx val="0"/>
              <c:layout>
                <c:manualLayout>
                  <c:x val="3.1739676670163031E-3"/>
                  <c:y val="-0.15786038226711824"/>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82-465B-8AF4-EE489F4C067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Dashboard'!$C$29</c:f>
              <c:numCache>
                <c:formatCode>_(* #,##0_);_(* \(#,##0\);_(* "-"??_);_(@_)</c:formatCode>
                <c:ptCount val="1"/>
                <c:pt idx="0">
                  <c:v>81190.70942308323</c:v>
                </c:pt>
              </c:numCache>
            </c:numRef>
          </c:val>
          <c:extLst>
            <c:ext xmlns:c16="http://schemas.microsoft.com/office/drawing/2014/chart" uri="{C3380CC4-5D6E-409C-BE32-E72D297353CC}">
              <c16:uniqueId val="{00000002-D134-477C-BC17-E3F1C40F83EB}"/>
            </c:ext>
          </c:extLst>
        </c:ser>
        <c:dLbls>
          <c:showLegendKey val="0"/>
          <c:showVal val="0"/>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6436481620315979"/>
          <c:y val="0.32418602332918989"/>
          <c:w val="0.29602877261354149"/>
          <c:h val="0.4736296781852590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testing volume over forecasted period, with unlimited testing capacity</a:t>
            </a:r>
            <a:endParaRPr lang="en-US" sz="1200" b="1">
              <a:solidFill>
                <a:schemeClr val="tx1"/>
              </a:solidFill>
            </a:endParaRPr>
          </a:p>
        </c:rich>
      </c:tx>
      <c:layout>
        <c:manualLayout>
          <c:xMode val="edge"/>
          <c:yMode val="edge"/>
          <c:x val="0.21645445297032623"/>
          <c:y val="0"/>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25075233048225"/>
          <c:y val="0.2082007890559428"/>
          <c:w val="0.42791273448660455"/>
          <c:h val="0.66469958319762923"/>
        </c:manualLayout>
      </c:layout>
      <c:barChart>
        <c:barDir val="col"/>
        <c:grouping val="stacked"/>
        <c:varyColors val="0"/>
        <c:ser>
          <c:idx val="2"/>
          <c:order val="0"/>
          <c:tx>
            <c:v>Suspected but Negative</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Dashboard'!$F$66</c:f>
              <c:numCache>
                <c:formatCode>_(* #,##0_);_(* \(#,##0\);_(* "-"??_);_(@_)</c:formatCode>
                <c:ptCount val="1"/>
                <c:pt idx="0">
                  <c:v>1623814.1884616646</c:v>
                </c:pt>
              </c:numCache>
            </c:numRef>
          </c:val>
          <c:extLst>
            <c:ext xmlns:c16="http://schemas.microsoft.com/office/drawing/2014/chart" uri="{C3380CC4-5D6E-409C-BE32-E72D297353CC}">
              <c16:uniqueId val="{00000001-999C-44CE-A298-8F79F1401890}"/>
            </c:ext>
          </c:extLst>
        </c:ser>
        <c:ser>
          <c:idx val="1"/>
          <c:order val="1"/>
          <c:tx>
            <c:v>Diagnosis: Mild/Moderate</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Dashboard'!$E$66</c:f>
              <c:numCache>
                <c:formatCode>_(* #,##0_);_(* \(#,##0\);_(* "-"??_);_(@_)</c:formatCode>
                <c:ptCount val="1"/>
                <c:pt idx="0">
                  <c:v>129905.13507693319</c:v>
                </c:pt>
              </c:numCache>
            </c:numRef>
          </c:val>
          <c:extLst>
            <c:ext xmlns:c16="http://schemas.microsoft.com/office/drawing/2014/chart" uri="{C3380CC4-5D6E-409C-BE32-E72D297353CC}">
              <c16:uniqueId val="{00000000-999C-44CE-A298-8F79F1401890}"/>
            </c:ext>
          </c:extLst>
        </c:ser>
        <c:ser>
          <c:idx val="0"/>
          <c:order val="2"/>
          <c:tx>
            <c:v>Diagnosis: Severe/Critical</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lumMod val="9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c:v>
              </c:pt>
            </c:strLit>
          </c:cat>
          <c:val>
            <c:numRef>
              <c:f>'User Dashboard'!$E$68</c:f>
              <c:numCache>
                <c:formatCode>_(* #,##0_);_(* \(#,##0\);_(* "-"??_);_(@_)</c:formatCode>
                <c:ptCount val="1"/>
                <c:pt idx="0">
                  <c:v>324762.83769233292</c:v>
                </c:pt>
              </c:numCache>
            </c:numRef>
          </c:val>
          <c:extLst>
            <c:ext xmlns:c16="http://schemas.microsoft.com/office/drawing/2014/chart" uri="{C3380CC4-5D6E-409C-BE32-E72D297353CC}">
              <c16:uniqueId val="{00000000-A05E-4FF0-BE10-9CF4BFE68305}"/>
            </c:ext>
          </c:extLst>
        </c:ser>
        <c:ser>
          <c:idx val="3"/>
          <c:order val="3"/>
          <c:tx>
            <c:v>Release of Severe/Critical</c:v>
          </c:tx>
          <c:spPr>
            <a:solidFill>
              <a:schemeClr val="bg1">
                <a:lumMod val="65000"/>
              </a:schemeClr>
            </a:solidFill>
            <a:ln>
              <a:noFill/>
            </a:ln>
            <a:effectLst/>
          </c:spPr>
          <c:invertIfNegative val="0"/>
          <c:dLbls>
            <c:dLbl>
              <c:idx val="0"/>
              <c:layout>
                <c:manualLayout>
                  <c:x val="-2.7258565306586386E-3"/>
                  <c:y val="-5.2957347538184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2A-493B-AE1A-014A635568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'User Dashboard'!$F$68</c:f>
              <c:numCache>
                <c:formatCode>_(* #,##0_);_(* \(#,##0\);_(* "-"??_);_(@_)</c:formatCode>
                <c:ptCount val="1"/>
                <c:pt idx="0">
                  <c:v>206144.9626652505</c:v>
                </c:pt>
              </c:numCache>
            </c:numRef>
          </c:val>
          <c:extLst>
            <c:ext xmlns:c16="http://schemas.microsoft.com/office/drawing/2014/chart" uri="{C3380CC4-5D6E-409C-BE32-E72D297353CC}">
              <c16:uniqueId val="{00000002-999C-44CE-A298-8F79F1401890}"/>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56865001505959301"/>
          <c:y val="0.21029952933420515"/>
          <c:w val="0.40432662105761374"/>
          <c:h val="0.6976207330714321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HCWs</a:t>
            </a:r>
            <a:r>
              <a:rPr lang="en-US" b="1" baseline="0">
                <a:solidFill>
                  <a:sysClr val="windowText" lastClr="000000"/>
                </a:solidFill>
              </a:rPr>
              <a:t> Needed Each Week (constrained by bed and HCW capacity)</a:t>
            </a:r>
            <a:endParaRPr lang="en-US" b="0" i="1">
              <a:solidFill>
                <a:sysClr val="windowText" lastClr="000000"/>
              </a:solidFill>
            </a:endParaRPr>
          </a:p>
        </c:rich>
      </c:tx>
      <c:layout>
        <c:manualLayout>
          <c:xMode val="edge"/>
          <c:yMode val="edge"/>
          <c:x val="0.2244967191078936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0751447741720073"/>
          <c:h val="0.6518598716827062"/>
        </c:manualLayout>
      </c:layout>
      <c:lineChart>
        <c:grouping val="standard"/>
        <c:varyColors val="0"/>
        <c:ser>
          <c:idx val="0"/>
          <c:order val="0"/>
          <c:tx>
            <c:strRef>
              <c:f>'User Dashboard'!$K$85</c:f>
              <c:strCache>
                <c:ptCount val="1"/>
                <c:pt idx="0">
                  <c:v>Inpatient HCW</c:v>
                </c:pt>
              </c:strCache>
            </c:strRef>
          </c:tx>
          <c:spPr>
            <a:ln w="28575" cap="rnd">
              <a:solidFill>
                <a:schemeClr val="accent1"/>
              </a:solidFill>
              <a:round/>
            </a:ln>
            <a:effectLst/>
          </c:spPr>
          <c:marker>
            <c:symbol val="none"/>
          </c:marker>
          <c:cat>
            <c:numRef>
              <c:f>[0]!chart_axis</c:f>
              <c:numCache>
                <c:formatCode>General</c:formatCode>
                <c:ptCount val="12"/>
                <c:pt idx="0" formatCode="0">
                  <c:v>1</c:v>
                </c:pt>
                <c:pt idx="1">
                  <c:v>2</c:v>
                </c:pt>
                <c:pt idx="2">
                  <c:v>3</c:v>
                </c:pt>
                <c:pt idx="3">
                  <c:v>4</c:v>
                </c:pt>
                <c:pt idx="4">
                  <c:v>5</c:v>
                </c:pt>
                <c:pt idx="5">
                  <c:v>6</c:v>
                </c:pt>
                <c:pt idx="6">
                  <c:v>7</c:v>
                </c:pt>
                <c:pt idx="7">
                  <c:v>8</c:v>
                </c:pt>
                <c:pt idx="8">
                  <c:v>9</c:v>
                </c:pt>
                <c:pt idx="9">
                  <c:v>10</c:v>
                </c:pt>
                <c:pt idx="10">
                  <c:v>11</c:v>
                </c:pt>
                <c:pt idx="11">
                  <c:v>12</c:v>
                </c:pt>
              </c:numCache>
            </c:numRef>
          </c:cat>
          <c:val>
            <c:numRef>
              <c:f>[0]!chart_inpatient_hcw</c:f>
              <c:numCache>
                <c:formatCode>0</c:formatCode>
                <c:ptCount val="12"/>
                <c:pt idx="0">
                  <c:v>1.0356400576388092</c:v>
                </c:pt>
                <c:pt idx="1">
                  <c:v>3.5224279777596768</c:v>
                </c:pt>
                <c:pt idx="2">
                  <c:v>12.104740743843042</c:v>
                </c:pt>
                <c:pt idx="3">
                  <c:v>41.596319168333075</c:v>
                </c:pt>
                <c:pt idx="4">
                  <c:v>142.92438728532983</c:v>
                </c:pt>
                <c:pt idx="5">
                  <c:v>490.89992213052517</c:v>
                </c:pt>
                <c:pt idx="6">
                  <c:v>1683.8900748723863</c:v>
                </c:pt>
                <c:pt idx="7">
                  <c:v>5421.2228173866051</c:v>
                </c:pt>
                <c:pt idx="8">
                  <c:v>8370.5634892178605</c:v>
                </c:pt>
                <c:pt idx="9">
                  <c:v>8370.5634892178605</c:v>
                </c:pt>
                <c:pt idx="10">
                  <c:v>8370.5634892178605</c:v>
                </c:pt>
                <c:pt idx="11">
                  <c:v>8370.5634892178605</c:v>
                </c:pt>
              </c:numCache>
            </c:numRef>
          </c:val>
          <c:smooth val="0"/>
          <c:extLst>
            <c:ext xmlns:c16="http://schemas.microsoft.com/office/drawing/2014/chart" uri="{C3380CC4-5D6E-409C-BE32-E72D297353CC}">
              <c16:uniqueId val="{00000000-3EF0-417A-99D4-7693EE1D1A4F}"/>
            </c:ext>
          </c:extLst>
        </c:ser>
        <c:ser>
          <c:idx val="1"/>
          <c:order val="1"/>
          <c:tx>
            <c:strRef>
              <c:f>'User Dashboard'!$K$87</c:f>
              <c:strCache>
                <c:ptCount val="1"/>
                <c:pt idx="0">
                  <c:v>Screening/triage</c:v>
                </c:pt>
              </c:strCache>
            </c:strRef>
          </c:tx>
          <c:spPr>
            <a:ln w="28575" cap="rnd">
              <a:solidFill>
                <a:schemeClr val="accent6"/>
              </a:solidFill>
              <a:round/>
            </a:ln>
            <a:effectLst/>
          </c:spPr>
          <c:marker>
            <c:symbol val="none"/>
          </c:marker>
          <c:cat>
            <c:numRef>
              <c:f>[0]!chart_axis</c:f>
              <c:numCache>
                <c:formatCode>General</c:formatCode>
                <c:ptCount val="12"/>
                <c:pt idx="0" formatCode="0">
                  <c:v>1</c:v>
                </c:pt>
                <c:pt idx="1">
                  <c:v>2</c:v>
                </c:pt>
                <c:pt idx="2">
                  <c:v>3</c:v>
                </c:pt>
                <c:pt idx="3">
                  <c:v>4</c:v>
                </c:pt>
                <c:pt idx="4">
                  <c:v>5</c:v>
                </c:pt>
                <c:pt idx="5">
                  <c:v>6</c:v>
                </c:pt>
                <c:pt idx="6">
                  <c:v>7</c:v>
                </c:pt>
                <c:pt idx="7">
                  <c:v>8</c:v>
                </c:pt>
                <c:pt idx="8">
                  <c:v>9</c:v>
                </c:pt>
                <c:pt idx="9">
                  <c:v>10</c:v>
                </c:pt>
                <c:pt idx="10">
                  <c:v>11</c:v>
                </c:pt>
                <c:pt idx="11">
                  <c:v>12</c:v>
                </c:pt>
              </c:numCache>
            </c:numRef>
          </c:cat>
          <c:val>
            <c:numRef>
              <c:f>[0]!chart_outpatient_hcw</c:f>
              <c:numCache>
                <c:formatCode>0</c:formatCode>
                <c:ptCount val="12"/>
                <c:pt idx="0">
                  <c:v>1</c:v>
                </c:pt>
                <c:pt idx="1">
                  <c:v>1</c:v>
                </c:pt>
                <c:pt idx="2">
                  <c:v>1</c:v>
                </c:pt>
                <c:pt idx="3">
                  <c:v>1</c:v>
                </c:pt>
                <c:pt idx="4">
                  <c:v>3</c:v>
                </c:pt>
                <c:pt idx="5">
                  <c:v>10</c:v>
                </c:pt>
                <c:pt idx="6">
                  <c:v>34</c:v>
                </c:pt>
                <c:pt idx="7">
                  <c:v>113</c:v>
                </c:pt>
                <c:pt idx="8">
                  <c:v>380</c:v>
                </c:pt>
                <c:pt idx="9">
                  <c:v>913.83651078213904</c:v>
                </c:pt>
                <c:pt idx="10">
                  <c:v>913.83651078213904</c:v>
                </c:pt>
                <c:pt idx="11">
                  <c:v>913.83651078213904</c:v>
                </c:pt>
              </c:numCache>
            </c:numRef>
          </c:val>
          <c:smooth val="0"/>
          <c:extLst>
            <c:ext xmlns:c16="http://schemas.microsoft.com/office/drawing/2014/chart" uri="{C3380CC4-5D6E-409C-BE32-E72D297353CC}">
              <c16:uniqueId val="{00000001-3EF0-417A-99D4-7693EE1D1A4F}"/>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legend>
      <c:legendPos val="r"/>
      <c:layout>
        <c:manualLayout>
          <c:xMode val="edge"/>
          <c:yMode val="edge"/>
          <c:x val="0.84656171434935357"/>
          <c:y val="0.19265009924608684"/>
          <c:w val="0.15343833606530019"/>
          <c:h val="0.47109924943403508"/>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400" b="1" i="0" baseline="0">
                <a:solidFill>
                  <a:sysClr val="windowText" lastClr="000000"/>
                </a:solidFill>
                <a:effectLst/>
              </a:rPr>
              <a:t>Total testing volume over forecasted period, capped by testing capacity</a:t>
            </a:r>
            <a:endParaRPr lang="en-US">
              <a:solidFill>
                <a:sysClr val="windowText" lastClr="000000"/>
              </a:solidFill>
              <a:effectLst/>
            </a:endParaRPr>
          </a:p>
        </c:rich>
      </c:tx>
      <c:layout>
        <c:manualLayout>
          <c:xMode val="edge"/>
          <c:yMode val="edge"/>
          <c:x val="0.17402159211920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629023995173534"/>
          <c:y val="0.18335358802442789"/>
          <c:w val="0.79309797477300104"/>
          <c:h val="0.68049538465093162"/>
        </c:manualLayout>
      </c:layout>
      <c:barChart>
        <c:barDir val="col"/>
        <c:grouping val="clustered"/>
        <c:varyColors val="0"/>
        <c:ser>
          <c:idx val="0"/>
          <c:order val="0"/>
          <c:spPr>
            <a:solidFill>
              <a:srgbClr val="1E7FB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Tests (capped by testing capacity)</c:v>
              </c:pt>
            </c:strLit>
          </c:cat>
          <c:val>
            <c:numRef>
              <c:f>'HCW &amp; Staff'!$BF$47</c:f>
              <c:numCache>
                <c:formatCode>_(* #,##0_);_(* \(#,##0\);_(* "-"??_);_(@_)</c:formatCode>
                <c:ptCount val="1"/>
                <c:pt idx="0">
                  <c:v>322517.5206073692</c:v>
                </c:pt>
              </c:numCache>
            </c:numRef>
          </c:val>
          <c:extLst>
            <c:ext xmlns:c16="http://schemas.microsoft.com/office/drawing/2014/chart" uri="{C3380CC4-5D6E-409C-BE32-E72D297353CC}">
              <c16:uniqueId val="{00000000-AB65-442F-ADE0-287458E71886}"/>
            </c:ext>
          </c:extLst>
        </c:ser>
        <c:dLbls>
          <c:showLegendKey val="0"/>
          <c:showVal val="0"/>
          <c:showCatName val="0"/>
          <c:showSerName val="0"/>
          <c:showPercent val="0"/>
          <c:showBubbleSize val="0"/>
        </c:dLbls>
        <c:gapWidth val="219"/>
        <c:overlap val="-27"/>
        <c:axId val="962998264"/>
        <c:axId val="962995968"/>
      </c:barChart>
      <c:catAx>
        <c:axId val="96299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962995968"/>
        <c:crosses val="autoZero"/>
        <c:auto val="1"/>
        <c:lblAlgn val="ctr"/>
        <c:lblOffset val="100"/>
        <c:noMultiLvlLbl val="0"/>
      </c:catAx>
      <c:valAx>
        <c:axId val="9629959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2998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Total Inpatient Admissions</a:t>
            </a:r>
            <a:br>
              <a:rPr lang="en-US" b="1">
                <a:solidFill>
                  <a:schemeClr val="tx1"/>
                </a:solidFill>
              </a:rPr>
            </a:br>
            <a:r>
              <a:rPr lang="en-US" sz="1200" b="0" i="1">
                <a:solidFill>
                  <a:schemeClr val="tx1"/>
                </a:solidFill>
              </a:rPr>
              <a:t>Over</a:t>
            </a:r>
            <a:r>
              <a:rPr lang="en-US" sz="1200" b="0" i="1" baseline="0">
                <a:solidFill>
                  <a:schemeClr val="tx1"/>
                </a:solidFill>
              </a:rPr>
              <a:t> Forecast Period</a:t>
            </a:r>
            <a:br>
              <a:rPr lang="en-US" sz="1200" b="0" i="1" baseline="0">
                <a:solidFill>
                  <a:schemeClr val="tx1"/>
                </a:solidFill>
              </a:rPr>
            </a:br>
            <a:r>
              <a:rPr lang="en-US" sz="1200" b="0" i="1" baseline="0">
                <a:solidFill>
                  <a:schemeClr val="tx1"/>
                </a:solidFill>
              </a:rPr>
              <a:t>Constrained by bed availability</a:t>
            </a:r>
            <a:endParaRPr lang="en-US" b="1">
              <a:solidFill>
                <a:schemeClr val="tx1"/>
              </a:solidFill>
            </a:endParaRPr>
          </a:p>
        </c:rich>
      </c:tx>
      <c:layout>
        <c:manualLayout>
          <c:xMode val="edge"/>
          <c:yMode val="edge"/>
          <c:x val="0.59662316382090685"/>
          <c:y val="1.8139555256166471E-3"/>
        </c:manualLayout>
      </c:layout>
      <c:overlay val="1"/>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13606037340571"/>
          <c:y val="5.2287571914125613E-2"/>
          <c:w val="0.50514733277387946"/>
          <c:h val="0.81978191927951694"/>
        </c:manualLayout>
      </c:layout>
      <c:barChart>
        <c:barDir val="col"/>
        <c:grouping val="stacked"/>
        <c:varyColors val="0"/>
        <c:ser>
          <c:idx val="1"/>
          <c:order val="0"/>
          <c:tx>
            <c:v>Severe Admitted Cases</c:v>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Dashboard'!$C$51</c:f>
              <c:numCache>
                <c:formatCode>_(* #,##0_);_(* \(#,##0\);_(* "-"??_);_(@_)</c:formatCode>
                <c:ptCount val="1"/>
                <c:pt idx="0">
                  <c:v>75523.102586447159</c:v>
                </c:pt>
              </c:numCache>
            </c:numRef>
          </c:val>
          <c:extLst>
            <c:ext xmlns:c16="http://schemas.microsoft.com/office/drawing/2014/chart" uri="{C3380CC4-5D6E-409C-BE32-E72D297353CC}">
              <c16:uniqueId val="{00000002-33D0-4755-98E4-DFB6AF6CAB25}"/>
            </c:ext>
          </c:extLst>
        </c:ser>
        <c:ser>
          <c:idx val="2"/>
          <c:order val="1"/>
          <c:tx>
            <c:v>Critical Admitted Cases</c:v>
          </c:tx>
          <c:spPr>
            <a:solidFill>
              <a:srgbClr val="C00000"/>
            </a:solidFill>
            <a:ln>
              <a:noFill/>
            </a:ln>
            <a:effectLst/>
          </c:spPr>
          <c:invertIfNegative val="0"/>
          <c:dLbls>
            <c:dLbl>
              <c:idx val="0"/>
              <c:layout>
                <c:manualLayout>
                  <c:x val="0"/>
                  <c:y val="-0.13906740634567258"/>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D0-4755-98E4-DFB6AF6CAB2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COVID-19 Cases</c:v>
              </c:pt>
            </c:strLit>
          </c:cat>
          <c:val>
            <c:numRef>
              <c:f>'User Dashboard'!$C$52</c:f>
              <c:numCache>
                <c:formatCode>_(* #,##0_);_(* \(#,##0\);_(* "-"??_);_(@_)</c:formatCode>
                <c:ptCount val="1"/>
                <c:pt idx="0">
                  <c:v>2725.8488743535049</c:v>
                </c:pt>
              </c:numCache>
            </c:numRef>
          </c:val>
          <c:extLst>
            <c:ext xmlns:c16="http://schemas.microsoft.com/office/drawing/2014/chart" uri="{C3380CC4-5D6E-409C-BE32-E72D297353CC}">
              <c16:uniqueId val="{00000003-33D0-4755-98E4-DFB6AF6CAB25}"/>
            </c:ext>
          </c:extLst>
        </c:ser>
        <c:dLbls>
          <c:dLblPos val="ctr"/>
          <c:showLegendKey val="0"/>
          <c:showVal val="1"/>
          <c:showCatName val="0"/>
          <c:showSerName val="0"/>
          <c:showPercent val="0"/>
          <c:showBubbleSize val="0"/>
        </c:dLbls>
        <c:gapWidth val="150"/>
        <c:overlap val="100"/>
        <c:axId val="896612568"/>
        <c:axId val="896621424"/>
      </c:barChart>
      <c:catAx>
        <c:axId val="89661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96621424"/>
        <c:crosses val="autoZero"/>
        <c:auto val="1"/>
        <c:lblAlgn val="ctr"/>
        <c:lblOffset val="100"/>
        <c:noMultiLvlLbl val="0"/>
      </c:catAx>
      <c:valAx>
        <c:axId val="896621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96612568"/>
        <c:crosses val="autoZero"/>
        <c:crossBetween val="between"/>
      </c:valAx>
      <c:spPr>
        <a:noFill/>
        <a:ln>
          <a:noFill/>
        </a:ln>
        <a:effectLst/>
      </c:spPr>
    </c:plotArea>
    <c:legend>
      <c:legendPos val="r"/>
      <c:layout>
        <c:manualLayout>
          <c:xMode val="edge"/>
          <c:yMode val="edge"/>
          <c:x val="0.64054178940319251"/>
          <c:y val="0.31939059552416671"/>
          <c:w val="0.34320602916413689"/>
          <c:h val="0.4160845445249807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Inpatient</a:t>
            </a:r>
            <a:r>
              <a:rPr lang="en-US" b="1" baseline="0">
                <a:solidFill>
                  <a:sysClr val="windowText" lastClr="000000"/>
                </a:solidFill>
              </a:rPr>
              <a:t> Beds Filled Each Week (Constrained by Bed Availability)</a:t>
            </a:r>
            <a:endParaRPr lang="en-US" b="0" i="1">
              <a:solidFill>
                <a:sysClr val="windowText" lastClr="000000"/>
              </a:solidFill>
            </a:endParaRPr>
          </a:p>
        </c:rich>
      </c:tx>
      <c:layout>
        <c:manualLayout>
          <c:xMode val="edge"/>
          <c:yMode val="edge"/>
          <c:x val="0.25883395688730354"/>
          <c:y val="2.9442675651448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59066171860393E-2"/>
          <c:y val="0.18518518518518517"/>
          <c:w val="0.84171645350538649"/>
          <c:h val="0.54623567704887666"/>
        </c:manualLayout>
      </c:layout>
      <c:lineChart>
        <c:grouping val="standard"/>
        <c:varyColors val="0"/>
        <c:ser>
          <c:idx val="0"/>
          <c:order val="2"/>
          <c:tx>
            <c:strRef>
              <c:f>'User Dashboard'!$K$51</c:f>
              <c:strCache>
                <c:ptCount val="1"/>
                <c:pt idx="0">
                  <c:v>Severe Beds</c:v>
                </c:pt>
              </c:strCache>
            </c:strRef>
          </c:tx>
          <c:spPr>
            <a:ln w="28575" cap="rnd">
              <a:solidFill>
                <a:schemeClr val="tx2"/>
              </a:solidFill>
              <a:round/>
            </a:ln>
            <a:effectLst/>
          </c:spPr>
          <c:marker>
            <c:symbol val="none"/>
          </c:marker>
          <c:cat>
            <c:numRef>
              <c:f>[0]!chart_axis</c:f>
              <c:numCache>
                <c:formatCode>General</c:formatCode>
                <c:ptCount val="12"/>
                <c:pt idx="0" formatCode="0">
                  <c:v>1</c:v>
                </c:pt>
                <c:pt idx="1">
                  <c:v>2</c:v>
                </c:pt>
                <c:pt idx="2">
                  <c:v>3</c:v>
                </c:pt>
                <c:pt idx="3">
                  <c:v>4</c:v>
                </c:pt>
                <c:pt idx="4">
                  <c:v>5</c:v>
                </c:pt>
                <c:pt idx="5">
                  <c:v>6</c:v>
                </c:pt>
                <c:pt idx="6">
                  <c:v>7</c:v>
                </c:pt>
                <c:pt idx="7">
                  <c:v>8</c:v>
                </c:pt>
                <c:pt idx="8">
                  <c:v>9</c:v>
                </c:pt>
                <c:pt idx="9">
                  <c:v>10</c:v>
                </c:pt>
                <c:pt idx="10">
                  <c:v>11</c:v>
                </c:pt>
                <c:pt idx="11">
                  <c:v>12</c:v>
                </c:pt>
              </c:numCache>
            </c:numRef>
          </c:cat>
          <c:val>
            <c:numRef>
              <c:f>[0]!Chart_severe_beds</c:f>
              <c:numCache>
                <c:formatCode>0</c:formatCode>
                <c:ptCount val="12"/>
                <c:pt idx="0">
                  <c:v>0.44705810885949004</c:v>
                </c:pt>
                <c:pt idx="1">
                  <c:v>1.536318730001371</c:v>
                </c:pt>
                <c:pt idx="2">
                  <c:v>5.2795195958472325</c:v>
                </c:pt>
                <c:pt idx="3">
                  <c:v>18.14231992911089</c:v>
                </c:pt>
                <c:pt idx="4">
                  <c:v>62.336274096810314</c:v>
                </c:pt>
                <c:pt idx="5">
                  <c:v>214.0995325998839</c:v>
                </c:pt>
                <c:pt idx="6">
                  <c:v>734.33822062734316</c:v>
                </c:pt>
                <c:pt idx="7">
                  <c:v>2506.9170551750631</c:v>
                </c:pt>
                <c:pt idx="8">
                  <c:v>8422.8414875842282</c:v>
                </c:pt>
                <c:pt idx="9">
                  <c:v>21185.721600000001</c:v>
                </c:pt>
                <c:pt idx="10">
                  <c:v>21185.721600000001</c:v>
                </c:pt>
                <c:pt idx="11">
                  <c:v>21185.721600000001</c:v>
                </c:pt>
              </c:numCache>
            </c:numRef>
          </c:val>
          <c:smooth val="0"/>
          <c:extLst>
            <c:ext xmlns:c16="http://schemas.microsoft.com/office/drawing/2014/chart" uri="{C3380CC4-5D6E-409C-BE32-E72D297353CC}">
              <c16:uniqueId val="{00000000-FE5E-41F0-A30C-1F8E7394762E}"/>
            </c:ext>
          </c:extLst>
        </c:ser>
        <c:ser>
          <c:idx val="3"/>
          <c:order val="3"/>
          <c:tx>
            <c:v>Severe Bed Cap</c:v>
          </c:tx>
          <c:spPr>
            <a:ln w="28575" cap="rnd">
              <a:solidFill>
                <a:schemeClr val="tx2"/>
              </a:solidFill>
              <a:prstDash val="sysDot"/>
              <a:round/>
            </a:ln>
            <a:effectLst/>
          </c:spPr>
          <c:marker>
            <c:symbol val="none"/>
          </c:marker>
          <c:val>
            <c:numRef>
              <c:f>[0]!Chart_severe_cap</c:f>
              <c:numCache>
                <c:formatCode>0</c:formatCode>
                <c:ptCount val="12"/>
                <c:pt idx="0">
                  <c:v>21185.721600000001</c:v>
                </c:pt>
                <c:pt idx="1">
                  <c:v>21185.721600000001</c:v>
                </c:pt>
                <c:pt idx="2">
                  <c:v>21185.721600000001</c:v>
                </c:pt>
                <c:pt idx="3">
                  <c:v>21185.721600000001</c:v>
                </c:pt>
                <c:pt idx="4">
                  <c:v>21185.721600000001</c:v>
                </c:pt>
                <c:pt idx="5">
                  <c:v>21185.721600000001</c:v>
                </c:pt>
                <c:pt idx="6">
                  <c:v>21185.721600000001</c:v>
                </c:pt>
                <c:pt idx="7">
                  <c:v>21185.721600000001</c:v>
                </c:pt>
                <c:pt idx="8">
                  <c:v>21185.721600000001</c:v>
                </c:pt>
                <c:pt idx="9">
                  <c:v>21185.721600000001</c:v>
                </c:pt>
                <c:pt idx="10">
                  <c:v>21185.721600000001</c:v>
                </c:pt>
                <c:pt idx="11">
                  <c:v>21185.721600000001</c:v>
                </c:pt>
              </c:numCache>
            </c:numRef>
          </c:val>
          <c:smooth val="0"/>
          <c:extLst>
            <c:ext xmlns:c16="http://schemas.microsoft.com/office/drawing/2014/chart" uri="{C3380CC4-5D6E-409C-BE32-E72D297353CC}">
              <c16:uniqueId val="{00000003-25AA-4C63-AC34-0045A10ACCF3}"/>
            </c:ext>
          </c:extLst>
        </c:ser>
        <c:dLbls>
          <c:showLegendKey val="0"/>
          <c:showVal val="0"/>
          <c:showCatName val="0"/>
          <c:showSerName val="0"/>
          <c:showPercent val="0"/>
          <c:showBubbleSize val="0"/>
        </c:dLbls>
        <c:marker val="1"/>
        <c:smooth val="0"/>
        <c:axId val="192198224"/>
        <c:axId val="192197568"/>
      </c:lineChart>
      <c:lineChart>
        <c:grouping val="standard"/>
        <c:varyColors val="0"/>
        <c:ser>
          <c:idx val="1"/>
          <c:order val="0"/>
          <c:tx>
            <c:strRef>
              <c:f>'User Dashboard'!$K$50</c:f>
              <c:strCache>
                <c:ptCount val="1"/>
                <c:pt idx="0">
                  <c:v>Critical Beds</c:v>
                </c:pt>
              </c:strCache>
            </c:strRef>
          </c:tx>
          <c:spPr>
            <a:ln w="28575" cap="rnd">
              <a:solidFill>
                <a:srgbClr val="C00000"/>
              </a:solidFill>
              <a:round/>
            </a:ln>
            <a:effectLst/>
          </c:spPr>
          <c:marker>
            <c:symbol val="none"/>
          </c:marker>
          <c:cat>
            <c:numRef>
              <c:f>[0]!chart_axis</c:f>
              <c:numCache>
                <c:formatCode>General</c:formatCode>
                <c:ptCount val="12"/>
                <c:pt idx="0" formatCode="0">
                  <c:v>1</c:v>
                </c:pt>
                <c:pt idx="1">
                  <c:v>2</c:v>
                </c:pt>
                <c:pt idx="2">
                  <c:v>3</c:v>
                </c:pt>
                <c:pt idx="3">
                  <c:v>4</c:v>
                </c:pt>
                <c:pt idx="4">
                  <c:v>5</c:v>
                </c:pt>
                <c:pt idx="5">
                  <c:v>6</c:v>
                </c:pt>
                <c:pt idx="6">
                  <c:v>7</c:v>
                </c:pt>
                <c:pt idx="7">
                  <c:v>8</c:v>
                </c:pt>
                <c:pt idx="8">
                  <c:v>9</c:v>
                </c:pt>
                <c:pt idx="9">
                  <c:v>10</c:v>
                </c:pt>
                <c:pt idx="10">
                  <c:v>11</c:v>
                </c:pt>
                <c:pt idx="11">
                  <c:v>12</c:v>
                </c:pt>
              </c:numCache>
            </c:numRef>
          </c:cat>
          <c:val>
            <c:numRef>
              <c:f>[0]!Chart_ICU_beds</c:f>
              <c:numCache>
                <c:formatCode>0</c:formatCode>
                <c:ptCount val="12"/>
                <c:pt idx="0">
                  <c:v>0.19901936961983005</c:v>
                </c:pt>
                <c:pt idx="1">
                  <c:v>0.66112561295362027</c:v>
                </c:pt>
                <c:pt idx="2">
                  <c:v>2.2719461086162016</c:v>
                </c:pt>
                <c:pt idx="3">
                  <c:v>7.8072798416527087</c:v>
                </c:pt>
                <c:pt idx="4">
                  <c:v>26.826198008640404</c:v>
                </c:pt>
                <c:pt idx="5">
                  <c:v>92.145268898898095</c:v>
                </c:pt>
                <c:pt idx="6">
                  <c:v>316.1459177424091</c:v>
                </c:pt>
                <c:pt idx="7">
                  <c:v>875.0784000000001</c:v>
                </c:pt>
                <c:pt idx="8">
                  <c:v>875.0784000000001</c:v>
                </c:pt>
                <c:pt idx="9">
                  <c:v>875.0784000000001</c:v>
                </c:pt>
                <c:pt idx="10">
                  <c:v>875.0784000000001</c:v>
                </c:pt>
                <c:pt idx="11">
                  <c:v>875.0784000000001</c:v>
                </c:pt>
              </c:numCache>
            </c:numRef>
          </c:val>
          <c:smooth val="0"/>
          <c:extLst>
            <c:ext xmlns:c16="http://schemas.microsoft.com/office/drawing/2014/chart" uri="{C3380CC4-5D6E-409C-BE32-E72D297353CC}">
              <c16:uniqueId val="{00000001-FE5E-41F0-A30C-1F8E7394762E}"/>
            </c:ext>
          </c:extLst>
        </c:ser>
        <c:ser>
          <c:idx val="2"/>
          <c:order val="1"/>
          <c:tx>
            <c:v>Critical Bed Cap</c:v>
          </c:tx>
          <c:spPr>
            <a:ln w="28575" cap="rnd">
              <a:solidFill>
                <a:srgbClr val="C00000"/>
              </a:solidFill>
              <a:prstDash val="sysDot"/>
              <a:round/>
            </a:ln>
            <a:effectLst/>
          </c:spPr>
          <c:marker>
            <c:symbol val="none"/>
          </c:marker>
          <c:val>
            <c:numRef>
              <c:f>[0]!Chart_Critical_cap</c:f>
              <c:numCache>
                <c:formatCode>0</c:formatCode>
                <c:ptCount val="12"/>
                <c:pt idx="0">
                  <c:v>875.0784000000001</c:v>
                </c:pt>
                <c:pt idx="1">
                  <c:v>875.0784000000001</c:v>
                </c:pt>
                <c:pt idx="2">
                  <c:v>875.0784000000001</c:v>
                </c:pt>
                <c:pt idx="3">
                  <c:v>875.0784000000001</c:v>
                </c:pt>
                <c:pt idx="4">
                  <c:v>875.0784000000001</c:v>
                </c:pt>
                <c:pt idx="5">
                  <c:v>875.0784000000001</c:v>
                </c:pt>
                <c:pt idx="6">
                  <c:v>875.0784000000001</c:v>
                </c:pt>
                <c:pt idx="7">
                  <c:v>875.0784000000001</c:v>
                </c:pt>
                <c:pt idx="8">
                  <c:v>875.0784000000001</c:v>
                </c:pt>
                <c:pt idx="9">
                  <c:v>875.0784000000001</c:v>
                </c:pt>
                <c:pt idx="10">
                  <c:v>875.0784000000001</c:v>
                </c:pt>
                <c:pt idx="11">
                  <c:v>875.0784000000001</c:v>
                </c:pt>
              </c:numCache>
            </c:numRef>
          </c:val>
          <c:smooth val="0"/>
          <c:extLst>
            <c:ext xmlns:c16="http://schemas.microsoft.com/office/drawing/2014/chart" uri="{C3380CC4-5D6E-409C-BE32-E72D297353CC}">
              <c16:uniqueId val="{00000002-25AA-4C63-AC34-0045A10ACCF3}"/>
            </c:ext>
          </c:extLst>
        </c:ser>
        <c:dLbls>
          <c:showLegendKey val="0"/>
          <c:showVal val="0"/>
          <c:showCatName val="0"/>
          <c:showSerName val="0"/>
          <c:showPercent val="0"/>
          <c:showBubbleSize val="0"/>
        </c:dLbls>
        <c:marker val="1"/>
        <c:smooth val="0"/>
        <c:axId val="516374712"/>
        <c:axId val="516382912"/>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layout>
            <c:manualLayout>
              <c:xMode val="edge"/>
              <c:yMode val="edge"/>
              <c:x val="0.45700368112405049"/>
              <c:y val="0.789985747931181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Severe Beds</a:t>
                </a:r>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valAx>
        <c:axId val="5163829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Critical Beds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74712"/>
        <c:crosses val="max"/>
        <c:crossBetween val="between"/>
      </c:valAx>
      <c:catAx>
        <c:axId val="516374712"/>
        <c:scaling>
          <c:orientation val="minMax"/>
        </c:scaling>
        <c:delete val="1"/>
        <c:axPos val="b"/>
        <c:numFmt formatCode="0" sourceLinked="1"/>
        <c:majorTickMark val="out"/>
        <c:minorTickMark val="none"/>
        <c:tickLblPos val="nextTo"/>
        <c:crossAx val="516382912"/>
        <c:crosses val="autoZero"/>
        <c:auto val="1"/>
        <c:lblAlgn val="ctr"/>
        <c:lblOffset val="100"/>
        <c:noMultiLvlLbl val="0"/>
      </c:catAx>
      <c:spPr>
        <a:noFill/>
        <a:ln>
          <a:noFill/>
        </a:ln>
        <a:effectLst/>
      </c:spPr>
    </c:plotArea>
    <c:legend>
      <c:legendPos val="b"/>
      <c:layout>
        <c:manualLayout>
          <c:xMode val="edge"/>
          <c:yMode val="edge"/>
          <c:x val="0.22539768128882631"/>
          <c:y val="0.90735966248681588"/>
          <c:w val="0.56947246398321438"/>
          <c:h val="9.264033751318409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solidFill>
                  <a:sysClr val="windowText" lastClr="000000"/>
                </a:solidFill>
              </a:rPr>
              <a:t>New COVID-19 Cases</a:t>
            </a:r>
            <a:r>
              <a:rPr lang="en-US" b="1" baseline="0">
                <a:solidFill>
                  <a:sysClr val="windowText" lastClr="000000"/>
                </a:solidFill>
              </a:rPr>
              <a:t> Each Week</a:t>
            </a:r>
          </a:p>
        </c:rich>
      </c:tx>
      <c:layout>
        <c:manualLayout>
          <c:xMode val="edge"/>
          <c:yMode val="edge"/>
          <c:x val="0.35976763563874148"/>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0751447741720073"/>
          <c:h val="0.6518598716827062"/>
        </c:manualLayout>
      </c:layout>
      <c:lineChart>
        <c:grouping val="standard"/>
        <c:varyColors val="0"/>
        <c:ser>
          <c:idx val="0"/>
          <c:order val="0"/>
          <c:tx>
            <c:v>Mild Patients</c:v>
          </c:tx>
          <c:spPr>
            <a:ln w="28575" cap="rnd">
              <a:solidFill>
                <a:srgbClr val="002060"/>
              </a:solidFill>
              <a:round/>
            </a:ln>
            <a:effectLst/>
          </c:spPr>
          <c:marker>
            <c:symbol val="none"/>
          </c:marker>
          <c:cat>
            <c:numRef>
              <c:f>[0]!chart_axis</c:f>
              <c:numCache>
                <c:formatCode>General</c:formatCode>
                <c:ptCount val="12"/>
                <c:pt idx="0" formatCode="0">
                  <c:v>1</c:v>
                </c:pt>
                <c:pt idx="1">
                  <c:v>2</c:v>
                </c:pt>
                <c:pt idx="2">
                  <c:v>3</c:v>
                </c:pt>
                <c:pt idx="3">
                  <c:v>4</c:v>
                </c:pt>
                <c:pt idx="4">
                  <c:v>5</c:v>
                </c:pt>
                <c:pt idx="5">
                  <c:v>6</c:v>
                </c:pt>
                <c:pt idx="6">
                  <c:v>7</c:v>
                </c:pt>
                <c:pt idx="7">
                  <c:v>8</c:v>
                </c:pt>
                <c:pt idx="8">
                  <c:v>9</c:v>
                </c:pt>
                <c:pt idx="9">
                  <c:v>10</c:v>
                </c:pt>
                <c:pt idx="10">
                  <c:v>11</c:v>
                </c:pt>
                <c:pt idx="11">
                  <c:v>12</c:v>
                </c:pt>
              </c:numCache>
            </c:numRef>
          </c:cat>
          <c:val>
            <c:numRef>
              <c:f>[0]!Chart_milds</c:f>
              <c:numCache>
                <c:formatCode>0</c:formatCode>
                <c:ptCount val="12"/>
                <c:pt idx="0">
                  <c:v>1.1921549569586405</c:v>
                </c:pt>
                <c:pt idx="1">
                  <c:v>4.0968499466703223</c:v>
                </c:pt>
                <c:pt idx="2">
                  <c:v>14.078718922259288</c:v>
                </c:pt>
                <c:pt idx="3">
                  <c:v>48.379519810962371</c:v>
                </c:pt>
                <c:pt idx="4">
                  <c:v>166.23006425816084</c:v>
                </c:pt>
                <c:pt idx="5">
                  <c:v>570.93208693302392</c:v>
                </c:pt>
                <c:pt idx="6">
                  <c:v>1958.235255006249</c:v>
                </c:pt>
                <c:pt idx="7">
                  <c:v>6685.1121471335009</c:v>
                </c:pt>
                <c:pt idx="8">
                  <c:v>22460.910633557942</c:v>
                </c:pt>
                <c:pt idx="9">
                  <c:v>71578.099683807624</c:v>
                </c:pt>
                <c:pt idx="10">
                  <c:v>193985.78057767416</c:v>
                </c:pt>
                <c:pt idx="11">
                  <c:v>352052.6276926584</c:v>
                </c:pt>
              </c:numCache>
            </c:numRef>
          </c:val>
          <c:smooth val="0"/>
          <c:extLst>
            <c:ext xmlns:c16="http://schemas.microsoft.com/office/drawing/2014/chart" uri="{C3380CC4-5D6E-409C-BE32-E72D297353CC}">
              <c16:uniqueId val="{00000001-D789-43AC-A2C7-BAE0612A1273}"/>
            </c:ext>
          </c:extLst>
        </c:ser>
        <c:ser>
          <c:idx val="1"/>
          <c:order val="1"/>
          <c:tx>
            <c:v>Moderate Patients</c:v>
          </c:tx>
          <c:spPr>
            <a:ln w="28575" cap="rnd">
              <a:solidFill>
                <a:schemeClr val="accent1"/>
              </a:solidFill>
              <a:round/>
            </a:ln>
            <a:effectLst/>
          </c:spPr>
          <c:marker>
            <c:symbol val="none"/>
          </c:marker>
          <c:val>
            <c:numRef>
              <c:f>[0]!chart_moderates</c:f>
              <c:numCache>
                <c:formatCode>0</c:formatCode>
                <c:ptCount val="12"/>
                <c:pt idx="0">
                  <c:v>1.1921549569586405</c:v>
                </c:pt>
                <c:pt idx="1">
                  <c:v>4.0968499466703223</c:v>
                </c:pt>
                <c:pt idx="2">
                  <c:v>14.078718922259288</c:v>
                </c:pt>
                <c:pt idx="3">
                  <c:v>48.379519810962371</c:v>
                </c:pt>
                <c:pt idx="4">
                  <c:v>166.23006425816084</c:v>
                </c:pt>
                <c:pt idx="5">
                  <c:v>570.93208693302392</c:v>
                </c:pt>
                <c:pt idx="6">
                  <c:v>1958.235255006249</c:v>
                </c:pt>
                <c:pt idx="7">
                  <c:v>6685.1121471335009</c:v>
                </c:pt>
                <c:pt idx="8">
                  <c:v>22460.910633557942</c:v>
                </c:pt>
                <c:pt idx="9">
                  <c:v>71578.099683807624</c:v>
                </c:pt>
                <c:pt idx="10">
                  <c:v>193985.78057767416</c:v>
                </c:pt>
                <c:pt idx="11">
                  <c:v>352052.6276926584</c:v>
                </c:pt>
              </c:numCache>
            </c:numRef>
          </c:val>
          <c:smooth val="0"/>
          <c:extLst>
            <c:ext xmlns:c16="http://schemas.microsoft.com/office/drawing/2014/chart" uri="{C3380CC4-5D6E-409C-BE32-E72D297353CC}">
              <c16:uniqueId val="{00000003-D789-43AC-A2C7-BAE0612A1273}"/>
            </c:ext>
          </c:extLst>
        </c:ser>
        <c:ser>
          <c:idx val="2"/>
          <c:order val="2"/>
          <c:tx>
            <c:v>Severe Patients</c:v>
          </c:tx>
          <c:spPr>
            <a:ln w="28575" cap="rnd">
              <a:solidFill>
                <a:schemeClr val="accent3">
                  <a:lumMod val="50000"/>
                </a:schemeClr>
              </a:solidFill>
              <a:round/>
            </a:ln>
            <a:effectLst/>
          </c:spPr>
          <c:marker>
            <c:symbol val="none"/>
          </c:marker>
          <c:val>
            <c:numRef>
              <c:f>[0]!Chart_severes</c:f>
              <c:numCache>
                <c:formatCode>0</c:formatCode>
                <c:ptCount val="12"/>
                <c:pt idx="0">
                  <c:v>0.4470581088594901</c:v>
                </c:pt>
                <c:pt idx="1">
                  <c:v>1.5363187300013708</c:v>
                </c:pt>
                <c:pt idx="2">
                  <c:v>5.2795195958472325</c:v>
                </c:pt>
                <c:pt idx="3">
                  <c:v>18.142319929110887</c:v>
                </c:pt>
                <c:pt idx="4">
                  <c:v>62.336274096810314</c:v>
                </c:pt>
                <c:pt idx="5">
                  <c:v>214.09953259988393</c:v>
                </c:pt>
                <c:pt idx="6">
                  <c:v>734.33822062734328</c:v>
                </c:pt>
                <c:pt idx="7">
                  <c:v>2506.9170551750626</c:v>
                </c:pt>
                <c:pt idx="8">
                  <c:v>8422.8414875842282</c:v>
                </c:pt>
                <c:pt idx="9">
                  <c:v>26841.787381427854</c:v>
                </c:pt>
                <c:pt idx="10">
                  <c:v>72744.667716627795</c:v>
                </c:pt>
                <c:pt idx="11">
                  <c:v>132019.73538474689</c:v>
                </c:pt>
              </c:numCache>
            </c:numRef>
          </c:val>
          <c:smooth val="0"/>
          <c:extLst>
            <c:ext xmlns:c16="http://schemas.microsoft.com/office/drawing/2014/chart" uri="{C3380CC4-5D6E-409C-BE32-E72D297353CC}">
              <c16:uniqueId val="{00000008-D789-43AC-A2C7-BAE0612A1273}"/>
            </c:ext>
          </c:extLst>
        </c:ser>
        <c:ser>
          <c:idx val="3"/>
          <c:order val="3"/>
          <c:tx>
            <c:v>Critical Patients</c:v>
          </c:tx>
          <c:spPr>
            <a:ln w="28575" cap="rnd">
              <a:solidFill>
                <a:srgbClr val="C00000"/>
              </a:solidFill>
              <a:round/>
            </a:ln>
            <a:effectLst/>
          </c:spPr>
          <c:marker>
            <c:symbol val="none"/>
          </c:marker>
          <c:val>
            <c:numRef>
              <c:f>[0]!Chart_criticals</c:f>
              <c:numCache>
                <c:formatCode>0</c:formatCode>
                <c:ptCount val="12"/>
                <c:pt idx="0">
                  <c:v>0.14901936961983006</c:v>
                </c:pt>
                <c:pt idx="1">
                  <c:v>0.51210624333379029</c:v>
                </c:pt>
                <c:pt idx="2">
                  <c:v>1.759839865282411</c:v>
                </c:pt>
                <c:pt idx="3">
                  <c:v>6.0474399763702964</c:v>
                </c:pt>
                <c:pt idx="4">
                  <c:v>20.778758032270105</c:v>
                </c:pt>
                <c:pt idx="5">
                  <c:v>71.366510866627991</c:v>
                </c:pt>
                <c:pt idx="6">
                  <c:v>244.77940687578112</c:v>
                </c:pt>
                <c:pt idx="7">
                  <c:v>835.63901839168761</c:v>
                </c:pt>
                <c:pt idx="8">
                  <c:v>2807.6138291947427</c:v>
                </c:pt>
                <c:pt idx="9">
                  <c:v>8947.262460475953</c:v>
                </c:pt>
                <c:pt idx="10">
                  <c:v>24248.22257220927</c:v>
                </c:pt>
                <c:pt idx="11">
                  <c:v>44006.578461582299</c:v>
                </c:pt>
              </c:numCache>
            </c:numRef>
          </c:val>
          <c:smooth val="0"/>
          <c:extLst>
            <c:ext xmlns:c16="http://schemas.microsoft.com/office/drawing/2014/chart" uri="{C3380CC4-5D6E-409C-BE32-E72D297353CC}">
              <c16:uniqueId val="{0000000A-D789-43AC-A2C7-BAE0612A1273}"/>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legend>
      <c:legendPos val="r"/>
      <c:layout>
        <c:manualLayout>
          <c:xMode val="edge"/>
          <c:yMode val="edge"/>
          <c:x val="0.84656171434935357"/>
          <c:y val="0.38469395855936911"/>
          <c:w val="0.14926954528484057"/>
          <c:h val="0.36949695610381283"/>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b="1">
                <a:solidFill>
                  <a:sysClr val="windowText" lastClr="000000"/>
                </a:solidFill>
              </a:rPr>
              <a:t>SIR Model: New COVID-19 Cases</a:t>
            </a:r>
            <a:r>
              <a:rPr lang="en-US" b="1" baseline="0">
                <a:solidFill>
                  <a:sysClr val="windowText" lastClr="000000"/>
                </a:solidFill>
              </a:rPr>
              <a:t> Each Day</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200" b="0" i="1" baseline="0">
                <a:solidFill>
                  <a:sysClr val="windowText" lastClr="000000"/>
                </a:solidFill>
                <a:effectLst/>
              </a:rPr>
              <a:t>Week 1 Represents First Week of Forecast</a:t>
            </a:r>
            <a:endParaRPr lang="en-US" i="1">
              <a:solidFill>
                <a:sysClr val="windowText" lastClr="000000"/>
              </a:solidFill>
              <a:effectLst/>
            </a:endParaRPr>
          </a:p>
        </c:rich>
      </c:tx>
      <c:layout>
        <c:manualLayout>
          <c:xMode val="edge"/>
          <c:yMode val="edge"/>
          <c:x val="0.29045447929361912"/>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3.7995420666731963E-2"/>
          <c:y val="0.18518518518518517"/>
          <c:w val="0.89213955894394525"/>
          <c:h val="0.68471311066752705"/>
        </c:manualLayout>
      </c:layout>
      <c:lineChart>
        <c:grouping val="standard"/>
        <c:varyColors val="0"/>
        <c:ser>
          <c:idx val="3"/>
          <c:order val="0"/>
          <c:tx>
            <c:v>New Cases per Day</c:v>
          </c:tx>
          <c:spPr>
            <a:ln w="28575" cap="rnd">
              <a:solidFill>
                <a:schemeClr val="accent4"/>
              </a:solidFill>
              <a:round/>
            </a:ln>
            <a:effectLst/>
          </c:spPr>
          <c:marker>
            <c:symbol val="none"/>
          </c:marker>
          <c:cat>
            <c:numRef>
              <c:f>[0]!daychart_axis</c:f>
              <c:numCache>
                <c:formatCode>General</c:formatCode>
                <c:ptCount val="195"/>
                <c:pt idx="0">
                  <c:v>0</c:v>
                </c:pt>
                <c:pt idx="1">
                  <c:v>1</c:v>
                </c:pt>
                <c:pt idx="2">
                  <c:v>1</c:v>
                </c:pt>
                <c:pt idx="3">
                  <c:v>1</c:v>
                </c:pt>
                <c:pt idx="4">
                  <c:v>1</c:v>
                </c:pt>
                <c:pt idx="5">
                  <c:v>1</c:v>
                </c:pt>
                <c:pt idx="6">
                  <c:v>1</c:v>
                </c:pt>
                <c:pt idx="7">
                  <c:v>1</c:v>
                </c:pt>
                <c:pt idx="8">
                  <c:v>2</c:v>
                </c:pt>
                <c:pt idx="9">
                  <c:v>2</c:v>
                </c:pt>
                <c:pt idx="10">
                  <c:v>2</c:v>
                </c:pt>
                <c:pt idx="11">
                  <c:v>2</c:v>
                </c:pt>
                <c:pt idx="12">
                  <c:v>2</c:v>
                </c:pt>
                <c:pt idx="13">
                  <c:v>2</c:v>
                </c:pt>
                <c:pt idx="14">
                  <c:v>2</c:v>
                </c:pt>
                <c:pt idx="15">
                  <c:v>3</c:v>
                </c:pt>
                <c:pt idx="16">
                  <c:v>3</c:v>
                </c:pt>
                <c:pt idx="17">
                  <c:v>3</c:v>
                </c:pt>
                <c:pt idx="18">
                  <c:v>3</c:v>
                </c:pt>
                <c:pt idx="19">
                  <c:v>3</c:v>
                </c:pt>
                <c:pt idx="20">
                  <c:v>3</c:v>
                </c:pt>
                <c:pt idx="21">
                  <c:v>3</c:v>
                </c:pt>
                <c:pt idx="22">
                  <c:v>4</c:v>
                </c:pt>
                <c:pt idx="23">
                  <c:v>4</c:v>
                </c:pt>
                <c:pt idx="24">
                  <c:v>4</c:v>
                </c:pt>
                <c:pt idx="25">
                  <c:v>4</c:v>
                </c:pt>
                <c:pt idx="26">
                  <c:v>4</c:v>
                </c:pt>
                <c:pt idx="27">
                  <c:v>4</c:v>
                </c:pt>
                <c:pt idx="28">
                  <c:v>4</c:v>
                </c:pt>
                <c:pt idx="29">
                  <c:v>5</c:v>
                </c:pt>
                <c:pt idx="30">
                  <c:v>5</c:v>
                </c:pt>
                <c:pt idx="31">
                  <c:v>5</c:v>
                </c:pt>
                <c:pt idx="32">
                  <c:v>5</c:v>
                </c:pt>
                <c:pt idx="33">
                  <c:v>5</c:v>
                </c:pt>
                <c:pt idx="34">
                  <c:v>5</c:v>
                </c:pt>
                <c:pt idx="35">
                  <c:v>5</c:v>
                </c:pt>
                <c:pt idx="36">
                  <c:v>6</c:v>
                </c:pt>
                <c:pt idx="37">
                  <c:v>6</c:v>
                </c:pt>
                <c:pt idx="38">
                  <c:v>6</c:v>
                </c:pt>
                <c:pt idx="39">
                  <c:v>6</c:v>
                </c:pt>
                <c:pt idx="40">
                  <c:v>6</c:v>
                </c:pt>
                <c:pt idx="41">
                  <c:v>6</c:v>
                </c:pt>
                <c:pt idx="42">
                  <c:v>6</c:v>
                </c:pt>
                <c:pt idx="43">
                  <c:v>7</c:v>
                </c:pt>
                <c:pt idx="44">
                  <c:v>7</c:v>
                </c:pt>
                <c:pt idx="45">
                  <c:v>7</c:v>
                </c:pt>
                <c:pt idx="46">
                  <c:v>7</c:v>
                </c:pt>
                <c:pt idx="47">
                  <c:v>7</c:v>
                </c:pt>
                <c:pt idx="48">
                  <c:v>7</c:v>
                </c:pt>
                <c:pt idx="49">
                  <c:v>7</c:v>
                </c:pt>
                <c:pt idx="50">
                  <c:v>8</c:v>
                </c:pt>
                <c:pt idx="51">
                  <c:v>8</c:v>
                </c:pt>
                <c:pt idx="52">
                  <c:v>8</c:v>
                </c:pt>
                <c:pt idx="53">
                  <c:v>8</c:v>
                </c:pt>
                <c:pt idx="54">
                  <c:v>8</c:v>
                </c:pt>
                <c:pt idx="55">
                  <c:v>8</c:v>
                </c:pt>
                <c:pt idx="56">
                  <c:v>8</c:v>
                </c:pt>
                <c:pt idx="57">
                  <c:v>9</c:v>
                </c:pt>
                <c:pt idx="58">
                  <c:v>9</c:v>
                </c:pt>
                <c:pt idx="59">
                  <c:v>9</c:v>
                </c:pt>
                <c:pt idx="60">
                  <c:v>9</c:v>
                </c:pt>
                <c:pt idx="61">
                  <c:v>9</c:v>
                </c:pt>
                <c:pt idx="62">
                  <c:v>9</c:v>
                </c:pt>
                <c:pt idx="63">
                  <c:v>9</c:v>
                </c:pt>
                <c:pt idx="64">
                  <c:v>10</c:v>
                </c:pt>
                <c:pt idx="65">
                  <c:v>10</c:v>
                </c:pt>
                <c:pt idx="66">
                  <c:v>10</c:v>
                </c:pt>
                <c:pt idx="67">
                  <c:v>10</c:v>
                </c:pt>
                <c:pt idx="68">
                  <c:v>10</c:v>
                </c:pt>
                <c:pt idx="69">
                  <c:v>10</c:v>
                </c:pt>
                <c:pt idx="70">
                  <c:v>10</c:v>
                </c:pt>
                <c:pt idx="71">
                  <c:v>11</c:v>
                </c:pt>
                <c:pt idx="72">
                  <c:v>11</c:v>
                </c:pt>
                <c:pt idx="73">
                  <c:v>11</c:v>
                </c:pt>
                <c:pt idx="74">
                  <c:v>11</c:v>
                </c:pt>
                <c:pt idx="75">
                  <c:v>11</c:v>
                </c:pt>
                <c:pt idx="76">
                  <c:v>11</c:v>
                </c:pt>
                <c:pt idx="77">
                  <c:v>11</c:v>
                </c:pt>
                <c:pt idx="78">
                  <c:v>12</c:v>
                </c:pt>
                <c:pt idx="79">
                  <c:v>12</c:v>
                </c:pt>
                <c:pt idx="80">
                  <c:v>12</c:v>
                </c:pt>
                <c:pt idx="81">
                  <c:v>12</c:v>
                </c:pt>
                <c:pt idx="82">
                  <c:v>12</c:v>
                </c:pt>
                <c:pt idx="83">
                  <c:v>12</c:v>
                </c:pt>
                <c:pt idx="84">
                  <c:v>12</c:v>
                </c:pt>
                <c:pt idx="85">
                  <c:v>13</c:v>
                </c:pt>
                <c:pt idx="86">
                  <c:v>13</c:v>
                </c:pt>
                <c:pt idx="87">
                  <c:v>13</c:v>
                </c:pt>
                <c:pt idx="88">
                  <c:v>13</c:v>
                </c:pt>
                <c:pt idx="89">
                  <c:v>13</c:v>
                </c:pt>
                <c:pt idx="90">
                  <c:v>13</c:v>
                </c:pt>
                <c:pt idx="91">
                  <c:v>13</c:v>
                </c:pt>
                <c:pt idx="92">
                  <c:v>14</c:v>
                </c:pt>
                <c:pt idx="93">
                  <c:v>14</c:v>
                </c:pt>
                <c:pt idx="94">
                  <c:v>14</c:v>
                </c:pt>
                <c:pt idx="95">
                  <c:v>14</c:v>
                </c:pt>
                <c:pt idx="96">
                  <c:v>14</c:v>
                </c:pt>
                <c:pt idx="97">
                  <c:v>14</c:v>
                </c:pt>
                <c:pt idx="98">
                  <c:v>14</c:v>
                </c:pt>
                <c:pt idx="99">
                  <c:v>15</c:v>
                </c:pt>
                <c:pt idx="100">
                  <c:v>15</c:v>
                </c:pt>
                <c:pt idx="101">
                  <c:v>15</c:v>
                </c:pt>
                <c:pt idx="102">
                  <c:v>15</c:v>
                </c:pt>
                <c:pt idx="103">
                  <c:v>15</c:v>
                </c:pt>
                <c:pt idx="104">
                  <c:v>15</c:v>
                </c:pt>
                <c:pt idx="105">
                  <c:v>15</c:v>
                </c:pt>
                <c:pt idx="106">
                  <c:v>16</c:v>
                </c:pt>
                <c:pt idx="107">
                  <c:v>16</c:v>
                </c:pt>
                <c:pt idx="108">
                  <c:v>16</c:v>
                </c:pt>
                <c:pt idx="109">
                  <c:v>16</c:v>
                </c:pt>
                <c:pt idx="110">
                  <c:v>16</c:v>
                </c:pt>
                <c:pt idx="111">
                  <c:v>16</c:v>
                </c:pt>
                <c:pt idx="112">
                  <c:v>16</c:v>
                </c:pt>
                <c:pt idx="113">
                  <c:v>17</c:v>
                </c:pt>
                <c:pt idx="114">
                  <c:v>17</c:v>
                </c:pt>
                <c:pt idx="115">
                  <c:v>17</c:v>
                </c:pt>
                <c:pt idx="116">
                  <c:v>17</c:v>
                </c:pt>
                <c:pt idx="117">
                  <c:v>17</c:v>
                </c:pt>
                <c:pt idx="118">
                  <c:v>17</c:v>
                </c:pt>
                <c:pt idx="119">
                  <c:v>17</c:v>
                </c:pt>
                <c:pt idx="120">
                  <c:v>18</c:v>
                </c:pt>
                <c:pt idx="121">
                  <c:v>18</c:v>
                </c:pt>
                <c:pt idx="122">
                  <c:v>18</c:v>
                </c:pt>
                <c:pt idx="123">
                  <c:v>18</c:v>
                </c:pt>
                <c:pt idx="124">
                  <c:v>18</c:v>
                </c:pt>
                <c:pt idx="125">
                  <c:v>18</c:v>
                </c:pt>
                <c:pt idx="126">
                  <c:v>18</c:v>
                </c:pt>
                <c:pt idx="127">
                  <c:v>19</c:v>
                </c:pt>
                <c:pt idx="128">
                  <c:v>19</c:v>
                </c:pt>
                <c:pt idx="129">
                  <c:v>19</c:v>
                </c:pt>
                <c:pt idx="130">
                  <c:v>19</c:v>
                </c:pt>
                <c:pt idx="131">
                  <c:v>19</c:v>
                </c:pt>
                <c:pt idx="132">
                  <c:v>19</c:v>
                </c:pt>
                <c:pt idx="133">
                  <c:v>19</c:v>
                </c:pt>
                <c:pt idx="134">
                  <c:v>20</c:v>
                </c:pt>
                <c:pt idx="135">
                  <c:v>20</c:v>
                </c:pt>
                <c:pt idx="136">
                  <c:v>20</c:v>
                </c:pt>
                <c:pt idx="137">
                  <c:v>20</c:v>
                </c:pt>
                <c:pt idx="138">
                  <c:v>20</c:v>
                </c:pt>
                <c:pt idx="139">
                  <c:v>20</c:v>
                </c:pt>
                <c:pt idx="140">
                  <c:v>20</c:v>
                </c:pt>
                <c:pt idx="141">
                  <c:v>21</c:v>
                </c:pt>
                <c:pt idx="142">
                  <c:v>21</c:v>
                </c:pt>
                <c:pt idx="143">
                  <c:v>21</c:v>
                </c:pt>
                <c:pt idx="144">
                  <c:v>21</c:v>
                </c:pt>
                <c:pt idx="145">
                  <c:v>21</c:v>
                </c:pt>
                <c:pt idx="146">
                  <c:v>21</c:v>
                </c:pt>
                <c:pt idx="147">
                  <c:v>21</c:v>
                </c:pt>
                <c:pt idx="148">
                  <c:v>22</c:v>
                </c:pt>
                <c:pt idx="149">
                  <c:v>22</c:v>
                </c:pt>
                <c:pt idx="150">
                  <c:v>22</c:v>
                </c:pt>
                <c:pt idx="151">
                  <c:v>22</c:v>
                </c:pt>
                <c:pt idx="152">
                  <c:v>22</c:v>
                </c:pt>
                <c:pt idx="153">
                  <c:v>22</c:v>
                </c:pt>
                <c:pt idx="154">
                  <c:v>22</c:v>
                </c:pt>
                <c:pt idx="155">
                  <c:v>23</c:v>
                </c:pt>
                <c:pt idx="156">
                  <c:v>23</c:v>
                </c:pt>
                <c:pt idx="157">
                  <c:v>23</c:v>
                </c:pt>
                <c:pt idx="158">
                  <c:v>23</c:v>
                </c:pt>
                <c:pt idx="159">
                  <c:v>23</c:v>
                </c:pt>
                <c:pt idx="160">
                  <c:v>23</c:v>
                </c:pt>
                <c:pt idx="161">
                  <c:v>23</c:v>
                </c:pt>
                <c:pt idx="162">
                  <c:v>24</c:v>
                </c:pt>
                <c:pt idx="163">
                  <c:v>24</c:v>
                </c:pt>
                <c:pt idx="164">
                  <c:v>24</c:v>
                </c:pt>
                <c:pt idx="165">
                  <c:v>24</c:v>
                </c:pt>
                <c:pt idx="166">
                  <c:v>24</c:v>
                </c:pt>
                <c:pt idx="167">
                  <c:v>24</c:v>
                </c:pt>
                <c:pt idx="168">
                  <c:v>24</c:v>
                </c:pt>
                <c:pt idx="169">
                  <c:v>25</c:v>
                </c:pt>
                <c:pt idx="170">
                  <c:v>25</c:v>
                </c:pt>
                <c:pt idx="171">
                  <c:v>25</c:v>
                </c:pt>
                <c:pt idx="172">
                  <c:v>25</c:v>
                </c:pt>
                <c:pt idx="173">
                  <c:v>25</c:v>
                </c:pt>
                <c:pt idx="174">
                  <c:v>25</c:v>
                </c:pt>
                <c:pt idx="175">
                  <c:v>25</c:v>
                </c:pt>
                <c:pt idx="176">
                  <c:v>26</c:v>
                </c:pt>
                <c:pt idx="177">
                  <c:v>26</c:v>
                </c:pt>
                <c:pt idx="178">
                  <c:v>26</c:v>
                </c:pt>
                <c:pt idx="179">
                  <c:v>26</c:v>
                </c:pt>
                <c:pt idx="180">
                  <c:v>26</c:v>
                </c:pt>
                <c:pt idx="181">
                  <c:v>26</c:v>
                </c:pt>
                <c:pt idx="182">
                  <c:v>26</c:v>
                </c:pt>
                <c:pt idx="183">
                  <c:v>27</c:v>
                </c:pt>
                <c:pt idx="184">
                  <c:v>27</c:v>
                </c:pt>
                <c:pt idx="185">
                  <c:v>27</c:v>
                </c:pt>
                <c:pt idx="186">
                  <c:v>27</c:v>
                </c:pt>
                <c:pt idx="187">
                  <c:v>27</c:v>
                </c:pt>
                <c:pt idx="188">
                  <c:v>27</c:v>
                </c:pt>
                <c:pt idx="189">
                  <c:v>27</c:v>
                </c:pt>
                <c:pt idx="190">
                  <c:v>28</c:v>
                </c:pt>
                <c:pt idx="191">
                  <c:v>28</c:v>
                </c:pt>
                <c:pt idx="192">
                  <c:v>28</c:v>
                </c:pt>
                <c:pt idx="193">
                  <c:v>28</c:v>
                </c:pt>
                <c:pt idx="194">
                  <c:v>28</c:v>
                </c:pt>
              </c:numCache>
            </c:numRef>
          </c:cat>
          <c:val>
            <c:numRef>
              <c:f>[0]!daychart_cases</c:f>
              <c:numCache>
                <c:formatCode>#,##0</c:formatCode>
                <c:ptCount val="195"/>
                <c:pt idx="0">
                  <c:v>0</c:v>
                </c:pt>
                <c:pt idx="1">
                  <c:v>1</c:v>
                </c:pt>
                <c:pt idx="2">
                  <c:v>1</c:v>
                </c:pt>
                <c:pt idx="3">
                  <c:v>1</c:v>
                </c:pt>
                <c:pt idx="4">
                  <c:v>1</c:v>
                </c:pt>
                <c:pt idx="5">
                  <c:v>1</c:v>
                </c:pt>
                <c:pt idx="6">
                  <c:v>1</c:v>
                </c:pt>
                <c:pt idx="7">
                  <c:v>1</c:v>
                </c:pt>
                <c:pt idx="8">
                  <c:v>1</c:v>
                </c:pt>
                <c:pt idx="9">
                  <c:v>1</c:v>
                </c:pt>
                <c:pt idx="10">
                  <c:v>2</c:v>
                </c:pt>
                <c:pt idx="11">
                  <c:v>2</c:v>
                </c:pt>
                <c:pt idx="12">
                  <c:v>2</c:v>
                </c:pt>
                <c:pt idx="13">
                  <c:v>2</c:v>
                </c:pt>
                <c:pt idx="14">
                  <c:v>3</c:v>
                </c:pt>
                <c:pt idx="15">
                  <c:v>3</c:v>
                </c:pt>
                <c:pt idx="16">
                  <c:v>4</c:v>
                </c:pt>
                <c:pt idx="17">
                  <c:v>4</c:v>
                </c:pt>
                <c:pt idx="18">
                  <c:v>5</c:v>
                </c:pt>
                <c:pt idx="19">
                  <c:v>6</c:v>
                </c:pt>
                <c:pt idx="20">
                  <c:v>7</c:v>
                </c:pt>
                <c:pt idx="21">
                  <c:v>9</c:v>
                </c:pt>
                <c:pt idx="22">
                  <c:v>9.57374363368519</c:v>
                </c:pt>
                <c:pt idx="23">
                  <c:v>11.420035541617253</c:v>
                </c:pt>
                <c:pt idx="24">
                  <c:v>13.6223671428328</c:v>
                </c:pt>
                <c:pt idx="25">
                  <c:v>16.249390164194011</c:v>
                </c:pt>
                <c:pt idx="26">
                  <c:v>19.382990779405731</c:v>
                </c:pt>
                <c:pt idx="27">
                  <c:v>23.120839628369453</c:v>
                </c:pt>
                <c:pt idx="28">
                  <c:v>27.579432637301494</c:v>
                </c:pt>
                <c:pt idx="29">
                  <c:v>32.897716876086406</c:v>
                </c:pt>
                <c:pt idx="30">
                  <c:v>39.241413686868896</c:v>
                </c:pt>
                <c:pt idx="31">
                  <c:v>46.808172711754338</c:v>
                </c:pt>
                <c:pt idx="32">
                  <c:v>55.83371586119182</c:v>
                </c:pt>
                <c:pt idx="33">
                  <c:v>66.599160428629261</c:v>
                </c:pt>
                <c:pt idx="34">
                  <c:v>79.439746323842996</c:v>
                </c:pt>
                <c:pt idx="35">
                  <c:v>94.755234757028404</c:v>
                </c:pt>
                <c:pt idx="36">
                  <c:v>113.02229580128301</c:v>
                </c:pt>
                <c:pt idx="37">
                  <c:v>134.80926140189649</c:v>
                </c:pt>
                <c:pt idx="38">
                  <c:v>160.79369007219032</c:v>
                </c:pt>
                <c:pt idx="39">
                  <c:v>191.78327138061775</c:v>
                </c:pt>
                <c:pt idx="40">
                  <c:v>228.74069422241223</c:v>
                </c:pt>
                <c:pt idx="41">
                  <c:v>272.81321474623383</c:v>
                </c:pt>
                <c:pt idx="42">
                  <c:v>325.36778970792602</c:v>
                </c:pt>
                <c:pt idx="43">
                  <c:v>388.03279094301934</c:v>
                </c:pt>
                <c:pt idx="44">
                  <c:v>462.74748835124865</c:v>
                </c:pt>
                <c:pt idx="45">
                  <c:v>551.82068351057524</c:v>
                </c:pt>
                <c:pt idx="46">
                  <c:v>658.00009405135688</c:v>
                </c:pt>
                <c:pt idx="47">
                  <c:v>784.55432884070524</c:v>
                </c:pt>
                <c:pt idx="48">
                  <c:v>935.36955182886049</c:v>
                </c:pt>
                <c:pt idx="49">
                  <c:v>1115.063199989856</c:v>
                </c:pt>
                <c:pt idx="50">
                  <c:v>1329.117383907138</c:v>
                </c:pt>
                <c:pt idx="51">
                  <c:v>1584.0348349269552</c:v>
                </c:pt>
                <c:pt idx="52">
                  <c:v>1887.5204340498731</c:v>
                </c:pt>
                <c:pt idx="53">
                  <c:v>2248.6914098095986</c:v>
                </c:pt>
                <c:pt idx="54">
                  <c:v>2678.3191440513947</c:v>
                </c:pt>
                <c:pt idx="55">
                  <c:v>3189.1050583113756</c:v>
                </c:pt>
                <c:pt idx="56">
                  <c:v>3795.992102777418</c:v>
                </c:pt>
                <c:pt idx="57">
                  <c:v>4516.5117025020518</c:v>
                </c:pt>
                <c:pt idx="58">
                  <c:v>5371.1633146339373</c:v>
                </c:pt>
                <c:pt idx="59">
                  <c:v>6383.8195923100284</c:v>
                </c:pt>
                <c:pt idx="60">
                  <c:v>7582.1439840963285</c:v>
                </c:pt>
                <c:pt idx="61">
                  <c:v>8997.9987285125389</c:v>
                </c:pt>
                <c:pt idx="62">
                  <c:v>10667.808797339123</c:v>
                </c:pt>
                <c:pt idx="63">
                  <c:v>12632.830464500847</c:v>
                </c:pt>
                <c:pt idx="64">
                  <c:v>14939.25090101859</c:v>
                </c:pt>
                <c:pt idx="65">
                  <c:v>17638.016820845194</c:v>
                </c:pt>
                <c:pt idx="66">
                  <c:v>20784.255659721559</c:v>
                </c:pt>
                <c:pt idx="67">
                  <c:v>24436.113294191338</c:v>
                </c:pt>
                <c:pt idx="68">
                  <c:v>28652.791460815439</c:v>
                </c:pt>
                <c:pt idx="69">
                  <c:v>33491.533129206509</c:v>
                </c:pt>
                <c:pt idx="70">
                  <c:v>39003.28794372041</c:v>
                </c:pt>
                <c:pt idx="71">
                  <c:v>45226.812577368924</c:v>
                </c:pt>
                <c:pt idx="72">
                  <c:v>52181.050740895851</c:v>
                </c:pt>
                <c:pt idx="73">
                  <c:v>59855.829702845716</c:v>
                </c:pt>
                <c:pt idx="74">
                  <c:v>68201.239992838353</c:v>
                </c:pt>
                <c:pt idx="75">
                  <c:v>77116.554326997139</c:v>
                </c:pt>
                <c:pt idx="76">
                  <c:v>86440.174893067218</c:v>
                </c:pt>
                <c:pt idx="77">
                  <c:v>95942.789210172137</c:v>
                </c:pt>
                <c:pt idx="78">
                  <c:v>105326.47765923687</c:v>
                </c:pt>
                <c:pt idx="79">
                  <c:v>114232.65753536858</c:v>
                </c:pt>
                <c:pt idx="80">
                  <c:v>122261.1200842699</c:v>
                </c:pt>
                <c:pt idx="81">
                  <c:v>129000.74879695009</c:v>
                </c:pt>
                <c:pt idx="82">
                  <c:v>134069.81920257467</c:v>
                </c:pt>
                <c:pt idx="83">
                  <c:v>137160.58281520125</c:v>
                </c:pt>
                <c:pt idx="84">
                  <c:v>138080.16313804453</c:v>
                </c:pt>
                <c:pt idx="85">
                  <c:v>136778.90319516417</c:v>
                </c:pt>
                <c:pt idx="86">
                  <c:v>133359.0909509128</c:v>
                </c:pt>
                <c:pt idx="87">
                  <c:v>128061.32995570637</c:v>
                </c:pt>
                <c:pt idx="88">
                  <c:v>121231.38003325881</c:v>
                </c:pt>
                <c:pt idx="89">
                  <c:v>113275.02437917981</c:v>
                </c:pt>
                <c:pt idx="90">
                  <c:v>104610.69495992176</c:v>
                </c:pt>
                <c:pt idx="91">
                  <c:v>95628.667119811289</c:v>
                </c:pt>
                <c:pt idx="92">
                  <c:v>86662.423106675968</c:v>
                </c:pt>
                <c:pt idx="93">
                  <c:v>77973.835525693372</c:v>
                </c:pt>
                <c:pt idx="94">
                  <c:v>69750.567876775283</c:v>
                </c:pt>
                <c:pt idx="95">
                  <c:v>62112.271238514688</c:v>
                </c:pt>
                <c:pt idx="96">
                  <c:v>55121.766123345587</c:v>
                </c:pt>
                <c:pt idx="97">
                  <c:v>48797.976753784344</c:v>
                </c:pt>
                <c:pt idx="98">
                  <c:v>43128.378382659052</c:v>
                </c:pt>
                <c:pt idx="99">
                  <c:v>38079.709223913029</c:v>
                </c:pt>
                <c:pt idx="100">
                  <c:v>33606.470418606419</c:v>
                </c:pt>
                <c:pt idx="101">
                  <c:v>29657.236011990346</c:v>
                </c:pt>
                <c:pt idx="102">
                  <c:v>26179.057676766068</c:v>
                </c:pt>
                <c:pt idx="103">
                  <c:v>23120.345674993936</c:v>
                </c:pt>
                <c:pt idx="104">
                  <c:v>20432.605449101888</c:v>
                </c:pt>
                <c:pt idx="105">
                  <c:v>18071.358744547702</c:v>
                </c:pt>
                <c:pt idx="106">
                  <c:v>15996.511509051546</c:v>
                </c:pt>
                <c:pt idx="107">
                  <c:v>14172.365664357319</c:v>
                </c:pt>
                <c:pt idx="108">
                  <c:v>12567.416153215803</c:v>
                </c:pt>
                <c:pt idx="109">
                  <c:v>11154.030684393365</c:v>
                </c:pt>
                <c:pt idx="110">
                  <c:v>9908.0767063624226</c:v>
                </c:pt>
                <c:pt idx="111">
                  <c:v>8808.5365357808769</c:v>
                </c:pt>
                <c:pt idx="112">
                  <c:v>7837.1352001521736</c:v>
                </c:pt>
                <c:pt idx="113">
                  <c:v>6977.9945584200323</c:v>
                </c:pt>
                <c:pt idx="114">
                  <c:v>6217.3201106968336</c:v>
                </c:pt>
                <c:pt idx="115">
                  <c:v>5543.1224254658446</c:v>
                </c:pt>
                <c:pt idx="116">
                  <c:v>4944.9724366259761</c:v>
                </c:pt>
                <c:pt idx="117">
                  <c:v>4413.7883788938634</c:v>
                </c:pt>
                <c:pt idx="118">
                  <c:v>3941.6514117293991</c:v>
                </c:pt>
                <c:pt idx="119">
                  <c:v>3521.646739079617</c:v>
                </c:pt>
                <c:pt idx="120">
                  <c:v>3147.7270719120279</c:v>
                </c:pt>
                <c:pt idx="121">
                  <c:v>2814.5954770827666</c:v>
                </c:pt>
                <c:pt idx="122">
                  <c:v>2517.6049295319244</c:v>
                </c:pt>
                <c:pt idx="123">
                  <c:v>2252.6721857176162</c:v>
                </c:pt>
                <c:pt idx="124">
                  <c:v>2016.2038955138996</c:v>
                </c:pt>
                <c:pt idx="125">
                  <c:v>1805.0331510705873</c:v>
                </c:pt>
                <c:pt idx="126">
                  <c:v>1616.3649265635759</c:v>
                </c:pt>
                <c:pt idx="127">
                  <c:v>1447.7290892428719</c:v>
                </c:pt>
                <c:pt idx="128">
                  <c:v>1296.9398598610424</c:v>
                </c:pt>
                <c:pt idx="129">
                  <c:v>1162.0607710392214</c:v>
                </c:pt>
                <c:pt idx="130">
                  <c:v>1041.3743179533631</c:v>
                </c:pt>
                <c:pt idx="131">
                  <c:v>933.35561968851835</c:v>
                </c:pt>
                <c:pt idx="132">
                  <c:v>836.64951455779374</c:v>
                </c:pt>
                <c:pt idx="133">
                  <c:v>750.05060121929273</c:v>
                </c:pt>
                <c:pt idx="134">
                  <c:v>672.48581201024354</c:v>
                </c:pt>
                <c:pt idx="135">
                  <c:v>602.9991676742211</c:v>
                </c:pt>
                <c:pt idx="136">
                  <c:v>540.73841537768021</c:v>
                </c:pt>
                <c:pt idx="137">
                  <c:v>484.94329632120207</c:v>
                </c:pt>
                <c:pt idx="138">
                  <c:v>434.93522654054686</c:v>
                </c:pt>
                <c:pt idx="139">
                  <c:v>390.10820596292615</c:v>
                </c:pt>
                <c:pt idx="140">
                  <c:v>349.92079726746306</c:v>
                </c:pt>
                <c:pt idx="141">
                  <c:v>313.88903853530064</c:v>
                </c:pt>
                <c:pt idx="142">
                  <c:v>281.58017257647589</c:v>
                </c:pt>
                <c:pt idx="143">
                  <c:v>252.60709194792435</c:v>
                </c:pt>
                <c:pt idx="144">
                  <c:v>226.62341227242723</c:v>
                </c:pt>
                <c:pt idx="145">
                  <c:v>203.31909816153347</c:v>
                </c:pt>
                <c:pt idx="146">
                  <c:v>182.41657592263073</c:v>
                </c:pt>
                <c:pt idx="147">
                  <c:v>163.66727576451376</c:v>
                </c:pt>
                <c:pt idx="148">
                  <c:v>146.84855350386351</c:v>
                </c:pt>
                <c:pt idx="149">
                  <c:v>131.76094803959131</c:v>
                </c:pt>
                <c:pt idx="150">
                  <c:v>118.22573627671227</c:v>
                </c:pt>
                <c:pt idx="151">
                  <c:v>106.08275187714025</c:v>
                </c:pt>
                <c:pt idx="152">
                  <c:v>95.188438232056797</c:v>
                </c:pt>
                <c:pt idx="153">
                  <c:v>85.414109617006034</c:v>
                </c:pt>
                <c:pt idx="154">
                  <c:v>76.644397522322834</c:v>
                </c:pt>
                <c:pt idx="155">
                  <c:v>68.775861847214401</c:v>
                </c:pt>
                <c:pt idx="156">
                  <c:v>61.715748977847397</c:v>
                </c:pt>
                <c:pt idx="157">
                  <c:v>55.380880823824555</c:v>
                </c:pt>
                <c:pt idx="158">
                  <c:v>49.696660689078271</c:v>
                </c:pt>
                <c:pt idx="159">
                  <c:v>44.596183428540826</c:v>
                </c:pt>
                <c:pt idx="160">
                  <c:v>40.019438753370196</c:v>
                </c:pt>
                <c:pt idx="161">
                  <c:v>35.912597755435854</c:v>
                </c:pt>
                <c:pt idx="162">
                  <c:v>32.227373831905425</c:v>
                </c:pt>
                <c:pt idx="163">
                  <c:v>28.920450137462467</c:v>
                </c:pt>
                <c:pt idx="164">
                  <c:v>25.952966554556042</c:v>
                </c:pt>
                <c:pt idx="165">
                  <c:v>23.290059915743768</c:v>
                </c:pt>
                <c:pt idx="166">
                  <c:v>20.900451908819377</c:v>
                </c:pt>
                <c:pt idx="167">
                  <c:v>18.756079647690058</c:v>
                </c:pt>
                <c:pt idx="168">
                  <c:v>16.831764487549663</c:v>
                </c:pt>
                <c:pt idx="169">
                  <c:v>15.104915061034262</c:v>
                </c:pt>
                <c:pt idx="170">
                  <c:v>13.55526100192219</c:v>
                </c:pt>
                <c:pt idx="171">
                  <c:v>12.164614150300622</c:v>
                </c:pt>
                <c:pt idx="172">
                  <c:v>10.916654391679913</c:v>
                </c:pt>
                <c:pt idx="173">
                  <c:v>9.7967375768348575</c:v>
                </c:pt>
                <c:pt idx="174">
                  <c:v>8.7917232364416122</c:v>
                </c:pt>
                <c:pt idx="175">
                  <c:v>7.8898200388066471</c:v>
                </c:pt>
                <c:pt idx="176">
                  <c:v>7.0804471531882882</c:v>
                </c:pt>
                <c:pt idx="177">
                  <c:v>6.3541098982095718</c:v>
                </c:pt>
                <c:pt idx="178">
                  <c:v>5.7022881587035954</c:v>
                </c:pt>
                <c:pt idx="179">
                  <c:v>5.1173363034613431</c:v>
                </c:pt>
                <c:pt idx="180">
                  <c:v>4.5923933745361865</c:v>
                </c:pt>
                <c:pt idx="181">
                  <c:v>4.1213025227189064</c:v>
                </c:pt>
                <c:pt idx="182">
                  <c:v>3.698538713157177</c:v>
                </c:pt>
                <c:pt idx="183">
                  <c:v>3.3191438647918403</c:v>
                </c:pt>
                <c:pt idx="184">
                  <c:v>2.9786686515435576</c:v>
                </c:pt>
                <c:pt idx="185">
                  <c:v>2.6731202830560505</c:v>
                </c:pt>
                <c:pt idx="186">
                  <c:v>2.3989156447350979</c:v>
                </c:pt>
                <c:pt idx="187">
                  <c:v>2.1528392569161952</c:v>
                </c:pt>
                <c:pt idx="188">
                  <c:v>1.93200554093346</c:v>
                </c:pt>
                <c:pt idx="189">
                  <c:v>1.7338249711319804</c:v>
                </c:pt>
                <c:pt idx="190">
                  <c:v>1.5559736895374954</c:v>
                </c:pt>
                <c:pt idx="191">
                  <c:v>1.3963662483729422</c:v>
                </c:pt>
                <c:pt idx="192">
                  <c:v>1.2531311488710344</c:v>
                </c:pt>
                <c:pt idx="193">
                  <c:v>1.1245888853445649</c:v>
                </c:pt>
                <c:pt idx="194">
                  <c:v>1.0092322495765984</c:v>
                </c:pt>
              </c:numCache>
            </c:numRef>
          </c:val>
          <c:smooth val="0"/>
          <c:extLst>
            <c:ext xmlns:c16="http://schemas.microsoft.com/office/drawing/2014/chart" uri="{C3380CC4-5D6E-409C-BE32-E72D297353CC}">
              <c16:uniqueId val="{00000000-C439-4363-832E-6D8CD75E129A}"/>
            </c:ext>
          </c:extLst>
        </c:ser>
        <c:dLbls>
          <c:showLegendKey val="0"/>
          <c:showVal val="0"/>
          <c:showCatName val="0"/>
          <c:showSerName val="0"/>
          <c:showPercent val="0"/>
          <c:showBubbleSize val="0"/>
        </c:dLbls>
        <c:smooth val="0"/>
        <c:axId val="192198224"/>
        <c:axId val="192197568"/>
      </c:lineChart>
      <c:catAx>
        <c:axId val="192198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1">
                    <a:solidFill>
                      <a:sysClr val="windowText" lastClr="000000"/>
                    </a:solidFill>
                  </a:rPr>
                  <a:t>Forecast Week</a:t>
                </a:r>
              </a:p>
            </c:rich>
          </c:tx>
          <c:layout>
            <c:manualLayout>
              <c:xMode val="edge"/>
              <c:yMode val="edge"/>
              <c:x val="0.47074634051317643"/>
              <c:y val="0.923440371573918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7568"/>
        <c:crosses val="autoZero"/>
        <c:auto val="1"/>
        <c:lblAlgn val="ctr"/>
        <c:lblOffset val="100"/>
        <c:tickLblSkip val="7"/>
        <c:noMultiLvlLbl val="0"/>
      </c:catAx>
      <c:valAx>
        <c:axId val="1921975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9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Estimated Cost Breakdown by Item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517357082684553E-2"/>
          <c:y val="0.20210799067986643"/>
          <c:w val="0.95927085740589846"/>
          <c:h val="0.60433719086530968"/>
        </c:manualLayout>
      </c:layout>
      <c:barChart>
        <c:barDir val="col"/>
        <c:grouping val="stacked"/>
        <c:varyColors val="0"/>
        <c:ser>
          <c:idx val="0"/>
          <c:order val="0"/>
          <c:tx>
            <c:v>series 1</c:v>
          </c:tx>
          <c:spPr>
            <a:solidFill>
              <a:schemeClr val="accent1"/>
            </a:solidFill>
            <a:ln w="19050">
              <a:solidFill>
                <a:schemeClr val="lt1"/>
              </a:solidFill>
            </a:ln>
            <a:effectLst/>
          </c:spPr>
          <c:invertIfNegative val="0"/>
          <c:dPt>
            <c:idx val="0"/>
            <c:invertIfNegative val="0"/>
            <c:bubble3D val="0"/>
            <c:spPr>
              <a:solidFill>
                <a:srgbClr val="1E7FB8"/>
              </a:solidFill>
              <a:ln w="19050">
                <a:solidFill>
                  <a:schemeClr val="lt1"/>
                </a:solidFill>
              </a:ln>
              <a:effectLst/>
            </c:spPr>
            <c:extLst>
              <c:ext xmlns:c16="http://schemas.microsoft.com/office/drawing/2014/chart" uri="{C3380CC4-5D6E-409C-BE32-E72D297353CC}">
                <c16:uniqueId val="{0000000D-E587-46D1-9728-9278D39B219B}"/>
              </c:ext>
            </c:extLst>
          </c:dPt>
          <c:dPt>
            <c:idx val="1"/>
            <c:invertIfNegative val="0"/>
            <c:bubble3D val="0"/>
            <c:spPr>
              <a:noFill/>
              <a:ln w="19050">
                <a:solidFill>
                  <a:schemeClr val="lt1"/>
                </a:solidFill>
              </a:ln>
              <a:effectLst/>
            </c:spPr>
            <c:extLst>
              <c:ext xmlns:c16="http://schemas.microsoft.com/office/drawing/2014/chart" uri="{C3380CC4-5D6E-409C-BE32-E72D297353CC}">
                <c16:uniqueId val="{0000000E-E587-46D1-9728-9278D39B219B}"/>
              </c:ext>
            </c:extLst>
          </c:dPt>
          <c:dPt>
            <c:idx val="2"/>
            <c:invertIfNegative val="0"/>
            <c:bubble3D val="0"/>
            <c:spPr>
              <a:noFill/>
              <a:ln w="19050">
                <a:solidFill>
                  <a:schemeClr val="lt1"/>
                </a:solidFill>
              </a:ln>
              <a:effectLst/>
            </c:spPr>
            <c:extLst>
              <c:ext xmlns:c16="http://schemas.microsoft.com/office/drawing/2014/chart" uri="{C3380CC4-5D6E-409C-BE32-E72D297353CC}">
                <c16:uniqueId val="{00000005-E587-46D1-9728-9278D39B219B}"/>
              </c:ext>
            </c:extLst>
          </c:dPt>
          <c:dPt>
            <c:idx val="3"/>
            <c:invertIfNegative val="0"/>
            <c:bubble3D val="0"/>
            <c:spPr>
              <a:noFill/>
              <a:ln w="19050">
                <a:solidFill>
                  <a:schemeClr val="lt1"/>
                </a:solidFill>
              </a:ln>
              <a:effectLst/>
            </c:spPr>
            <c:extLst>
              <c:ext xmlns:c16="http://schemas.microsoft.com/office/drawing/2014/chart" uri="{C3380CC4-5D6E-409C-BE32-E72D297353CC}">
                <c16:uniqueId val="{0000000F-E587-46D1-9728-9278D39B219B}"/>
              </c:ext>
            </c:extLst>
          </c:dPt>
          <c:dPt>
            <c:idx val="4"/>
            <c:invertIfNegative val="0"/>
            <c:bubble3D val="0"/>
            <c:spPr>
              <a:noFill/>
              <a:ln w="19050">
                <a:solidFill>
                  <a:schemeClr val="lt1"/>
                </a:solidFill>
              </a:ln>
              <a:effectLst/>
            </c:spPr>
            <c:extLst>
              <c:ext xmlns:c16="http://schemas.microsoft.com/office/drawing/2014/chart" uri="{C3380CC4-5D6E-409C-BE32-E72D297353CC}">
                <c16:uniqueId val="{00000008-E587-46D1-9728-9278D39B219B}"/>
              </c:ext>
            </c:extLst>
          </c:dPt>
          <c:dPt>
            <c:idx val="5"/>
            <c:invertIfNegative val="0"/>
            <c:bubble3D val="0"/>
            <c:spPr>
              <a:noFill/>
              <a:ln w="19050">
                <a:solidFill>
                  <a:schemeClr val="lt1"/>
                </a:solidFill>
              </a:ln>
              <a:effectLst/>
            </c:spPr>
            <c:extLst>
              <c:ext xmlns:c16="http://schemas.microsoft.com/office/drawing/2014/chart" uri="{C3380CC4-5D6E-409C-BE32-E72D297353CC}">
                <c16:uniqueId val="{0000000B-848F-4FB7-B082-641BDEB8731A}"/>
              </c:ext>
            </c:extLst>
          </c:dPt>
          <c:dPt>
            <c:idx val="6"/>
            <c:invertIfNegative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C0E3-41ED-B076-FF5DDCEB0965}"/>
              </c:ext>
            </c:extLst>
          </c:dPt>
          <c:dLbls>
            <c:dLbl>
              <c:idx val="0"/>
              <c:layout>
                <c:manualLayout>
                  <c:x val="2.4708283370936186E-3"/>
                  <c:y val="-3.05078429473687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87-46D1-9728-9278D39B219B}"/>
                </c:ext>
              </c:extLst>
            </c:dLbl>
            <c:dLbl>
              <c:idx val="6"/>
              <c:layout>
                <c:manualLayout>
                  <c:x val="0"/>
                  <c:y val="-0.327007788118975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E3-41ED-B076-FF5DDCEB0965}"/>
                </c:ext>
              </c:extLst>
            </c:dLbl>
            <c:numFmt formatCode="[&lt;999950]&quot;$&quot;0.0,&quot;K&quot;;[&lt;999950000]&quot;$&quot;0.0,,&quot;M&quot;;&quot;$&quot;0.0,,,&quot;B&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Dashboard'!$G$224:$G$230</c:f>
              <c:strCache>
                <c:ptCount val="7"/>
                <c:pt idx="0">
                  <c:v>Hygiene</c:v>
                </c:pt>
                <c:pt idx="1">
                  <c:v>PPE</c:v>
                </c:pt>
                <c:pt idx="2">
                  <c:v>Diagnostics</c:v>
                </c:pt>
                <c:pt idx="3">
                  <c:v>Drugs and consumables</c:v>
                </c:pt>
                <c:pt idx="4">
                  <c:v>Biomedical Equipment</c:v>
                </c:pt>
                <c:pt idx="5">
                  <c:v>Biomedical Consumables &amp; Accessories</c:v>
                </c:pt>
                <c:pt idx="6">
                  <c:v>Total</c:v>
                </c:pt>
              </c:strCache>
            </c:strRef>
          </c:cat>
          <c:val>
            <c:numRef>
              <c:f>'User Dashboard'!$C$84:$C$90</c:f>
              <c:numCache>
                <c:formatCode>_("$"* #,##0_);_("$"* \(#,##0\);_("$"* "-"??_);_(@_)</c:formatCode>
                <c:ptCount val="7"/>
                <c:pt idx="0">
                  <c:v>1091151.3457830597</c:v>
                </c:pt>
                <c:pt idx="1">
                  <c:v>1091151.3457830597</c:v>
                </c:pt>
                <c:pt idx="2">
                  <c:v>11339393.650061909</c:v>
                </c:pt>
                <c:pt idx="3">
                  <c:v>16551216.116557691</c:v>
                </c:pt>
                <c:pt idx="4">
                  <c:v>35722209.224453852</c:v>
                </c:pt>
                <c:pt idx="5">
                  <c:v>93159896.969413862</c:v>
                </c:pt>
                <c:pt idx="6">
                  <c:v>93921232.347432032</c:v>
                </c:pt>
              </c:numCache>
            </c:numRef>
          </c:val>
          <c:extLst>
            <c:ext xmlns:c16="http://schemas.microsoft.com/office/drawing/2014/chart" uri="{C3380CC4-5D6E-409C-BE32-E72D297353CC}">
              <c16:uniqueId val="{00000000-E587-46D1-9728-9278D39B219B}"/>
            </c:ext>
          </c:extLst>
        </c:ser>
        <c:ser>
          <c:idx val="1"/>
          <c:order val="1"/>
          <c:tx>
            <c:v>2</c:v>
          </c:tx>
          <c:spPr>
            <a:solidFill>
              <a:schemeClr val="accent2"/>
            </a:solidFill>
            <a:ln w="19050">
              <a:solidFill>
                <a:schemeClr val="lt1"/>
              </a:solidFill>
            </a:ln>
            <a:effectLst/>
          </c:spPr>
          <c:invertIfNegative val="0"/>
          <c:dPt>
            <c:idx val="2"/>
            <c:invertIfNegative val="0"/>
            <c:bubble3D val="0"/>
            <c:spPr>
              <a:solidFill>
                <a:srgbClr val="1E7FB8"/>
              </a:solidFill>
              <a:ln w="19050">
                <a:solidFill>
                  <a:schemeClr val="lt1"/>
                </a:solidFill>
              </a:ln>
              <a:effectLst/>
            </c:spPr>
            <c:extLst>
              <c:ext xmlns:c16="http://schemas.microsoft.com/office/drawing/2014/chart" uri="{C3380CC4-5D6E-409C-BE32-E72D297353CC}">
                <c16:uniqueId val="{0000000F-C0E3-41ED-B076-FF5DDCEB0965}"/>
              </c:ext>
            </c:extLst>
          </c:dPt>
          <c:dPt>
            <c:idx val="3"/>
            <c:invertIfNegative val="0"/>
            <c:bubble3D val="0"/>
            <c:spPr>
              <a:solidFill>
                <a:srgbClr val="002060"/>
              </a:solidFill>
              <a:ln w="19050">
                <a:solidFill>
                  <a:schemeClr val="lt1"/>
                </a:solidFill>
              </a:ln>
              <a:effectLst/>
            </c:spPr>
            <c:extLst>
              <c:ext xmlns:c16="http://schemas.microsoft.com/office/drawing/2014/chart" uri="{C3380CC4-5D6E-409C-BE32-E72D297353CC}">
                <c16:uniqueId val="{00000010-C0E3-41ED-B076-FF5DDCEB0965}"/>
              </c:ext>
            </c:extLst>
          </c:dPt>
          <c:dPt>
            <c:idx val="4"/>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11-C0E3-41ED-B076-FF5DDCEB0965}"/>
              </c:ext>
            </c:extLst>
          </c:dPt>
          <c:dLbls>
            <c:dLbl>
              <c:idx val="1"/>
              <c:layout>
                <c:manualLayout>
                  <c:x val="0"/>
                  <c:y val="-7.8573185350729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E3-41ED-B076-FF5DDCEB0965}"/>
                </c:ext>
              </c:extLst>
            </c:dLbl>
            <c:dLbl>
              <c:idx val="2"/>
              <c:layout>
                <c:manualLayout>
                  <c:x val="0"/>
                  <c:y val="-0.120882628053303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E3-41ED-B076-FF5DDCEB0965}"/>
                </c:ext>
              </c:extLst>
            </c:dLbl>
            <c:dLbl>
              <c:idx val="3"/>
              <c:layout>
                <c:manualLayout>
                  <c:x val="0"/>
                  <c:y val="-0.117961387745833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E3-41ED-B076-FF5DDCEB0965}"/>
                </c:ext>
              </c:extLst>
            </c:dLbl>
            <c:dLbl>
              <c:idx val="4"/>
              <c:layout>
                <c:manualLayout>
                  <c:x val="2.3891379982603129E-3"/>
                  <c:y val="-0.162451170826160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E3-41ED-B076-FF5DDCEB0965}"/>
                </c:ext>
              </c:extLst>
            </c:dLbl>
            <c:dLbl>
              <c:idx val="5"/>
              <c:layout>
                <c:manualLayout>
                  <c:x val="-1.3167007339095853E-16"/>
                  <c:y val="-4.62814238710064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E3-41ED-B076-FF5DDCEB0965}"/>
                </c:ext>
              </c:extLst>
            </c:dLbl>
            <c:numFmt formatCode="[&lt;999950]&quot;$&quot;0.0,&quot;K&quot;;[&lt;999950000]&quot;$&quot;0.0,,&quot;M&quot;;&quot;$&quot;0.0,,,&quot;B&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'User Dashboard'!$G$224:$G$230</c:f>
              <c:strCache>
                <c:ptCount val="7"/>
                <c:pt idx="0">
                  <c:v>Hygiene</c:v>
                </c:pt>
                <c:pt idx="1">
                  <c:v>PPE</c:v>
                </c:pt>
                <c:pt idx="2">
                  <c:v>Diagnostics</c:v>
                </c:pt>
                <c:pt idx="3">
                  <c:v>Drugs and consumables</c:v>
                </c:pt>
                <c:pt idx="4">
                  <c:v>Biomedical Equipment</c:v>
                </c:pt>
                <c:pt idx="5">
                  <c:v>Biomedical Consumables &amp; Accessories</c:v>
                </c:pt>
                <c:pt idx="6">
                  <c:v>Total</c:v>
                </c:pt>
              </c:strCache>
            </c:strRef>
          </c:cat>
          <c:val>
            <c:numRef>
              <c:f>'User Dashboard'!$D$84:$D$90</c:f>
              <c:numCache>
                <c:formatCode>_("$"* #,##0_);_("$"* \(#,##0\);_("$"* "-"??_);_(@_)</c:formatCode>
                <c:ptCount val="7"/>
                <c:pt idx="1">
                  <c:v>10248242.304278849</c:v>
                </c:pt>
                <c:pt idx="2">
                  <c:v>5211822.4664957812</c:v>
                </c:pt>
                <c:pt idx="3">
                  <c:v>19170993.10789616</c:v>
                </c:pt>
                <c:pt idx="4">
                  <c:v>57437687.74496001</c:v>
                </c:pt>
                <c:pt idx="5">
                  <c:v>761335.37801817025</c:v>
                </c:pt>
              </c:numCache>
            </c:numRef>
          </c:val>
          <c:extLst>
            <c:ext xmlns:c16="http://schemas.microsoft.com/office/drawing/2014/chart" uri="{C3380CC4-5D6E-409C-BE32-E72D297353CC}">
              <c16:uniqueId val="{0000000D-C0E3-41ED-B076-FF5DDCEB0965}"/>
            </c:ext>
          </c:extLst>
        </c:ser>
        <c:dLbls>
          <c:showLegendKey val="0"/>
          <c:showVal val="0"/>
          <c:showCatName val="0"/>
          <c:showSerName val="0"/>
          <c:showPercent val="0"/>
          <c:showBubbleSize val="0"/>
        </c:dLbls>
        <c:gapWidth val="100"/>
        <c:overlap val="100"/>
        <c:axId val="842334792"/>
        <c:axId val="842339056"/>
      </c:barChart>
      <c:catAx>
        <c:axId val="842334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900" b="0" i="0" u="none" strike="noStrike" kern="1200" baseline="0">
                <a:solidFill>
                  <a:schemeClr val="bg1"/>
                </a:solidFill>
                <a:latin typeface="+mn-lt"/>
                <a:ea typeface="+mn-ea"/>
                <a:cs typeface="+mn-cs"/>
              </a:defRPr>
            </a:pPr>
            <a:endParaRPr lang="en-US"/>
          </a:p>
        </c:txPr>
        <c:crossAx val="842339056"/>
        <c:crosses val="autoZero"/>
        <c:auto val="1"/>
        <c:lblAlgn val="ctr"/>
        <c:lblOffset val="100"/>
        <c:noMultiLvlLbl val="0"/>
      </c:catAx>
      <c:valAx>
        <c:axId val="842339056"/>
        <c:scaling>
          <c:orientation val="minMax"/>
        </c:scaling>
        <c:delete val="1"/>
        <c:axPos val="l"/>
        <c:numFmt formatCode="_(&quot;$&quot;* #,##0_);_(&quot;$&quot;* \(#,##0\);_(&quot;$&quot;* &quot;-&quot;??_);_(@_)" sourceLinked="1"/>
        <c:majorTickMark val="out"/>
        <c:minorTickMark val="none"/>
        <c:tickLblPos val="nextTo"/>
        <c:crossAx val="842334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F$34" noThreeD="1"/>
</file>

<file path=xl/ctrlProps/ctrlProp2.xml><?xml version="1.0" encoding="utf-8"?>
<formControlPr xmlns="http://schemas.microsoft.com/office/spreadsheetml/2009/9/main" objectType="Radio" checked="Checked" firstButton="1" fmlaLink="$E$22" lockText="1"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CheckBox" fmlaLink="$W$9" lockText="1" noThreeD="1"/>
</file>

<file path=xl/ctrlProps/ctrlProp5.xml><?xml version="1.0" encoding="utf-8"?>
<formControlPr xmlns="http://schemas.microsoft.com/office/spreadsheetml/2009/9/main" objectType="Radio" checked="Checked" firstButton="1" fmlaLink="$AE$15"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67734</xdr:colOff>
      <xdr:row>1</xdr:row>
      <xdr:rowOff>76201</xdr:rowOff>
    </xdr:from>
    <xdr:ext cx="1117600" cy="34908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04801" y="177801"/>
          <a:ext cx="1117600" cy="34908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1639299</xdr:colOff>
      <xdr:row>35</xdr:row>
      <xdr:rowOff>99</xdr:rowOff>
    </xdr:from>
    <xdr:to>
      <xdr:col>3</xdr:col>
      <xdr:colOff>200157</xdr:colOff>
      <xdr:row>36</xdr:row>
      <xdr:rowOff>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rot="471329">
          <a:off x="2045699" y="8018032"/>
          <a:ext cx="304991" cy="253901"/>
          <a:chOff x="4108450" y="489175"/>
          <a:chExt cx="844175" cy="795113"/>
        </a:xfrm>
        <a:solidFill>
          <a:schemeClr val="tx1"/>
        </a:solidFill>
      </xdr:grpSpPr>
      <xdr:sp macro="" textlink="">
        <xdr:nvSpPr>
          <xdr:cNvPr id="5" name="Freeform 4">
            <a:extLst>
              <a:ext uri="{FF2B5EF4-FFF2-40B4-BE49-F238E27FC236}">
                <a16:creationId xmlns:a16="http://schemas.microsoft.com/office/drawing/2014/main" id="{00000000-0008-0000-0100-000005000000}"/>
              </a:ext>
            </a:extLst>
          </xdr:cNvPr>
          <xdr:cNvSpPr>
            <a:spLocks/>
          </xdr:cNvSpPr>
        </xdr:nvSpPr>
        <xdr:spPr bwMode="auto">
          <a:xfrm>
            <a:off x="4108450" y="633413"/>
            <a:ext cx="785813" cy="650875"/>
          </a:xfrm>
          <a:custGeom>
            <a:avLst/>
            <a:gdLst>
              <a:gd name="T0" fmla="*/ 442 w 495"/>
              <a:gd name="T1" fmla="*/ 0 h 410"/>
              <a:gd name="T2" fmla="*/ 355 w 495"/>
              <a:gd name="T3" fmla="*/ 209 h 410"/>
              <a:gd name="T4" fmla="*/ 268 w 495"/>
              <a:gd name="T5" fmla="*/ 121 h 410"/>
              <a:gd name="T6" fmla="*/ 196 w 495"/>
              <a:gd name="T7" fmla="*/ 286 h 410"/>
              <a:gd name="T8" fmla="*/ 117 w 495"/>
              <a:gd name="T9" fmla="*/ 205 h 410"/>
              <a:gd name="T10" fmla="*/ 0 w 495"/>
              <a:gd name="T11" fmla="*/ 375 h 410"/>
              <a:gd name="T12" fmla="*/ 47 w 495"/>
              <a:gd name="T13" fmla="*/ 410 h 410"/>
              <a:gd name="T14" fmla="*/ 47 w 495"/>
              <a:gd name="T15" fmla="*/ 410 h 410"/>
              <a:gd name="T16" fmla="*/ 125 w 495"/>
              <a:gd name="T17" fmla="*/ 297 h 410"/>
              <a:gd name="T18" fmla="*/ 214 w 495"/>
              <a:gd name="T19" fmla="*/ 390 h 410"/>
              <a:gd name="T20" fmla="*/ 286 w 495"/>
              <a:gd name="T21" fmla="*/ 224 h 410"/>
              <a:gd name="T22" fmla="*/ 375 w 495"/>
              <a:gd name="T23" fmla="*/ 312 h 410"/>
              <a:gd name="T24" fmla="*/ 495 w 495"/>
              <a:gd name="T25" fmla="*/ 22 h 410"/>
              <a:gd name="T26" fmla="*/ 442 w 495"/>
              <a:gd name="T27" fmla="*/ 0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95" h="410">
                <a:moveTo>
                  <a:pt x="442" y="0"/>
                </a:moveTo>
                <a:lnTo>
                  <a:pt x="355" y="209"/>
                </a:lnTo>
                <a:lnTo>
                  <a:pt x="268" y="121"/>
                </a:lnTo>
                <a:lnTo>
                  <a:pt x="196" y="286"/>
                </a:lnTo>
                <a:lnTo>
                  <a:pt x="117" y="205"/>
                </a:lnTo>
                <a:lnTo>
                  <a:pt x="0" y="375"/>
                </a:lnTo>
                <a:lnTo>
                  <a:pt x="47" y="410"/>
                </a:lnTo>
                <a:lnTo>
                  <a:pt x="47" y="410"/>
                </a:lnTo>
                <a:lnTo>
                  <a:pt x="125" y="297"/>
                </a:lnTo>
                <a:lnTo>
                  <a:pt x="214" y="390"/>
                </a:lnTo>
                <a:lnTo>
                  <a:pt x="286" y="224"/>
                </a:lnTo>
                <a:lnTo>
                  <a:pt x="375" y="312"/>
                </a:lnTo>
                <a:lnTo>
                  <a:pt x="495" y="22"/>
                </a:lnTo>
                <a:lnTo>
                  <a:pt x="44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5">
            <a:extLst>
              <a:ext uri="{FF2B5EF4-FFF2-40B4-BE49-F238E27FC236}">
                <a16:creationId xmlns:a16="http://schemas.microsoft.com/office/drawing/2014/main" id="{00000000-0008-0000-0100-000006000000}"/>
              </a:ext>
            </a:extLst>
          </xdr:cNvPr>
          <xdr:cNvSpPr>
            <a:spLocks/>
          </xdr:cNvSpPr>
        </xdr:nvSpPr>
        <xdr:spPr bwMode="auto">
          <a:xfrm>
            <a:off x="4752600" y="489175"/>
            <a:ext cx="200025" cy="214313"/>
          </a:xfrm>
          <a:custGeom>
            <a:avLst/>
            <a:gdLst>
              <a:gd name="T0" fmla="*/ 72 w 85"/>
              <a:gd name="T1" fmla="*/ 88 h 91"/>
              <a:gd name="T2" fmla="*/ 83 w 85"/>
              <a:gd name="T3" fmla="*/ 75 h 91"/>
              <a:gd name="T4" fmla="*/ 75 w 85"/>
              <a:gd name="T5" fmla="*/ 13 h 91"/>
              <a:gd name="T6" fmla="*/ 58 w 85"/>
              <a:gd name="T7" fmla="*/ 6 h 91"/>
              <a:gd name="T8" fmla="*/ 8 w 85"/>
              <a:gd name="T9" fmla="*/ 44 h 91"/>
              <a:gd name="T10" fmla="*/ 7 w 85"/>
              <a:gd name="T11" fmla="*/ 61 h 91"/>
              <a:gd name="T12" fmla="*/ 39 w 85"/>
              <a:gd name="T13" fmla="*/ 74 h 91"/>
              <a:gd name="T14" fmla="*/ 41 w 85"/>
              <a:gd name="T15" fmla="*/ 75 h 91"/>
              <a:gd name="T16" fmla="*/ 72 w 85"/>
              <a:gd name="T17" fmla="*/ 88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91">
                <a:moveTo>
                  <a:pt x="72" y="88"/>
                </a:moveTo>
                <a:cubicBezTo>
                  <a:pt x="80" y="91"/>
                  <a:pt x="85" y="85"/>
                  <a:pt x="83" y="75"/>
                </a:cubicBezTo>
                <a:cubicBezTo>
                  <a:pt x="75" y="13"/>
                  <a:pt x="75" y="13"/>
                  <a:pt x="75" y="13"/>
                </a:cubicBezTo>
                <a:cubicBezTo>
                  <a:pt x="74" y="3"/>
                  <a:pt x="66" y="0"/>
                  <a:pt x="58" y="6"/>
                </a:cubicBezTo>
                <a:cubicBezTo>
                  <a:pt x="8" y="44"/>
                  <a:pt x="8" y="44"/>
                  <a:pt x="8" y="44"/>
                </a:cubicBezTo>
                <a:cubicBezTo>
                  <a:pt x="0" y="50"/>
                  <a:pt x="0" y="58"/>
                  <a:pt x="7" y="61"/>
                </a:cubicBezTo>
                <a:cubicBezTo>
                  <a:pt x="15" y="65"/>
                  <a:pt x="29" y="70"/>
                  <a:pt x="39" y="74"/>
                </a:cubicBezTo>
                <a:cubicBezTo>
                  <a:pt x="41" y="75"/>
                  <a:pt x="41" y="75"/>
                  <a:pt x="41" y="75"/>
                </a:cubicBezTo>
                <a:cubicBezTo>
                  <a:pt x="50" y="79"/>
                  <a:pt x="64" y="85"/>
                  <a:pt x="72" y="8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2</xdr:col>
      <xdr:colOff>1107889</xdr:colOff>
      <xdr:row>43</xdr:row>
      <xdr:rowOff>152956</xdr:rowOff>
    </xdr:from>
    <xdr:to>
      <xdr:col>2</xdr:col>
      <xdr:colOff>1382209</xdr:colOff>
      <xdr:row>45</xdr:row>
      <xdr:rowOff>50759</xdr:rowOff>
    </xdr:to>
    <xdr:sp macro="" textlink="">
      <xdr:nvSpPr>
        <xdr:cNvPr id="7" name="Freeform 6">
          <a:extLst>
            <a:ext uri="{FF2B5EF4-FFF2-40B4-BE49-F238E27FC236}">
              <a16:creationId xmlns:a16="http://schemas.microsoft.com/office/drawing/2014/main" id="{00000000-0008-0000-0100-000007000000}"/>
            </a:ext>
          </a:extLst>
        </xdr:cNvPr>
        <xdr:cNvSpPr>
          <a:spLocks noEditPoints="1"/>
        </xdr:cNvSpPr>
      </xdr:nvSpPr>
      <xdr:spPr bwMode="auto">
        <a:xfrm>
          <a:off x="1526989" y="10660936"/>
          <a:ext cx="274320" cy="278803"/>
        </a:xfrm>
        <a:custGeom>
          <a:avLst/>
          <a:gdLst>
            <a:gd name="T0" fmla="*/ 152 w 312"/>
            <a:gd name="T1" fmla="*/ 10 h 309"/>
            <a:gd name="T2" fmla="*/ 302 w 312"/>
            <a:gd name="T3" fmla="*/ 150 h 309"/>
            <a:gd name="T4" fmla="*/ 310 w 312"/>
            <a:gd name="T5" fmla="*/ 160 h 309"/>
            <a:gd name="T6" fmla="*/ 162 w 312"/>
            <a:gd name="T7" fmla="*/ 309 h 309"/>
            <a:gd name="T8" fmla="*/ 13 w 312"/>
            <a:gd name="T9" fmla="*/ 160 h 309"/>
            <a:gd name="T10" fmla="*/ 199 w 312"/>
            <a:gd name="T11" fmla="*/ 150 h 309"/>
            <a:gd name="T12" fmla="*/ 199 w 312"/>
            <a:gd name="T13" fmla="*/ 154 h 309"/>
            <a:gd name="T14" fmla="*/ 199 w 312"/>
            <a:gd name="T15" fmla="*/ 154 h 309"/>
            <a:gd name="T16" fmla="*/ 199 w 312"/>
            <a:gd name="T17" fmla="*/ 155 h 309"/>
            <a:gd name="T18" fmla="*/ 163 w 312"/>
            <a:gd name="T19" fmla="*/ 216 h 309"/>
            <a:gd name="T20" fmla="*/ 153 w 312"/>
            <a:gd name="T21" fmla="*/ 178 h 309"/>
            <a:gd name="T22" fmla="*/ 134 w 312"/>
            <a:gd name="T23" fmla="*/ 160 h 309"/>
            <a:gd name="T24" fmla="*/ 117 w 312"/>
            <a:gd name="T25" fmla="*/ 150 h 309"/>
            <a:gd name="T26" fmla="*/ 152 w 312"/>
            <a:gd name="T27" fmla="*/ 113 h 309"/>
            <a:gd name="T28" fmla="*/ 153 w 312"/>
            <a:gd name="T29" fmla="*/ 113 h 309"/>
            <a:gd name="T30" fmla="*/ 153 w 312"/>
            <a:gd name="T31" fmla="*/ 113 h 309"/>
            <a:gd name="T32" fmla="*/ 153 w 312"/>
            <a:gd name="T33" fmla="*/ 113 h 309"/>
            <a:gd name="T34" fmla="*/ 154 w 312"/>
            <a:gd name="T35" fmla="*/ 113 h 309"/>
            <a:gd name="T36" fmla="*/ 155 w 312"/>
            <a:gd name="T37" fmla="*/ 113 h 309"/>
            <a:gd name="T38" fmla="*/ 155 w 312"/>
            <a:gd name="T39" fmla="*/ 113 h 309"/>
            <a:gd name="T40" fmla="*/ 155 w 312"/>
            <a:gd name="T41" fmla="*/ 113 h 309"/>
            <a:gd name="T42" fmla="*/ 155 w 312"/>
            <a:gd name="T43" fmla="*/ 113 h 309"/>
            <a:gd name="T44" fmla="*/ 155 w 312"/>
            <a:gd name="T45" fmla="*/ 113 h 309"/>
            <a:gd name="T46" fmla="*/ 155 w 312"/>
            <a:gd name="T47" fmla="*/ 113 h 309"/>
            <a:gd name="T48" fmla="*/ 156 w 312"/>
            <a:gd name="T49" fmla="*/ 113 h 309"/>
            <a:gd name="T50" fmla="*/ 156 w 312"/>
            <a:gd name="T51" fmla="*/ 113 h 309"/>
            <a:gd name="T52" fmla="*/ 156 w 312"/>
            <a:gd name="T53" fmla="*/ 113 h 309"/>
            <a:gd name="T54" fmla="*/ 156 w 312"/>
            <a:gd name="T55" fmla="*/ 113 h 309"/>
            <a:gd name="T56" fmla="*/ 156 w 312"/>
            <a:gd name="T57" fmla="*/ 113 h 309"/>
            <a:gd name="T58" fmla="*/ 156 w 312"/>
            <a:gd name="T59" fmla="*/ 113 h 309"/>
            <a:gd name="T60" fmla="*/ 157 w 312"/>
            <a:gd name="T61" fmla="*/ 113 h 309"/>
            <a:gd name="T62" fmla="*/ 157 w 312"/>
            <a:gd name="T63" fmla="*/ 113 h 309"/>
            <a:gd name="T64" fmla="*/ 157 w 312"/>
            <a:gd name="T65" fmla="*/ 113 h 309"/>
            <a:gd name="T66" fmla="*/ 157 w 312"/>
            <a:gd name="T67" fmla="*/ 113 h 309"/>
            <a:gd name="T68" fmla="*/ 157 w 312"/>
            <a:gd name="T69" fmla="*/ 113 h 309"/>
            <a:gd name="T70" fmla="*/ 199 w 312"/>
            <a:gd name="T71" fmla="*/ 150 h 309"/>
            <a:gd name="T72" fmla="*/ 182 w 312"/>
            <a:gd name="T73" fmla="*/ 160 h 309"/>
            <a:gd name="T74" fmla="*/ 158 w 312"/>
            <a:gd name="T75" fmla="*/ 196 h 309"/>
            <a:gd name="T76" fmla="*/ 158 w 312"/>
            <a:gd name="T77" fmla="*/ 196 h 309"/>
            <a:gd name="T78" fmla="*/ 158 w 312"/>
            <a:gd name="T79" fmla="*/ 196 h 309"/>
            <a:gd name="T80" fmla="*/ 152 w 312"/>
            <a:gd name="T81" fmla="*/ 216 h 309"/>
            <a:gd name="T82" fmla="*/ 116 w 312"/>
            <a:gd name="T83" fmla="*/ 155 h 309"/>
            <a:gd name="T84" fmla="*/ 116 w 312"/>
            <a:gd name="T85" fmla="*/ 154 h 309"/>
            <a:gd name="T86" fmla="*/ 116 w 312"/>
            <a:gd name="T87" fmla="*/ 154 h 309"/>
            <a:gd name="T88" fmla="*/ 152 w 312"/>
            <a:gd name="T89" fmla="*/ 93 h 309"/>
            <a:gd name="T90" fmla="*/ 162 w 312"/>
            <a:gd name="T91" fmla="*/ 129 h 309"/>
            <a:gd name="T92" fmla="*/ 219 w 312"/>
            <a:gd name="T93" fmla="*/ 150 h 309"/>
            <a:gd name="T94" fmla="*/ 116 w 312"/>
            <a:gd name="T95" fmla="*/ 154 h 309"/>
            <a:gd name="T96" fmla="*/ 158 w 312"/>
            <a:gd name="T97" fmla="*/ 172 h 309"/>
            <a:gd name="T98" fmla="*/ 244 w 312"/>
            <a:gd name="T99" fmla="*/ 150 h 309"/>
            <a:gd name="T100" fmla="*/ 244 w 312"/>
            <a:gd name="T101" fmla="*/ 160 h 309"/>
            <a:gd name="T102" fmla="*/ 244 w 312"/>
            <a:gd name="T103" fmla="*/ 160 h 309"/>
            <a:gd name="T104" fmla="*/ 152 w 312"/>
            <a:gd name="T105" fmla="*/ 270 h 309"/>
            <a:gd name="T106" fmla="*/ 152 w 312"/>
            <a:gd name="T107" fmla="*/ 39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12" h="309">
              <a:moveTo>
                <a:pt x="0" y="160"/>
              </a:moveTo>
              <a:cubicBezTo>
                <a:pt x="0" y="150"/>
                <a:pt x="0" y="150"/>
                <a:pt x="0" y="150"/>
              </a:cubicBezTo>
              <a:cubicBezTo>
                <a:pt x="13" y="150"/>
                <a:pt x="13" y="150"/>
                <a:pt x="13" y="150"/>
              </a:cubicBezTo>
              <a:cubicBezTo>
                <a:pt x="16" y="74"/>
                <a:pt x="77" y="13"/>
                <a:pt x="152" y="10"/>
              </a:cubicBezTo>
              <a:cubicBezTo>
                <a:pt x="152" y="0"/>
                <a:pt x="152" y="0"/>
                <a:pt x="152" y="0"/>
              </a:cubicBezTo>
              <a:cubicBezTo>
                <a:pt x="163" y="0"/>
                <a:pt x="163" y="0"/>
                <a:pt x="163" y="0"/>
              </a:cubicBezTo>
              <a:cubicBezTo>
                <a:pt x="163" y="10"/>
                <a:pt x="163" y="10"/>
                <a:pt x="163" y="10"/>
              </a:cubicBezTo>
              <a:cubicBezTo>
                <a:pt x="238" y="13"/>
                <a:pt x="300" y="74"/>
                <a:pt x="302" y="150"/>
              </a:cubicBezTo>
              <a:cubicBezTo>
                <a:pt x="310" y="150"/>
                <a:pt x="310" y="150"/>
                <a:pt x="310" y="150"/>
              </a:cubicBezTo>
              <a:cubicBezTo>
                <a:pt x="311" y="150"/>
                <a:pt x="312" y="150"/>
                <a:pt x="312" y="151"/>
              </a:cubicBezTo>
              <a:cubicBezTo>
                <a:pt x="312" y="159"/>
                <a:pt x="312" y="159"/>
                <a:pt x="312" y="159"/>
              </a:cubicBezTo>
              <a:cubicBezTo>
                <a:pt x="312" y="160"/>
                <a:pt x="311" y="160"/>
                <a:pt x="310" y="160"/>
              </a:cubicBezTo>
              <a:cubicBezTo>
                <a:pt x="302" y="160"/>
                <a:pt x="302" y="160"/>
                <a:pt x="302" y="160"/>
              </a:cubicBezTo>
              <a:cubicBezTo>
                <a:pt x="299" y="235"/>
                <a:pt x="238" y="296"/>
                <a:pt x="163" y="299"/>
              </a:cubicBezTo>
              <a:cubicBezTo>
                <a:pt x="163" y="308"/>
                <a:pt x="163" y="308"/>
                <a:pt x="163" y="308"/>
              </a:cubicBezTo>
              <a:cubicBezTo>
                <a:pt x="163" y="309"/>
                <a:pt x="162" y="309"/>
                <a:pt x="162" y="309"/>
              </a:cubicBezTo>
              <a:cubicBezTo>
                <a:pt x="153" y="309"/>
                <a:pt x="153" y="309"/>
                <a:pt x="153" y="309"/>
              </a:cubicBezTo>
              <a:cubicBezTo>
                <a:pt x="153" y="309"/>
                <a:pt x="152" y="309"/>
                <a:pt x="152" y="308"/>
              </a:cubicBezTo>
              <a:cubicBezTo>
                <a:pt x="152" y="299"/>
                <a:pt x="152" y="299"/>
                <a:pt x="152" y="299"/>
              </a:cubicBezTo>
              <a:cubicBezTo>
                <a:pt x="77" y="296"/>
                <a:pt x="16" y="235"/>
                <a:pt x="13" y="160"/>
              </a:cubicBezTo>
              <a:cubicBezTo>
                <a:pt x="0" y="160"/>
                <a:pt x="0" y="160"/>
                <a:pt x="0" y="160"/>
              </a:cubicBezTo>
              <a:close/>
              <a:moveTo>
                <a:pt x="163" y="113"/>
              </a:moveTo>
              <a:cubicBezTo>
                <a:pt x="182" y="116"/>
                <a:pt x="197" y="131"/>
                <a:pt x="199" y="150"/>
              </a:cubicBezTo>
              <a:cubicBezTo>
                <a:pt x="199" y="150"/>
                <a:pt x="199" y="150"/>
                <a:pt x="199" y="150"/>
              </a:cubicBezTo>
              <a:cubicBezTo>
                <a:pt x="199" y="151"/>
                <a:pt x="199" y="153"/>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5"/>
                <a:pt x="199" y="155"/>
                <a:pt x="199" y="155"/>
              </a:cubicBezTo>
              <a:cubicBezTo>
                <a:pt x="199" y="155"/>
                <a:pt x="199" y="155"/>
                <a:pt x="199" y="155"/>
              </a:cubicBezTo>
              <a:cubicBezTo>
                <a:pt x="199" y="155"/>
                <a:pt x="199" y="155"/>
                <a:pt x="199" y="155"/>
              </a:cubicBezTo>
              <a:cubicBezTo>
                <a:pt x="199" y="157"/>
                <a:pt x="199" y="158"/>
                <a:pt x="198" y="160"/>
              </a:cubicBezTo>
              <a:cubicBezTo>
                <a:pt x="219" y="160"/>
                <a:pt x="219" y="160"/>
                <a:pt x="219" y="160"/>
              </a:cubicBezTo>
              <a:cubicBezTo>
                <a:pt x="216" y="190"/>
                <a:pt x="193" y="214"/>
                <a:pt x="163" y="216"/>
              </a:cubicBezTo>
              <a:cubicBezTo>
                <a:pt x="163" y="195"/>
                <a:pt x="163" y="195"/>
                <a:pt x="163" y="195"/>
              </a:cubicBezTo>
              <a:cubicBezTo>
                <a:pt x="163" y="178"/>
                <a:pt x="163" y="178"/>
                <a:pt x="163" y="178"/>
              </a:cubicBezTo>
              <a:cubicBezTo>
                <a:pt x="163" y="178"/>
                <a:pt x="162" y="178"/>
                <a:pt x="162" y="178"/>
              </a:cubicBezTo>
              <a:cubicBezTo>
                <a:pt x="153" y="178"/>
                <a:pt x="153" y="178"/>
                <a:pt x="153" y="178"/>
              </a:cubicBezTo>
              <a:cubicBezTo>
                <a:pt x="153" y="178"/>
                <a:pt x="152" y="178"/>
                <a:pt x="152" y="178"/>
              </a:cubicBezTo>
              <a:cubicBezTo>
                <a:pt x="152" y="195"/>
                <a:pt x="152" y="195"/>
                <a:pt x="152" y="195"/>
              </a:cubicBezTo>
              <a:cubicBezTo>
                <a:pt x="134" y="193"/>
                <a:pt x="119" y="179"/>
                <a:pt x="117" y="160"/>
              </a:cubicBezTo>
              <a:cubicBezTo>
                <a:pt x="134" y="160"/>
                <a:pt x="134" y="160"/>
                <a:pt x="134" y="160"/>
              </a:cubicBezTo>
              <a:cubicBezTo>
                <a:pt x="134" y="160"/>
                <a:pt x="134" y="160"/>
                <a:pt x="134" y="159"/>
              </a:cubicBezTo>
              <a:cubicBezTo>
                <a:pt x="134" y="151"/>
                <a:pt x="134" y="151"/>
                <a:pt x="134" y="151"/>
              </a:cubicBezTo>
              <a:cubicBezTo>
                <a:pt x="134" y="150"/>
                <a:pt x="134" y="150"/>
                <a:pt x="134" y="150"/>
              </a:cubicBezTo>
              <a:cubicBezTo>
                <a:pt x="117" y="150"/>
                <a:pt x="117" y="150"/>
                <a:pt x="117" y="150"/>
              </a:cubicBezTo>
              <a:cubicBezTo>
                <a:pt x="119" y="131"/>
                <a:pt x="134" y="116"/>
                <a:pt x="152" y="113"/>
              </a:cubicBezTo>
              <a:cubicBezTo>
                <a:pt x="152" y="113"/>
                <a:pt x="152" y="113"/>
                <a:pt x="152" y="113"/>
              </a:cubicBezTo>
              <a:cubicBezTo>
                <a:pt x="152" y="113"/>
                <a:pt x="152" y="113"/>
                <a:pt x="152" y="113"/>
              </a:cubicBezTo>
              <a:cubicBezTo>
                <a:pt x="152" y="113"/>
                <a:pt x="152" y="113"/>
                <a:pt x="152" y="113"/>
              </a:cubicBezTo>
              <a:cubicBezTo>
                <a:pt x="152" y="113"/>
                <a:pt x="152" y="113"/>
                <a:pt x="152"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4" y="113"/>
                <a:pt x="154" y="113"/>
                <a:pt x="154" y="113"/>
              </a:cubicBezTo>
              <a:cubicBezTo>
                <a:pt x="154" y="113"/>
                <a:pt x="154" y="113"/>
                <a:pt x="154"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8" y="113"/>
                <a:pt x="158" y="113"/>
                <a:pt x="158" y="113"/>
              </a:cubicBezTo>
              <a:cubicBezTo>
                <a:pt x="158" y="113"/>
                <a:pt x="158" y="113"/>
                <a:pt x="158" y="113"/>
              </a:cubicBezTo>
              <a:cubicBezTo>
                <a:pt x="159" y="113"/>
                <a:pt x="161" y="113"/>
                <a:pt x="163" y="113"/>
              </a:cubicBezTo>
              <a:close/>
              <a:moveTo>
                <a:pt x="199" y="150"/>
              </a:moveTo>
              <a:cubicBezTo>
                <a:pt x="182" y="150"/>
                <a:pt x="182" y="150"/>
                <a:pt x="182" y="150"/>
              </a:cubicBezTo>
              <a:cubicBezTo>
                <a:pt x="182" y="150"/>
                <a:pt x="182" y="150"/>
                <a:pt x="182" y="151"/>
              </a:cubicBezTo>
              <a:cubicBezTo>
                <a:pt x="182" y="159"/>
                <a:pt x="182" y="159"/>
                <a:pt x="182" y="159"/>
              </a:cubicBezTo>
              <a:cubicBezTo>
                <a:pt x="182" y="160"/>
                <a:pt x="182" y="160"/>
                <a:pt x="182" y="160"/>
              </a:cubicBezTo>
              <a:cubicBezTo>
                <a:pt x="198" y="160"/>
                <a:pt x="198" y="160"/>
                <a:pt x="198" y="160"/>
              </a:cubicBezTo>
              <a:cubicBezTo>
                <a:pt x="196" y="179"/>
                <a:pt x="181" y="193"/>
                <a:pt x="163" y="195"/>
              </a:cubicBezTo>
              <a:cubicBezTo>
                <a:pt x="161" y="196"/>
                <a:pt x="160"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7" y="196"/>
                <a:pt x="157" y="196"/>
                <a:pt x="157" y="196"/>
              </a:cubicBezTo>
              <a:cubicBezTo>
                <a:pt x="157" y="196"/>
                <a:pt x="157" y="196"/>
                <a:pt x="157" y="196"/>
              </a:cubicBezTo>
              <a:cubicBezTo>
                <a:pt x="156" y="196"/>
                <a:pt x="154" y="196"/>
                <a:pt x="152" y="195"/>
              </a:cubicBezTo>
              <a:cubicBezTo>
                <a:pt x="152" y="216"/>
                <a:pt x="152" y="216"/>
                <a:pt x="152" y="216"/>
              </a:cubicBezTo>
              <a:cubicBezTo>
                <a:pt x="123" y="214"/>
                <a:pt x="99" y="190"/>
                <a:pt x="96" y="160"/>
              </a:cubicBezTo>
              <a:cubicBezTo>
                <a:pt x="117" y="160"/>
                <a:pt x="117" y="160"/>
                <a:pt x="117" y="160"/>
              </a:cubicBezTo>
              <a:cubicBezTo>
                <a:pt x="117" y="158"/>
                <a:pt x="116" y="156"/>
                <a:pt x="116" y="155"/>
              </a:cubicBezTo>
              <a:cubicBezTo>
                <a:pt x="116" y="155"/>
                <a:pt x="116" y="155"/>
                <a:pt x="116" y="155"/>
              </a:cubicBezTo>
              <a:cubicBezTo>
                <a:pt x="116" y="155"/>
                <a:pt x="116" y="155"/>
                <a:pt x="116" y="155"/>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3"/>
                <a:pt x="116" y="151"/>
                <a:pt x="117" y="150"/>
              </a:cubicBezTo>
              <a:cubicBezTo>
                <a:pt x="96" y="150"/>
                <a:pt x="96" y="150"/>
                <a:pt x="96" y="150"/>
              </a:cubicBezTo>
              <a:cubicBezTo>
                <a:pt x="98" y="120"/>
                <a:pt x="122" y="95"/>
                <a:pt x="152" y="93"/>
              </a:cubicBezTo>
              <a:cubicBezTo>
                <a:pt x="152" y="113"/>
                <a:pt x="152" y="113"/>
                <a:pt x="152" y="113"/>
              </a:cubicBezTo>
              <a:cubicBezTo>
                <a:pt x="152" y="129"/>
                <a:pt x="152" y="129"/>
                <a:pt x="152" y="129"/>
              </a:cubicBezTo>
              <a:cubicBezTo>
                <a:pt x="152" y="129"/>
                <a:pt x="153" y="129"/>
                <a:pt x="153" y="129"/>
              </a:cubicBezTo>
              <a:cubicBezTo>
                <a:pt x="162" y="129"/>
                <a:pt x="162" y="129"/>
                <a:pt x="162" y="129"/>
              </a:cubicBezTo>
              <a:cubicBezTo>
                <a:pt x="162" y="129"/>
                <a:pt x="163" y="129"/>
                <a:pt x="163" y="129"/>
              </a:cubicBezTo>
              <a:cubicBezTo>
                <a:pt x="163" y="113"/>
                <a:pt x="163" y="113"/>
                <a:pt x="163" y="113"/>
              </a:cubicBezTo>
              <a:cubicBezTo>
                <a:pt x="163" y="93"/>
                <a:pt x="163" y="93"/>
                <a:pt x="163" y="93"/>
              </a:cubicBezTo>
              <a:cubicBezTo>
                <a:pt x="193" y="95"/>
                <a:pt x="217" y="120"/>
                <a:pt x="219" y="150"/>
              </a:cubicBezTo>
              <a:cubicBezTo>
                <a:pt x="199" y="150"/>
                <a:pt x="199" y="150"/>
                <a:pt x="199" y="150"/>
              </a:cubicBezTo>
              <a:cubicBezTo>
                <a:pt x="199" y="150"/>
                <a:pt x="199" y="150"/>
                <a:pt x="199" y="150"/>
              </a:cubicBezTo>
              <a:close/>
              <a:moveTo>
                <a:pt x="116" y="154"/>
              </a:moveTo>
              <a:cubicBezTo>
                <a:pt x="116" y="154"/>
                <a:pt x="116" y="154"/>
                <a:pt x="116" y="154"/>
              </a:cubicBezTo>
              <a:cubicBezTo>
                <a:pt x="116" y="154"/>
                <a:pt x="116" y="154"/>
                <a:pt x="116" y="154"/>
              </a:cubicBezTo>
              <a:close/>
              <a:moveTo>
                <a:pt x="158" y="137"/>
              </a:moveTo>
              <a:cubicBezTo>
                <a:pt x="167" y="137"/>
                <a:pt x="175" y="145"/>
                <a:pt x="175" y="154"/>
              </a:cubicBezTo>
              <a:cubicBezTo>
                <a:pt x="175" y="164"/>
                <a:pt x="167" y="172"/>
                <a:pt x="158" y="172"/>
              </a:cubicBezTo>
              <a:cubicBezTo>
                <a:pt x="148" y="172"/>
                <a:pt x="140" y="164"/>
                <a:pt x="140" y="154"/>
              </a:cubicBezTo>
              <a:cubicBezTo>
                <a:pt x="140" y="145"/>
                <a:pt x="148" y="137"/>
                <a:pt x="158" y="137"/>
              </a:cubicBezTo>
              <a:close/>
              <a:moveTo>
                <a:pt x="163" y="68"/>
              </a:moveTo>
              <a:cubicBezTo>
                <a:pt x="207" y="71"/>
                <a:pt x="242" y="106"/>
                <a:pt x="244" y="150"/>
              </a:cubicBezTo>
              <a:cubicBezTo>
                <a:pt x="273" y="150"/>
                <a:pt x="273" y="150"/>
                <a:pt x="273" y="150"/>
              </a:cubicBezTo>
              <a:cubicBezTo>
                <a:pt x="271" y="90"/>
                <a:pt x="223" y="42"/>
                <a:pt x="163" y="39"/>
              </a:cubicBezTo>
              <a:cubicBezTo>
                <a:pt x="163" y="68"/>
                <a:pt x="163" y="68"/>
                <a:pt x="163" y="68"/>
              </a:cubicBezTo>
              <a:close/>
              <a:moveTo>
                <a:pt x="244" y="160"/>
              </a:moveTo>
              <a:cubicBezTo>
                <a:pt x="241" y="204"/>
                <a:pt x="206" y="238"/>
                <a:pt x="163" y="241"/>
              </a:cubicBezTo>
              <a:cubicBezTo>
                <a:pt x="163" y="270"/>
                <a:pt x="163" y="270"/>
                <a:pt x="163" y="270"/>
              </a:cubicBezTo>
              <a:cubicBezTo>
                <a:pt x="222" y="267"/>
                <a:pt x="270" y="219"/>
                <a:pt x="273" y="160"/>
              </a:cubicBezTo>
              <a:cubicBezTo>
                <a:pt x="244" y="160"/>
                <a:pt x="244" y="160"/>
                <a:pt x="244" y="160"/>
              </a:cubicBezTo>
              <a:close/>
              <a:moveTo>
                <a:pt x="152" y="241"/>
              </a:moveTo>
              <a:cubicBezTo>
                <a:pt x="109" y="238"/>
                <a:pt x="74" y="204"/>
                <a:pt x="71" y="160"/>
              </a:cubicBezTo>
              <a:cubicBezTo>
                <a:pt x="42" y="160"/>
                <a:pt x="42" y="160"/>
                <a:pt x="42" y="160"/>
              </a:cubicBezTo>
              <a:cubicBezTo>
                <a:pt x="45" y="219"/>
                <a:pt x="93" y="267"/>
                <a:pt x="152" y="270"/>
              </a:cubicBezTo>
              <a:cubicBezTo>
                <a:pt x="152" y="241"/>
                <a:pt x="152" y="241"/>
                <a:pt x="152" y="241"/>
              </a:cubicBezTo>
              <a:close/>
              <a:moveTo>
                <a:pt x="71" y="150"/>
              </a:moveTo>
              <a:cubicBezTo>
                <a:pt x="73" y="106"/>
                <a:pt x="109" y="71"/>
                <a:pt x="152" y="68"/>
              </a:cubicBezTo>
              <a:cubicBezTo>
                <a:pt x="152" y="39"/>
                <a:pt x="152" y="39"/>
                <a:pt x="152" y="39"/>
              </a:cubicBezTo>
              <a:cubicBezTo>
                <a:pt x="93" y="42"/>
                <a:pt x="45" y="90"/>
                <a:pt x="42" y="150"/>
              </a:cubicBezTo>
              <a:cubicBezTo>
                <a:pt x="71" y="150"/>
                <a:pt x="71" y="150"/>
                <a:pt x="71" y="15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1739151</xdr:colOff>
      <xdr:row>39</xdr:row>
      <xdr:rowOff>143433</xdr:rowOff>
    </xdr:from>
    <xdr:to>
      <xdr:col>3</xdr:col>
      <xdr:colOff>268939</xdr:colOff>
      <xdr:row>41</xdr:row>
      <xdr:rowOff>44823</xdr:rowOff>
    </xdr:to>
    <xdr:sp macro="" textlink="">
      <xdr:nvSpPr>
        <xdr:cNvPr id="8" name="Freeform 7">
          <a:extLst>
            <a:ext uri="{FF2B5EF4-FFF2-40B4-BE49-F238E27FC236}">
              <a16:creationId xmlns:a16="http://schemas.microsoft.com/office/drawing/2014/main" id="{00000000-0008-0000-0100-000008000000}"/>
            </a:ext>
          </a:extLst>
        </xdr:cNvPr>
        <xdr:cNvSpPr>
          <a:spLocks noEditPoints="1"/>
        </xdr:cNvSpPr>
      </xdr:nvSpPr>
      <xdr:spPr bwMode="auto">
        <a:xfrm>
          <a:off x="2158251" y="9721773"/>
          <a:ext cx="282388" cy="282390"/>
        </a:xfrm>
        <a:custGeom>
          <a:avLst/>
          <a:gdLst>
            <a:gd name="T0" fmla="*/ 269 w 354"/>
            <a:gd name="T1" fmla="*/ 109 h 361"/>
            <a:gd name="T2" fmla="*/ 206 w 354"/>
            <a:gd name="T3" fmla="*/ 109 h 361"/>
            <a:gd name="T4" fmla="*/ 130 w 354"/>
            <a:gd name="T5" fmla="*/ 167 h 361"/>
            <a:gd name="T6" fmla="*/ 124 w 354"/>
            <a:gd name="T7" fmla="*/ 177 h 361"/>
            <a:gd name="T8" fmla="*/ 187 w 354"/>
            <a:gd name="T9" fmla="*/ 109 h 361"/>
            <a:gd name="T10" fmla="*/ 124 w 354"/>
            <a:gd name="T11" fmla="*/ 109 h 361"/>
            <a:gd name="T12" fmla="*/ 145 w 354"/>
            <a:gd name="T13" fmla="*/ 149 h 361"/>
            <a:gd name="T14" fmla="*/ 41 w 354"/>
            <a:gd name="T15" fmla="*/ 268 h 361"/>
            <a:gd name="T16" fmla="*/ 104 w 354"/>
            <a:gd name="T17" fmla="*/ 268 h 361"/>
            <a:gd name="T18" fmla="*/ 43 w 354"/>
            <a:gd name="T19" fmla="*/ 227 h 361"/>
            <a:gd name="T20" fmla="*/ 41 w 354"/>
            <a:gd name="T21" fmla="*/ 208 h 361"/>
            <a:gd name="T22" fmla="*/ 104 w 354"/>
            <a:gd name="T23" fmla="*/ 208 h 361"/>
            <a:gd name="T24" fmla="*/ 43 w 354"/>
            <a:gd name="T25" fmla="*/ 167 h 361"/>
            <a:gd name="T26" fmla="*/ 238 w 354"/>
            <a:gd name="T27" fmla="*/ 41 h 361"/>
            <a:gd name="T28" fmla="*/ 244 w 354"/>
            <a:gd name="T29" fmla="*/ 65 h 361"/>
            <a:gd name="T30" fmla="*/ 221 w 354"/>
            <a:gd name="T31" fmla="*/ 55 h 361"/>
            <a:gd name="T32" fmla="*/ 88 w 354"/>
            <a:gd name="T33" fmla="*/ 41 h 361"/>
            <a:gd name="T34" fmla="*/ 93 w 354"/>
            <a:gd name="T35" fmla="*/ 65 h 361"/>
            <a:gd name="T36" fmla="*/ 71 w 354"/>
            <a:gd name="T37" fmla="*/ 55 h 361"/>
            <a:gd name="T38" fmla="*/ 16 w 354"/>
            <a:gd name="T39" fmla="*/ 41 h 361"/>
            <a:gd name="T40" fmla="*/ 126 w 354"/>
            <a:gd name="T41" fmla="*/ 311 h 361"/>
            <a:gd name="T42" fmla="*/ 0 w 354"/>
            <a:gd name="T43" fmla="*/ 45 h 361"/>
            <a:gd name="T44" fmla="*/ 72 w 354"/>
            <a:gd name="T45" fmla="*/ 8 h 361"/>
            <a:gd name="T46" fmla="*/ 88 w 354"/>
            <a:gd name="T47" fmla="*/ 25 h 361"/>
            <a:gd name="T48" fmla="*/ 230 w 354"/>
            <a:gd name="T49" fmla="*/ 0 h 361"/>
            <a:gd name="T50" fmla="*/ 291 w 354"/>
            <a:gd name="T51" fmla="*/ 25 h 361"/>
            <a:gd name="T52" fmla="*/ 295 w 354"/>
            <a:gd name="T53" fmla="*/ 126 h 361"/>
            <a:gd name="T54" fmla="*/ 41 w 354"/>
            <a:gd name="T55" fmla="*/ 147 h 361"/>
            <a:gd name="T56" fmla="*/ 104 w 354"/>
            <a:gd name="T57" fmla="*/ 147 h 361"/>
            <a:gd name="T58" fmla="*/ 43 w 354"/>
            <a:gd name="T59" fmla="*/ 107 h 361"/>
            <a:gd name="T60" fmla="*/ 161 w 354"/>
            <a:gd name="T61" fmla="*/ 319 h 361"/>
            <a:gd name="T62" fmla="*/ 174 w 354"/>
            <a:gd name="T63" fmla="*/ 180 h 361"/>
            <a:gd name="T64" fmla="*/ 174 w 354"/>
            <a:gd name="T65" fmla="*/ 305 h 361"/>
            <a:gd name="T66" fmla="*/ 230 w 354"/>
            <a:gd name="T67" fmla="*/ 249 h 361"/>
            <a:gd name="T68" fmla="*/ 291 w 354"/>
            <a:gd name="T69" fmla="*/ 188 h 361"/>
            <a:gd name="T70" fmla="*/ 206 w 354"/>
            <a:gd name="T71" fmla="*/ 203 h 361"/>
            <a:gd name="T72" fmla="*/ 229 w 354"/>
            <a:gd name="T73" fmla="*/ 296 h 361"/>
            <a:gd name="T74" fmla="*/ 244 w 354"/>
            <a:gd name="T75" fmla="*/ 313 h 361"/>
            <a:gd name="T76" fmla="*/ 229 w 354"/>
            <a:gd name="T77" fmla="*/ 296 h 361"/>
            <a:gd name="T78" fmla="*/ 314 w 354"/>
            <a:gd name="T79" fmla="*/ 243 h 361"/>
            <a:gd name="T80" fmla="*/ 282 w 354"/>
            <a:gd name="T81" fmla="*/ 243 h 361"/>
            <a:gd name="T82" fmla="*/ 229 w 354"/>
            <a:gd name="T83" fmla="*/ 190 h 361"/>
            <a:gd name="T84" fmla="*/ 244 w 354"/>
            <a:gd name="T85" fmla="*/ 173 h 361"/>
            <a:gd name="T86" fmla="*/ 159 w 354"/>
            <a:gd name="T87" fmla="*/ 243 h 361"/>
            <a:gd name="T88" fmla="*/ 191 w 354"/>
            <a:gd name="T89" fmla="*/ 243 h 361"/>
            <a:gd name="T90" fmla="*/ 159 w 354"/>
            <a:gd name="T91" fmla="*/ 243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4" h="361">
              <a:moveTo>
                <a:pt x="206" y="116"/>
              </a:moveTo>
              <a:cubicBezTo>
                <a:pt x="227" y="111"/>
                <a:pt x="248" y="111"/>
                <a:pt x="269" y="117"/>
              </a:cubicBezTo>
              <a:cubicBezTo>
                <a:pt x="269" y="109"/>
                <a:pt x="269" y="109"/>
                <a:pt x="269" y="109"/>
              </a:cubicBezTo>
              <a:cubicBezTo>
                <a:pt x="269" y="108"/>
                <a:pt x="268" y="107"/>
                <a:pt x="267" y="107"/>
              </a:cubicBezTo>
              <a:cubicBezTo>
                <a:pt x="208" y="107"/>
                <a:pt x="208" y="107"/>
                <a:pt x="208" y="107"/>
              </a:cubicBezTo>
              <a:cubicBezTo>
                <a:pt x="207" y="107"/>
                <a:pt x="206" y="108"/>
                <a:pt x="206" y="109"/>
              </a:cubicBezTo>
              <a:cubicBezTo>
                <a:pt x="206" y="116"/>
                <a:pt x="206" y="116"/>
                <a:pt x="206" y="116"/>
              </a:cubicBezTo>
              <a:close/>
              <a:moveTo>
                <a:pt x="124" y="177"/>
              </a:moveTo>
              <a:cubicBezTo>
                <a:pt x="126" y="174"/>
                <a:pt x="128" y="170"/>
                <a:pt x="130" y="167"/>
              </a:cubicBezTo>
              <a:cubicBezTo>
                <a:pt x="126" y="167"/>
                <a:pt x="126" y="167"/>
                <a:pt x="126" y="167"/>
              </a:cubicBezTo>
              <a:cubicBezTo>
                <a:pt x="125" y="167"/>
                <a:pt x="124" y="168"/>
                <a:pt x="124" y="169"/>
              </a:cubicBezTo>
              <a:cubicBezTo>
                <a:pt x="124" y="177"/>
                <a:pt x="124" y="177"/>
                <a:pt x="124" y="177"/>
              </a:cubicBezTo>
              <a:close/>
              <a:moveTo>
                <a:pt x="145" y="149"/>
              </a:moveTo>
              <a:cubicBezTo>
                <a:pt x="157" y="138"/>
                <a:pt x="171" y="129"/>
                <a:pt x="187" y="122"/>
              </a:cubicBezTo>
              <a:cubicBezTo>
                <a:pt x="187" y="109"/>
                <a:pt x="187" y="109"/>
                <a:pt x="187" y="109"/>
              </a:cubicBezTo>
              <a:cubicBezTo>
                <a:pt x="187" y="108"/>
                <a:pt x="186" y="107"/>
                <a:pt x="185" y="107"/>
              </a:cubicBezTo>
              <a:cubicBezTo>
                <a:pt x="126" y="107"/>
                <a:pt x="126" y="107"/>
                <a:pt x="126" y="107"/>
              </a:cubicBezTo>
              <a:cubicBezTo>
                <a:pt x="125" y="107"/>
                <a:pt x="124" y="108"/>
                <a:pt x="124" y="109"/>
              </a:cubicBezTo>
              <a:cubicBezTo>
                <a:pt x="124" y="147"/>
                <a:pt x="124" y="147"/>
                <a:pt x="124" y="147"/>
              </a:cubicBezTo>
              <a:cubicBezTo>
                <a:pt x="124" y="149"/>
                <a:pt x="125" y="149"/>
                <a:pt x="126" y="149"/>
              </a:cubicBezTo>
              <a:cubicBezTo>
                <a:pt x="145" y="149"/>
                <a:pt x="145" y="149"/>
                <a:pt x="145" y="149"/>
              </a:cubicBezTo>
              <a:close/>
              <a:moveTo>
                <a:pt x="43" y="227"/>
              </a:moveTo>
              <a:cubicBezTo>
                <a:pt x="42" y="227"/>
                <a:pt x="41" y="228"/>
                <a:pt x="41" y="229"/>
              </a:cubicBezTo>
              <a:cubicBezTo>
                <a:pt x="41" y="268"/>
                <a:pt x="41" y="268"/>
                <a:pt x="41" y="268"/>
              </a:cubicBezTo>
              <a:cubicBezTo>
                <a:pt x="41" y="269"/>
                <a:pt x="42" y="270"/>
                <a:pt x="43" y="270"/>
              </a:cubicBezTo>
              <a:cubicBezTo>
                <a:pt x="102" y="270"/>
                <a:pt x="102" y="270"/>
                <a:pt x="102" y="270"/>
              </a:cubicBezTo>
              <a:cubicBezTo>
                <a:pt x="103" y="270"/>
                <a:pt x="104" y="269"/>
                <a:pt x="104" y="268"/>
              </a:cubicBezTo>
              <a:cubicBezTo>
                <a:pt x="104" y="229"/>
                <a:pt x="104" y="229"/>
                <a:pt x="104" y="229"/>
              </a:cubicBezTo>
              <a:cubicBezTo>
                <a:pt x="104" y="228"/>
                <a:pt x="103" y="227"/>
                <a:pt x="102" y="227"/>
              </a:cubicBezTo>
              <a:cubicBezTo>
                <a:pt x="43" y="227"/>
                <a:pt x="43" y="227"/>
                <a:pt x="43" y="227"/>
              </a:cubicBezTo>
              <a:close/>
              <a:moveTo>
                <a:pt x="43" y="167"/>
              </a:moveTo>
              <a:cubicBezTo>
                <a:pt x="42" y="167"/>
                <a:pt x="41" y="168"/>
                <a:pt x="41" y="169"/>
              </a:cubicBezTo>
              <a:cubicBezTo>
                <a:pt x="41" y="208"/>
                <a:pt x="41" y="208"/>
                <a:pt x="41" y="208"/>
              </a:cubicBezTo>
              <a:cubicBezTo>
                <a:pt x="41" y="209"/>
                <a:pt x="42" y="209"/>
                <a:pt x="43" y="209"/>
              </a:cubicBezTo>
              <a:cubicBezTo>
                <a:pt x="102" y="209"/>
                <a:pt x="102" y="209"/>
                <a:pt x="102" y="209"/>
              </a:cubicBezTo>
              <a:cubicBezTo>
                <a:pt x="103" y="209"/>
                <a:pt x="104" y="209"/>
                <a:pt x="104" y="208"/>
              </a:cubicBezTo>
              <a:cubicBezTo>
                <a:pt x="104" y="169"/>
                <a:pt x="104" y="169"/>
                <a:pt x="104" y="169"/>
              </a:cubicBezTo>
              <a:cubicBezTo>
                <a:pt x="104" y="168"/>
                <a:pt x="103" y="167"/>
                <a:pt x="102" y="167"/>
              </a:cubicBezTo>
              <a:cubicBezTo>
                <a:pt x="43" y="167"/>
                <a:pt x="43" y="167"/>
                <a:pt x="43" y="167"/>
              </a:cubicBezTo>
              <a:close/>
              <a:moveTo>
                <a:pt x="295" y="126"/>
              </a:moveTo>
              <a:cubicBezTo>
                <a:pt x="295" y="41"/>
                <a:pt x="295" y="41"/>
                <a:pt x="295" y="41"/>
              </a:cubicBezTo>
              <a:cubicBezTo>
                <a:pt x="238" y="41"/>
                <a:pt x="238" y="41"/>
                <a:pt x="238" y="41"/>
              </a:cubicBezTo>
              <a:cubicBezTo>
                <a:pt x="238" y="54"/>
                <a:pt x="238" y="54"/>
                <a:pt x="238" y="54"/>
              </a:cubicBezTo>
              <a:cubicBezTo>
                <a:pt x="239" y="55"/>
                <a:pt x="239" y="55"/>
                <a:pt x="239" y="55"/>
              </a:cubicBezTo>
              <a:cubicBezTo>
                <a:pt x="242" y="58"/>
                <a:pt x="244" y="62"/>
                <a:pt x="244" y="65"/>
              </a:cubicBezTo>
              <a:cubicBezTo>
                <a:pt x="244" y="73"/>
                <a:pt x="238" y="79"/>
                <a:pt x="230" y="79"/>
              </a:cubicBezTo>
              <a:cubicBezTo>
                <a:pt x="223" y="79"/>
                <a:pt x="217" y="73"/>
                <a:pt x="217" y="65"/>
              </a:cubicBezTo>
              <a:cubicBezTo>
                <a:pt x="217" y="62"/>
                <a:pt x="218" y="58"/>
                <a:pt x="221" y="55"/>
              </a:cubicBezTo>
              <a:cubicBezTo>
                <a:pt x="222" y="54"/>
                <a:pt x="222" y="54"/>
                <a:pt x="222" y="54"/>
              </a:cubicBezTo>
              <a:cubicBezTo>
                <a:pt x="222" y="41"/>
                <a:pt x="222" y="41"/>
                <a:pt x="222" y="41"/>
              </a:cubicBezTo>
              <a:cubicBezTo>
                <a:pt x="88" y="41"/>
                <a:pt x="88" y="41"/>
                <a:pt x="88" y="41"/>
              </a:cubicBezTo>
              <a:cubicBezTo>
                <a:pt x="88" y="54"/>
                <a:pt x="88" y="54"/>
                <a:pt x="88" y="54"/>
              </a:cubicBezTo>
              <a:cubicBezTo>
                <a:pt x="89" y="55"/>
                <a:pt x="89" y="55"/>
                <a:pt x="89" y="55"/>
              </a:cubicBezTo>
              <a:cubicBezTo>
                <a:pt x="92" y="58"/>
                <a:pt x="93" y="62"/>
                <a:pt x="93" y="65"/>
              </a:cubicBezTo>
              <a:cubicBezTo>
                <a:pt x="93" y="73"/>
                <a:pt x="87" y="79"/>
                <a:pt x="80" y="79"/>
              </a:cubicBezTo>
              <a:cubicBezTo>
                <a:pt x="73" y="79"/>
                <a:pt x="67" y="73"/>
                <a:pt x="67" y="65"/>
              </a:cubicBezTo>
              <a:cubicBezTo>
                <a:pt x="67" y="62"/>
                <a:pt x="68" y="58"/>
                <a:pt x="71" y="55"/>
              </a:cubicBezTo>
              <a:cubicBezTo>
                <a:pt x="72" y="54"/>
                <a:pt x="72" y="54"/>
                <a:pt x="72" y="54"/>
              </a:cubicBezTo>
              <a:cubicBezTo>
                <a:pt x="72" y="41"/>
                <a:pt x="72" y="41"/>
                <a:pt x="72" y="41"/>
              </a:cubicBezTo>
              <a:cubicBezTo>
                <a:pt x="16" y="41"/>
                <a:pt x="16" y="41"/>
                <a:pt x="16" y="41"/>
              </a:cubicBezTo>
              <a:cubicBezTo>
                <a:pt x="16" y="296"/>
                <a:pt x="16" y="296"/>
                <a:pt x="16" y="296"/>
              </a:cubicBezTo>
              <a:cubicBezTo>
                <a:pt x="117" y="296"/>
                <a:pt x="117" y="296"/>
                <a:pt x="117" y="296"/>
              </a:cubicBezTo>
              <a:cubicBezTo>
                <a:pt x="120" y="301"/>
                <a:pt x="122" y="306"/>
                <a:pt x="126" y="311"/>
              </a:cubicBezTo>
              <a:cubicBezTo>
                <a:pt x="20" y="311"/>
                <a:pt x="20" y="311"/>
                <a:pt x="20" y="311"/>
              </a:cubicBezTo>
              <a:cubicBezTo>
                <a:pt x="9" y="312"/>
                <a:pt x="0" y="304"/>
                <a:pt x="0" y="292"/>
              </a:cubicBezTo>
              <a:cubicBezTo>
                <a:pt x="0" y="45"/>
                <a:pt x="0" y="45"/>
                <a:pt x="0" y="45"/>
              </a:cubicBezTo>
              <a:cubicBezTo>
                <a:pt x="0" y="33"/>
                <a:pt x="8" y="25"/>
                <a:pt x="20" y="25"/>
              </a:cubicBezTo>
              <a:cubicBezTo>
                <a:pt x="72" y="25"/>
                <a:pt x="72" y="25"/>
                <a:pt x="72" y="25"/>
              </a:cubicBezTo>
              <a:cubicBezTo>
                <a:pt x="72" y="8"/>
                <a:pt x="72" y="8"/>
                <a:pt x="72" y="8"/>
              </a:cubicBezTo>
              <a:cubicBezTo>
                <a:pt x="72" y="4"/>
                <a:pt x="76" y="0"/>
                <a:pt x="80" y="0"/>
              </a:cubicBezTo>
              <a:cubicBezTo>
                <a:pt x="84" y="0"/>
                <a:pt x="88" y="4"/>
                <a:pt x="88" y="8"/>
              </a:cubicBezTo>
              <a:cubicBezTo>
                <a:pt x="88" y="25"/>
                <a:pt x="88" y="25"/>
                <a:pt x="88" y="25"/>
              </a:cubicBezTo>
              <a:cubicBezTo>
                <a:pt x="222" y="25"/>
                <a:pt x="222" y="25"/>
                <a:pt x="222" y="25"/>
              </a:cubicBezTo>
              <a:cubicBezTo>
                <a:pt x="222" y="8"/>
                <a:pt x="222" y="8"/>
                <a:pt x="222" y="8"/>
              </a:cubicBezTo>
              <a:cubicBezTo>
                <a:pt x="222" y="4"/>
                <a:pt x="226" y="0"/>
                <a:pt x="230" y="0"/>
              </a:cubicBezTo>
              <a:cubicBezTo>
                <a:pt x="234" y="0"/>
                <a:pt x="238" y="4"/>
                <a:pt x="238" y="8"/>
              </a:cubicBezTo>
              <a:cubicBezTo>
                <a:pt x="238" y="25"/>
                <a:pt x="238" y="25"/>
                <a:pt x="238" y="25"/>
              </a:cubicBezTo>
              <a:cubicBezTo>
                <a:pt x="291" y="25"/>
                <a:pt x="291" y="25"/>
                <a:pt x="291" y="25"/>
              </a:cubicBezTo>
              <a:cubicBezTo>
                <a:pt x="302" y="25"/>
                <a:pt x="310" y="34"/>
                <a:pt x="310" y="44"/>
              </a:cubicBezTo>
              <a:cubicBezTo>
                <a:pt x="310" y="135"/>
                <a:pt x="310" y="135"/>
                <a:pt x="310" y="135"/>
              </a:cubicBezTo>
              <a:cubicBezTo>
                <a:pt x="305" y="132"/>
                <a:pt x="300" y="129"/>
                <a:pt x="295" y="126"/>
              </a:cubicBezTo>
              <a:close/>
              <a:moveTo>
                <a:pt x="43" y="107"/>
              </a:moveTo>
              <a:cubicBezTo>
                <a:pt x="42" y="107"/>
                <a:pt x="41" y="108"/>
                <a:pt x="41" y="109"/>
              </a:cubicBezTo>
              <a:cubicBezTo>
                <a:pt x="41" y="147"/>
                <a:pt x="41" y="147"/>
                <a:pt x="41" y="147"/>
              </a:cubicBezTo>
              <a:cubicBezTo>
                <a:pt x="41" y="149"/>
                <a:pt x="42" y="149"/>
                <a:pt x="43" y="149"/>
              </a:cubicBezTo>
              <a:cubicBezTo>
                <a:pt x="102" y="149"/>
                <a:pt x="102" y="149"/>
                <a:pt x="102" y="149"/>
              </a:cubicBezTo>
              <a:cubicBezTo>
                <a:pt x="103" y="149"/>
                <a:pt x="104" y="149"/>
                <a:pt x="104" y="147"/>
              </a:cubicBezTo>
              <a:cubicBezTo>
                <a:pt x="104" y="109"/>
                <a:pt x="104" y="109"/>
                <a:pt x="104" y="109"/>
              </a:cubicBezTo>
              <a:cubicBezTo>
                <a:pt x="104" y="108"/>
                <a:pt x="103" y="107"/>
                <a:pt x="102" y="107"/>
              </a:cubicBezTo>
              <a:cubicBezTo>
                <a:pt x="43" y="107"/>
                <a:pt x="43" y="107"/>
                <a:pt x="43" y="107"/>
              </a:cubicBezTo>
              <a:close/>
              <a:moveTo>
                <a:pt x="312" y="167"/>
              </a:moveTo>
              <a:cubicBezTo>
                <a:pt x="354" y="209"/>
                <a:pt x="354" y="277"/>
                <a:pt x="312" y="319"/>
              </a:cubicBezTo>
              <a:cubicBezTo>
                <a:pt x="270" y="361"/>
                <a:pt x="202" y="361"/>
                <a:pt x="161" y="319"/>
              </a:cubicBezTo>
              <a:cubicBezTo>
                <a:pt x="119" y="277"/>
                <a:pt x="119" y="209"/>
                <a:pt x="161" y="167"/>
              </a:cubicBezTo>
              <a:cubicBezTo>
                <a:pt x="202" y="125"/>
                <a:pt x="270" y="125"/>
                <a:pt x="312" y="167"/>
              </a:cubicBezTo>
              <a:close/>
              <a:moveTo>
                <a:pt x="174" y="180"/>
              </a:moveTo>
              <a:cubicBezTo>
                <a:pt x="208" y="146"/>
                <a:pt x="264" y="146"/>
                <a:pt x="299" y="180"/>
              </a:cubicBezTo>
              <a:cubicBezTo>
                <a:pt x="333" y="215"/>
                <a:pt x="333" y="271"/>
                <a:pt x="299" y="305"/>
              </a:cubicBezTo>
              <a:cubicBezTo>
                <a:pt x="264" y="340"/>
                <a:pt x="208" y="340"/>
                <a:pt x="174" y="305"/>
              </a:cubicBezTo>
              <a:cubicBezTo>
                <a:pt x="139" y="271"/>
                <a:pt x="139" y="215"/>
                <a:pt x="174" y="180"/>
              </a:cubicBezTo>
              <a:close/>
              <a:moveTo>
                <a:pt x="195" y="214"/>
              </a:moveTo>
              <a:cubicBezTo>
                <a:pt x="230" y="249"/>
                <a:pt x="230" y="249"/>
                <a:pt x="230" y="249"/>
              </a:cubicBezTo>
              <a:cubicBezTo>
                <a:pt x="233" y="252"/>
                <a:pt x="239" y="252"/>
                <a:pt x="242" y="249"/>
              </a:cubicBezTo>
              <a:cubicBezTo>
                <a:pt x="291" y="199"/>
                <a:pt x="291" y="199"/>
                <a:pt x="291" y="199"/>
              </a:cubicBezTo>
              <a:cubicBezTo>
                <a:pt x="294" y="196"/>
                <a:pt x="294" y="191"/>
                <a:pt x="291" y="188"/>
              </a:cubicBezTo>
              <a:cubicBezTo>
                <a:pt x="288" y="185"/>
                <a:pt x="283" y="185"/>
                <a:pt x="280" y="188"/>
              </a:cubicBezTo>
              <a:cubicBezTo>
                <a:pt x="236" y="232"/>
                <a:pt x="236" y="232"/>
                <a:pt x="236" y="232"/>
              </a:cubicBezTo>
              <a:cubicBezTo>
                <a:pt x="206" y="203"/>
                <a:pt x="206" y="203"/>
                <a:pt x="206" y="203"/>
              </a:cubicBezTo>
              <a:cubicBezTo>
                <a:pt x="203" y="200"/>
                <a:pt x="198" y="200"/>
                <a:pt x="195" y="203"/>
              </a:cubicBezTo>
              <a:cubicBezTo>
                <a:pt x="192" y="206"/>
                <a:pt x="192" y="211"/>
                <a:pt x="195" y="214"/>
              </a:cubicBezTo>
              <a:close/>
              <a:moveTo>
                <a:pt x="229" y="296"/>
              </a:moveTo>
              <a:cubicBezTo>
                <a:pt x="229" y="313"/>
                <a:pt x="229" y="313"/>
                <a:pt x="229" y="313"/>
              </a:cubicBezTo>
              <a:cubicBezTo>
                <a:pt x="229" y="317"/>
                <a:pt x="232" y="320"/>
                <a:pt x="236" y="320"/>
              </a:cubicBezTo>
              <a:cubicBezTo>
                <a:pt x="240" y="320"/>
                <a:pt x="244" y="317"/>
                <a:pt x="244" y="313"/>
              </a:cubicBezTo>
              <a:cubicBezTo>
                <a:pt x="244" y="296"/>
                <a:pt x="244" y="296"/>
                <a:pt x="244" y="296"/>
              </a:cubicBezTo>
              <a:cubicBezTo>
                <a:pt x="244" y="292"/>
                <a:pt x="240" y="288"/>
                <a:pt x="236" y="288"/>
              </a:cubicBezTo>
              <a:cubicBezTo>
                <a:pt x="232" y="288"/>
                <a:pt x="229" y="292"/>
                <a:pt x="229" y="296"/>
              </a:cubicBezTo>
              <a:close/>
              <a:moveTo>
                <a:pt x="289" y="250"/>
              </a:moveTo>
              <a:cubicBezTo>
                <a:pt x="307" y="250"/>
                <a:pt x="307" y="250"/>
                <a:pt x="307" y="250"/>
              </a:cubicBezTo>
              <a:cubicBezTo>
                <a:pt x="311" y="250"/>
                <a:pt x="314" y="247"/>
                <a:pt x="314" y="243"/>
              </a:cubicBezTo>
              <a:cubicBezTo>
                <a:pt x="314" y="239"/>
                <a:pt x="311" y="236"/>
                <a:pt x="307" y="236"/>
              </a:cubicBezTo>
              <a:cubicBezTo>
                <a:pt x="289" y="236"/>
                <a:pt x="289" y="236"/>
                <a:pt x="289" y="236"/>
              </a:cubicBezTo>
              <a:cubicBezTo>
                <a:pt x="285" y="236"/>
                <a:pt x="282" y="239"/>
                <a:pt x="282" y="243"/>
              </a:cubicBezTo>
              <a:cubicBezTo>
                <a:pt x="282" y="247"/>
                <a:pt x="285" y="250"/>
                <a:pt x="289" y="250"/>
              </a:cubicBezTo>
              <a:close/>
              <a:moveTo>
                <a:pt x="229" y="173"/>
              </a:moveTo>
              <a:cubicBezTo>
                <a:pt x="229" y="190"/>
                <a:pt x="229" y="190"/>
                <a:pt x="229" y="190"/>
              </a:cubicBezTo>
              <a:cubicBezTo>
                <a:pt x="229" y="194"/>
                <a:pt x="232" y="197"/>
                <a:pt x="236" y="197"/>
              </a:cubicBezTo>
              <a:cubicBezTo>
                <a:pt x="240" y="197"/>
                <a:pt x="244" y="194"/>
                <a:pt x="244" y="190"/>
              </a:cubicBezTo>
              <a:cubicBezTo>
                <a:pt x="244" y="173"/>
                <a:pt x="244" y="173"/>
                <a:pt x="244" y="173"/>
              </a:cubicBezTo>
              <a:cubicBezTo>
                <a:pt x="244" y="169"/>
                <a:pt x="240" y="165"/>
                <a:pt x="236" y="165"/>
              </a:cubicBezTo>
              <a:cubicBezTo>
                <a:pt x="232" y="165"/>
                <a:pt x="229" y="169"/>
                <a:pt x="229" y="173"/>
              </a:cubicBezTo>
              <a:close/>
              <a:moveTo>
                <a:pt x="159" y="243"/>
              </a:moveTo>
              <a:cubicBezTo>
                <a:pt x="159" y="247"/>
                <a:pt x="162" y="250"/>
                <a:pt x="166" y="250"/>
              </a:cubicBezTo>
              <a:cubicBezTo>
                <a:pt x="184" y="250"/>
                <a:pt x="184" y="250"/>
                <a:pt x="184" y="250"/>
              </a:cubicBezTo>
              <a:cubicBezTo>
                <a:pt x="188" y="250"/>
                <a:pt x="191" y="247"/>
                <a:pt x="191" y="243"/>
              </a:cubicBezTo>
              <a:cubicBezTo>
                <a:pt x="191" y="239"/>
                <a:pt x="188" y="236"/>
                <a:pt x="184" y="236"/>
              </a:cubicBezTo>
              <a:cubicBezTo>
                <a:pt x="166" y="236"/>
                <a:pt x="166" y="236"/>
                <a:pt x="166" y="236"/>
              </a:cubicBezTo>
              <a:cubicBezTo>
                <a:pt x="162" y="236"/>
                <a:pt x="159" y="239"/>
                <a:pt x="159" y="243"/>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236897</xdr:colOff>
      <xdr:row>19</xdr:row>
      <xdr:rowOff>1</xdr:rowOff>
    </xdr:from>
    <xdr:to>
      <xdr:col>4</xdr:col>
      <xdr:colOff>95917</xdr:colOff>
      <xdr:row>20</xdr:row>
      <xdr:rowOff>1</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2387430" y="5257801"/>
          <a:ext cx="163820" cy="194733"/>
          <a:chOff x="584200" y="2095500"/>
          <a:chExt cx="808038" cy="1063626"/>
        </a:xfrm>
        <a:solidFill>
          <a:schemeClr val="tx1"/>
        </a:solidFill>
      </xdr:grpSpPr>
      <xdr:sp macro="" textlink="">
        <xdr:nvSpPr>
          <xdr:cNvPr id="11" name="Freeform 10">
            <a:extLst>
              <a:ext uri="{FF2B5EF4-FFF2-40B4-BE49-F238E27FC236}">
                <a16:creationId xmlns:a16="http://schemas.microsoft.com/office/drawing/2014/main" id="{00000000-0008-0000-0100-00000B000000}"/>
              </a:ext>
            </a:extLst>
          </xdr:cNvPr>
          <xdr:cNvSpPr>
            <a:spLocks noEditPoints="1"/>
          </xdr:cNvSpPr>
        </xdr:nvSpPr>
        <xdr:spPr bwMode="auto">
          <a:xfrm>
            <a:off x="584200" y="2538413"/>
            <a:ext cx="808038" cy="620713"/>
          </a:xfrm>
          <a:custGeom>
            <a:avLst/>
            <a:gdLst>
              <a:gd name="T0" fmla="*/ 293 w 315"/>
              <a:gd name="T1" fmla="*/ 64 h 242"/>
              <a:gd name="T2" fmla="*/ 272 w 315"/>
              <a:gd name="T3" fmla="*/ 17 h 242"/>
              <a:gd name="T4" fmla="*/ 272 w 315"/>
              <a:gd name="T5" fmla="*/ 17 h 242"/>
              <a:gd name="T6" fmla="*/ 257 w 315"/>
              <a:gd name="T7" fmla="*/ 13 h 242"/>
              <a:gd name="T8" fmla="*/ 158 w 315"/>
              <a:gd name="T9" fmla="*/ 0 h 242"/>
              <a:gd name="T10" fmla="*/ 58 w 315"/>
              <a:gd name="T11" fmla="*/ 13 h 242"/>
              <a:gd name="T12" fmla="*/ 43 w 315"/>
              <a:gd name="T13" fmla="*/ 17 h 242"/>
              <a:gd name="T14" fmla="*/ 43 w 315"/>
              <a:gd name="T15" fmla="*/ 17 h 242"/>
              <a:gd name="T16" fmla="*/ 22 w 315"/>
              <a:gd name="T17" fmla="*/ 64 h 242"/>
              <a:gd name="T18" fmla="*/ 0 w 315"/>
              <a:gd name="T19" fmla="*/ 158 h 242"/>
              <a:gd name="T20" fmla="*/ 18 w 315"/>
              <a:gd name="T21" fmla="*/ 202 h 242"/>
              <a:gd name="T22" fmla="*/ 63 w 315"/>
              <a:gd name="T23" fmla="*/ 219 h 242"/>
              <a:gd name="T24" fmla="*/ 80 w 315"/>
              <a:gd name="T25" fmla="*/ 219 h 242"/>
              <a:gd name="T26" fmla="*/ 158 w 315"/>
              <a:gd name="T27" fmla="*/ 242 h 242"/>
              <a:gd name="T28" fmla="*/ 235 w 315"/>
              <a:gd name="T29" fmla="*/ 219 h 242"/>
              <a:gd name="T30" fmla="*/ 252 w 315"/>
              <a:gd name="T31" fmla="*/ 219 h 242"/>
              <a:gd name="T32" fmla="*/ 297 w 315"/>
              <a:gd name="T33" fmla="*/ 202 h 242"/>
              <a:gd name="T34" fmla="*/ 315 w 315"/>
              <a:gd name="T35" fmla="*/ 159 h 242"/>
              <a:gd name="T36" fmla="*/ 293 w 315"/>
              <a:gd name="T37" fmla="*/ 64 h 242"/>
              <a:gd name="T38" fmla="*/ 158 w 315"/>
              <a:gd name="T39" fmla="*/ 218 h 242"/>
              <a:gd name="T40" fmla="*/ 42 w 315"/>
              <a:gd name="T41" fmla="*/ 110 h 242"/>
              <a:gd name="T42" fmla="*/ 93 w 315"/>
              <a:gd name="T43" fmla="*/ 17 h 242"/>
              <a:gd name="T44" fmla="*/ 229 w 315"/>
              <a:gd name="T45" fmla="*/ 76 h 242"/>
              <a:gd name="T46" fmla="*/ 270 w 315"/>
              <a:gd name="T47" fmla="*/ 67 h 242"/>
              <a:gd name="T48" fmla="*/ 274 w 315"/>
              <a:gd name="T49" fmla="*/ 102 h 242"/>
              <a:gd name="T50" fmla="*/ 158 w 315"/>
              <a:gd name="T51" fmla="*/ 218 h 242"/>
              <a:gd name="T52" fmla="*/ 113 w 315"/>
              <a:gd name="T53" fmla="*/ 87 h 242"/>
              <a:gd name="T54" fmla="*/ 93 w 315"/>
              <a:gd name="T55" fmla="*/ 107 h 242"/>
              <a:gd name="T56" fmla="*/ 113 w 315"/>
              <a:gd name="T57" fmla="*/ 127 h 242"/>
              <a:gd name="T58" fmla="*/ 133 w 315"/>
              <a:gd name="T59" fmla="*/ 107 h 242"/>
              <a:gd name="T60" fmla="*/ 113 w 315"/>
              <a:gd name="T61" fmla="*/ 87 h 242"/>
              <a:gd name="T62" fmla="*/ 202 w 315"/>
              <a:gd name="T63" fmla="*/ 87 h 242"/>
              <a:gd name="T64" fmla="*/ 182 w 315"/>
              <a:gd name="T65" fmla="*/ 107 h 242"/>
              <a:gd name="T66" fmla="*/ 202 w 315"/>
              <a:gd name="T67" fmla="*/ 127 h 242"/>
              <a:gd name="T68" fmla="*/ 222 w 315"/>
              <a:gd name="T69" fmla="*/ 107 h 242"/>
              <a:gd name="T70" fmla="*/ 202 w 315"/>
              <a:gd name="T71" fmla="*/ 87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15" h="242">
                <a:moveTo>
                  <a:pt x="293" y="64"/>
                </a:moveTo>
                <a:cubicBezTo>
                  <a:pt x="288" y="47"/>
                  <a:pt x="281" y="31"/>
                  <a:pt x="272" y="17"/>
                </a:cubicBezTo>
                <a:cubicBezTo>
                  <a:pt x="272" y="17"/>
                  <a:pt x="272" y="17"/>
                  <a:pt x="272" y="17"/>
                </a:cubicBezTo>
                <a:cubicBezTo>
                  <a:pt x="257" y="13"/>
                  <a:pt x="257" y="13"/>
                  <a:pt x="257" y="13"/>
                </a:cubicBezTo>
                <a:cubicBezTo>
                  <a:pt x="256" y="13"/>
                  <a:pt x="216" y="0"/>
                  <a:pt x="158" y="0"/>
                </a:cubicBezTo>
                <a:cubicBezTo>
                  <a:pt x="99" y="0"/>
                  <a:pt x="59" y="13"/>
                  <a:pt x="58" y="13"/>
                </a:cubicBezTo>
                <a:cubicBezTo>
                  <a:pt x="43" y="17"/>
                  <a:pt x="43" y="17"/>
                  <a:pt x="43" y="17"/>
                </a:cubicBezTo>
                <a:cubicBezTo>
                  <a:pt x="43" y="17"/>
                  <a:pt x="43" y="17"/>
                  <a:pt x="43" y="17"/>
                </a:cubicBezTo>
                <a:cubicBezTo>
                  <a:pt x="34" y="31"/>
                  <a:pt x="27" y="47"/>
                  <a:pt x="22" y="64"/>
                </a:cubicBezTo>
                <a:cubicBezTo>
                  <a:pt x="18" y="80"/>
                  <a:pt x="0" y="140"/>
                  <a:pt x="0" y="158"/>
                </a:cubicBezTo>
                <a:cubicBezTo>
                  <a:pt x="0" y="175"/>
                  <a:pt x="6" y="191"/>
                  <a:pt x="18" y="202"/>
                </a:cubicBezTo>
                <a:cubicBezTo>
                  <a:pt x="29" y="213"/>
                  <a:pt x="45" y="219"/>
                  <a:pt x="63" y="219"/>
                </a:cubicBezTo>
                <a:cubicBezTo>
                  <a:pt x="80" y="219"/>
                  <a:pt x="80" y="219"/>
                  <a:pt x="80" y="219"/>
                </a:cubicBezTo>
                <a:cubicBezTo>
                  <a:pt x="103" y="233"/>
                  <a:pt x="129" y="242"/>
                  <a:pt x="158" y="242"/>
                </a:cubicBezTo>
                <a:cubicBezTo>
                  <a:pt x="186" y="242"/>
                  <a:pt x="212" y="233"/>
                  <a:pt x="235" y="219"/>
                </a:cubicBezTo>
                <a:cubicBezTo>
                  <a:pt x="252" y="219"/>
                  <a:pt x="252" y="219"/>
                  <a:pt x="252" y="219"/>
                </a:cubicBezTo>
                <a:cubicBezTo>
                  <a:pt x="270" y="219"/>
                  <a:pt x="286" y="213"/>
                  <a:pt x="297" y="202"/>
                </a:cubicBezTo>
                <a:cubicBezTo>
                  <a:pt x="309" y="191"/>
                  <a:pt x="315" y="175"/>
                  <a:pt x="315" y="159"/>
                </a:cubicBezTo>
                <a:cubicBezTo>
                  <a:pt x="315" y="140"/>
                  <a:pt x="297" y="81"/>
                  <a:pt x="293" y="64"/>
                </a:cubicBezTo>
                <a:close/>
                <a:moveTo>
                  <a:pt x="158" y="218"/>
                </a:moveTo>
                <a:cubicBezTo>
                  <a:pt x="96" y="218"/>
                  <a:pt x="46" y="170"/>
                  <a:pt x="42" y="110"/>
                </a:cubicBezTo>
                <a:cubicBezTo>
                  <a:pt x="68" y="84"/>
                  <a:pt x="87" y="55"/>
                  <a:pt x="93" y="17"/>
                </a:cubicBezTo>
                <a:cubicBezTo>
                  <a:pt x="126" y="57"/>
                  <a:pt x="173" y="76"/>
                  <a:pt x="229" y="76"/>
                </a:cubicBezTo>
                <a:cubicBezTo>
                  <a:pt x="246" y="76"/>
                  <a:pt x="260" y="72"/>
                  <a:pt x="270" y="67"/>
                </a:cubicBezTo>
                <a:cubicBezTo>
                  <a:pt x="272" y="76"/>
                  <a:pt x="274" y="92"/>
                  <a:pt x="274" y="102"/>
                </a:cubicBezTo>
                <a:cubicBezTo>
                  <a:pt x="274" y="166"/>
                  <a:pt x="222" y="218"/>
                  <a:pt x="158" y="218"/>
                </a:cubicBezTo>
                <a:close/>
                <a:moveTo>
                  <a:pt x="113" y="87"/>
                </a:moveTo>
                <a:cubicBezTo>
                  <a:pt x="102" y="87"/>
                  <a:pt x="93" y="96"/>
                  <a:pt x="93" y="107"/>
                </a:cubicBezTo>
                <a:cubicBezTo>
                  <a:pt x="93" y="118"/>
                  <a:pt x="102" y="127"/>
                  <a:pt x="113" y="127"/>
                </a:cubicBezTo>
                <a:cubicBezTo>
                  <a:pt x="124" y="127"/>
                  <a:pt x="133" y="118"/>
                  <a:pt x="133" y="107"/>
                </a:cubicBezTo>
                <a:cubicBezTo>
                  <a:pt x="133" y="96"/>
                  <a:pt x="124" y="87"/>
                  <a:pt x="113" y="87"/>
                </a:cubicBezTo>
                <a:close/>
                <a:moveTo>
                  <a:pt x="202" y="87"/>
                </a:moveTo>
                <a:cubicBezTo>
                  <a:pt x="191" y="87"/>
                  <a:pt x="182" y="96"/>
                  <a:pt x="182" y="107"/>
                </a:cubicBezTo>
                <a:cubicBezTo>
                  <a:pt x="182" y="118"/>
                  <a:pt x="191" y="127"/>
                  <a:pt x="202" y="127"/>
                </a:cubicBezTo>
                <a:cubicBezTo>
                  <a:pt x="213" y="127"/>
                  <a:pt x="222" y="118"/>
                  <a:pt x="222" y="107"/>
                </a:cubicBezTo>
                <a:cubicBezTo>
                  <a:pt x="222" y="96"/>
                  <a:pt x="213" y="87"/>
                  <a:pt x="202" y="8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11">
            <a:extLst>
              <a:ext uri="{FF2B5EF4-FFF2-40B4-BE49-F238E27FC236}">
                <a16:creationId xmlns:a16="http://schemas.microsoft.com/office/drawing/2014/main" id="{00000000-0008-0000-0100-00000C000000}"/>
              </a:ext>
            </a:extLst>
          </xdr:cNvPr>
          <xdr:cNvSpPr>
            <a:spLocks noEditPoints="1"/>
          </xdr:cNvSpPr>
        </xdr:nvSpPr>
        <xdr:spPr bwMode="auto">
          <a:xfrm>
            <a:off x="593725" y="2095500"/>
            <a:ext cx="787400" cy="430213"/>
          </a:xfrm>
          <a:custGeom>
            <a:avLst/>
            <a:gdLst>
              <a:gd name="T0" fmla="*/ 153 w 307"/>
              <a:gd name="T1" fmla="*/ 0 h 167"/>
              <a:gd name="T2" fmla="*/ 0 w 307"/>
              <a:gd name="T3" fmla="*/ 74 h 167"/>
              <a:gd name="T4" fmla="*/ 49 w 307"/>
              <a:gd name="T5" fmla="*/ 167 h 167"/>
              <a:gd name="T6" fmla="*/ 154 w 307"/>
              <a:gd name="T7" fmla="*/ 152 h 167"/>
              <a:gd name="T8" fmla="*/ 258 w 307"/>
              <a:gd name="T9" fmla="*/ 167 h 167"/>
              <a:gd name="T10" fmla="*/ 307 w 307"/>
              <a:gd name="T11" fmla="*/ 74 h 167"/>
              <a:gd name="T12" fmla="*/ 153 w 307"/>
              <a:gd name="T13" fmla="*/ 0 h 167"/>
              <a:gd name="T14" fmla="*/ 249 w 307"/>
              <a:gd name="T15" fmla="*/ 145 h 167"/>
              <a:gd name="T16" fmla="*/ 153 w 307"/>
              <a:gd name="T17" fmla="*/ 134 h 167"/>
              <a:gd name="T18" fmla="*/ 58 w 307"/>
              <a:gd name="T19" fmla="*/ 145 h 167"/>
              <a:gd name="T20" fmla="*/ 22 w 307"/>
              <a:gd name="T21" fmla="*/ 77 h 167"/>
              <a:gd name="T22" fmla="*/ 153 w 307"/>
              <a:gd name="T23" fmla="*/ 18 h 167"/>
              <a:gd name="T24" fmla="*/ 285 w 307"/>
              <a:gd name="T25" fmla="*/ 77 h 167"/>
              <a:gd name="T26" fmla="*/ 249 w 307"/>
              <a:gd name="T27" fmla="*/ 145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7" h="167">
                <a:moveTo>
                  <a:pt x="153" y="0"/>
                </a:moveTo>
                <a:cubicBezTo>
                  <a:pt x="91" y="0"/>
                  <a:pt x="36" y="29"/>
                  <a:pt x="0" y="74"/>
                </a:cubicBezTo>
                <a:cubicBezTo>
                  <a:pt x="3" y="80"/>
                  <a:pt x="49" y="167"/>
                  <a:pt x="49" y="167"/>
                </a:cubicBezTo>
                <a:cubicBezTo>
                  <a:pt x="49" y="167"/>
                  <a:pt x="91" y="152"/>
                  <a:pt x="154" y="152"/>
                </a:cubicBezTo>
                <a:cubicBezTo>
                  <a:pt x="216" y="152"/>
                  <a:pt x="258" y="167"/>
                  <a:pt x="258" y="167"/>
                </a:cubicBezTo>
                <a:cubicBezTo>
                  <a:pt x="307" y="74"/>
                  <a:pt x="307" y="74"/>
                  <a:pt x="307" y="74"/>
                </a:cubicBezTo>
                <a:cubicBezTo>
                  <a:pt x="271" y="29"/>
                  <a:pt x="216" y="0"/>
                  <a:pt x="153" y="0"/>
                </a:cubicBezTo>
                <a:close/>
                <a:moveTo>
                  <a:pt x="249" y="145"/>
                </a:moveTo>
                <a:cubicBezTo>
                  <a:pt x="230" y="140"/>
                  <a:pt x="196" y="134"/>
                  <a:pt x="153" y="134"/>
                </a:cubicBezTo>
                <a:cubicBezTo>
                  <a:pt x="111" y="134"/>
                  <a:pt x="77" y="140"/>
                  <a:pt x="58" y="145"/>
                </a:cubicBezTo>
                <a:cubicBezTo>
                  <a:pt x="49" y="126"/>
                  <a:pt x="31" y="94"/>
                  <a:pt x="22" y="77"/>
                </a:cubicBezTo>
                <a:cubicBezTo>
                  <a:pt x="56" y="40"/>
                  <a:pt x="103" y="18"/>
                  <a:pt x="153" y="18"/>
                </a:cubicBezTo>
                <a:cubicBezTo>
                  <a:pt x="204" y="18"/>
                  <a:pt x="251" y="39"/>
                  <a:pt x="285" y="77"/>
                </a:cubicBezTo>
                <a:lnTo>
                  <a:pt x="249" y="14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Freeform 12">
            <a:extLst>
              <a:ext uri="{FF2B5EF4-FFF2-40B4-BE49-F238E27FC236}">
                <a16:creationId xmlns:a16="http://schemas.microsoft.com/office/drawing/2014/main" id="{00000000-0008-0000-0100-00000D000000}"/>
              </a:ext>
            </a:extLst>
          </xdr:cNvPr>
          <xdr:cNvSpPr>
            <a:spLocks/>
          </xdr:cNvSpPr>
        </xdr:nvSpPr>
        <xdr:spPr bwMode="auto">
          <a:xfrm>
            <a:off x="881063" y="2182813"/>
            <a:ext cx="212725" cy="214313"/>
          </a:xfrm>
          <a:custGeom>
            <a:avLst/>
            <a:gdLst>
              <a:gd name="T0" fmla="*/ 134 w 134"/>
              <a:gd name="T1" fmla="*/ 88 h 135"/>
              <a:gd name="T2" fmla="*/ 87 w 134"/>
              <a:gd name="T3" fmla="*/ 88 h 135"/>
              <a:gd name="T4" fmla="*/ 87 w 134"/>
              <a:gd name="T5" fmla="*/ 135 h 135"/>
              <a:gd name="T6" fmla="*/ 47 w 134"/>
              <a:gd name="T7" fmla="*/ 135 h 135"/>
              <a:gd name="T8" fmla="*/ 47 w 134"/>
              <a:gd name="T9" fmla="*/ 88 h 135"/>
              <a:gd name="T10" fmla="*/ 0 w 134"/>
              <a:gd name="T11" fmla="*/ 88 h 135"/>
              <a:gd name="T12" fmla="*/ 0 w 134"/>
              <a:gd name="T13" fmla="*/ 47 h 135"/>
              <a:gd name="T14" fmla="*/ 47 w 134"/>
              <a:gd name="T15" fmla="*/ 47 h 135"/>
              <a:gd name="T16" fmla="*/ 47 w 134"/>
              <a:gd name="T17" fmla="*/ 0 h 135"/>
              <a:gd name="T18" fmla="*/ 87 w 134"/>
              <a:gd name="T19" fmla="*/ 0 h 135"/>
              <a:gd name="T20" fmla="*/ 87 w 134"/>
              <a:gd name="T21" fmla="*/ 47 h 135"/>
              <a:gd name="T22" fmla="*/ 134 w 134"/>
              <a:gd name="T23" fmla="*/ 47 h 135"/>
              <a:gd name="T24" fmla="*/ 134 w 134"/>
              <a:gd name="T25" fmla="*/ 88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34" h="135">
                <a:moveTo>
                  <a:pt x="134" y="88"/>
                </a:moveTo>
                <a:lnTo>
                  <a:pt x="87" y="88"/>
                </a:lnTo>
                <a:lnTo>
                  <a:pt x="87" y="135"/>
                </a:lnTo>
                <a:lnTo>
                  <a:pt x="47" y="135"/>
                </a:lnTo>
                <a:lnTo>
                  <a:pt x="47" y="88"/>
                </a:lnTo>
                <a:lnTo>
                  <a:pt x="0" y="88"/>
                </a:lnTo>
                <a:lnTo>
                  <a:pt x="0" y="47"/>
                </a:lnTo>
                <a:lnTo>
                  <a:pt x="47" y="47"/>
                </a:lnTo>
                <a:lnTo>
                  <a:pt x="47" y="0"/>
                </a:lnTo>
                <a:lnTo>
                  <a:pt x="87" y="0"/>
                </a:lnTo>
                <a:lnTo>
                  <a:pt x="87" y="47"/>
                </a:lnTo>
                <a:lnTo>
                  <a:pt x="134" y="47"/>
                </a:lnTo>
                <a:lnTo>
                  <a:pt x="134" y="8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3</xdr:col>
      <xdr:colOff>197223</xdr:colOff>
      <xdr:row>21</xdr:row>
      <xdr:rowOff>17930</xdr:rowOff>
    </xdr:from>
    <xdr:to>
      <xdr:col>4</xdr:col>
      <xdr:colOff>135591</xdr:colOff>
      <xdr:row>22</xdr:row>
      <xdr:rowOff>0</xdr:rowOff>
    </xdr:to>
    <xdr:sp macro="" textlink="">
      <xdr:nvSpPr>
        <xdr:cNvPr id="14" name="Freeform 13">
          <a:extLst>
            <a:ext uri="{FF2B5EF4-FFF2-40B4-BE49-F238E27FC236}">
              <a16:creationId xmlns:a16="http://schemas.microsoft.com/office/drawing/2014/main" id="{00000000-0008-0000-0100-00000E000000}"/>
            </a:ext>
          </a:extLst>
        </xdr:cNvPr>
        <xdr:cNvSpPr>
          <a:spLocks noEditPoints="1"/>
        </xdr:cNvSpPr>
      </xdr:nvSpPr>
      <xdr:spPr bwMode="auto">
        <a:xfrm>
          <a:off x="2375647" y="5047130"/>
          <a:ext cx="252132" cy="179294"/>
        </a:xfrm>
        <a:custGeom>
          <a:avLst/>
          <a:gdLst>
            <a:gd name="T0" fmla="*/ 187 w 443"/>
            <a:gd name="T1" fmla="*/ 315 h 315"/>
            <a:gd name="T2" fmla="*/ 137 w 443"/>
            <a:gd name="T3" fmla="*/ 305 h 315"/>
            <a:gd name="T4" fmla="*/ 431 w 443"/>
            <a:gd name="T5" fmla="*/ 244 h 315"/>
            <a:gd name="T6" fmla="*/ 443 w 443"/>
            <a:gd name="T7" fmla="*/ 130 h 315"/>
            <a:gd name="T8" fmla="*/ 330 w 443"/>
            <a:gd name="T9" fmla="*/ 118 h 315"/>
            <a:gd name="T10" fmla="*/ 318 w 443"/>
            <a:gd name="T11" fmla="*/ 231 h 315"/>
            <a:gd name="T12" fmla="*/ 371 w 443"/>
            <a:gd name="T13" fmla="*/ 244 h 315"/>
            <a:gd name="T14" fmla="*/ 295 w 443"/>
            <a:gd name="T15" fmla="*/ 299 h 315"/>
            <a:gd name="T16" fmla="*/ 314 w 443"/>
            <a:gd name="T17" fmla="*/ 65 h 315"/>
            <a:gd name="T18" fmla="*/ 276 w 443"/>
            <a:gd name="T19" fmla="*/ 7 h 315"/>
            <a:gd name="T20" fmla="*/ 61 w 443"/>
            <a:gd name="T21" fmla="*/ 0 h 315"/>
            <a:gd name="T22" fmla="*/ 3 w 443"/>
            <a:gd name="T23" fmla="*/ 57 h 315"/>
            <a:gd name="T24" fmla="*/ 26 w 443"/>
            <a:gd name="T25" fmla="*/ 65 h 315"/>
            <a:gd name="T26" fmla="*/ 12 w 443"/>
            <a:gd name="T27" fmla="*/ 299 h 315"/>
            <a:gd name="T28" fmla="*/ 9 w 443"/>
            <a:gd name="T29" fmla="*/ 315 h 315"/>
            <a:gd name="T30" fmla="*/ 133 w 443"/>
            <a:gd name="T31" fmla="*/ 203 h 315"/>
            <a:gd name="T32" fmla="*/ 182 w 443"/>
            <a:gd name="T33" fmla="*/ 193 h 315"/>
            <a:gd name="T34" fmla="*/ 192 w 443"/>
            <a:gd name="T35" fmla="*/ 315 h 315"/>
            <a:gd name="T36" fmla="*/ 443 w 443"/>
            <a:gd name="T37" fmla="*/ 302 h 315"/>
            <a:gd name="T38" fmla="*/ 390 w 443"/>
            <a:gd name="T39" fmla="*/ 299 h 315"/>
            <a:gd name="T40" fmla="*/ 431 w 443"/>
            <a:gd name="T41" fmla="*/ 244 h 315"/>
            <a:gd name="T42" fmla="*/ 98 w 443"/>
            <a:gd name="T43" fmla="*/ 257 h 315"/>
            <a:gd name="T44" fmla="*/ 56 w 443"/>
            <a:gd name="T45" fmla="*/ 249 h 315"/>
            <a:gd name="T46" fmla="*/ 64 w 443"/>
            <a:gd name="T47" fmla="*/ 194 h 315"/>
            <a:gd name="T48" fmla="*/ 107 w 443"/>
            <a:gd name="T49" fmla="*/ 202 h 315"/>
            <a:gd name="T50" fmla="*/ 107 w 443"/>
            <a:gd name="T51" fmla="*/ 152 h 315"/>
            <a:gd name="T52" fmla="*/ 64 w 443"/>
            <a:gd name="T53" fmla="*/ 161 h 315"/>
            <a:gd name="T54" fmla="*/ 56 w 443"/>
            <a:gd name="T55" fmla="*/ 106 h 315"/>
            <a:gd name="T56" fmla="*/ 98 w 443"/>
            <a:gd name="T57" fmla="*/ 97 h 315"/>
            <a:gd name="T58" fmla="*/ 107 w 443"/>
            <a:gd name="T59" fmla="*/ 152 h 315"/>
            <a:gd name="T60" fmla="*/ 180 w 443"/>
            <a:gd name="T61" fmla="*/ 161 h 315"/>
            <a:gd name="T62" fmla="*/ 137 w 443"/>
            <a:gd name="T63" fmla="*/ 152 h 315"/>
            <a:gd name="T64" fmla="*/ 145 w 443"/>
            <a:gd name="T65" fmla="*/ 97 h 315"/>
            <a:gd name="T66" fmla="*/ 188 w 443"/>
            <a:gd name="T67" fmla="*/ 106 h 315"/>
            <a:gd name="T68" fmla="*/ 269 w 443"/>
            <a:gd name="T69" fmla="*/ 249 h 315"/>
            <a:gd name="T70" fmla="*/ 227 w 443"/>
            <a:gd name="T71" fmla="*/ 257 h 315"/>
            <a:gd name="T72" fmla="*/ 218 w 443"/>
            <a:gd name="T73" fmla="*/ 202 h 315"/>
            <a:gd name="T74" fmla="*/ 261 w 443"/>
            <a:gd name="T75" fmla="*/ 194 h 315"/>
            <a:gd name="T76" fmla="*/ 269 w 443"/>
            <a:gd name="T77" fmla="*/ 249 h 315"/>
            <a:gd name="T78" fmla="*/ 261 w 443"/>
            <a:gd name="T79" fmla="*/ 161 h 315"/>
            <a:gd name="T80" fmla="*/ 218 w 443"/>
            <a:gd name="T81" fmla="*/ 152 h 315"/>
            <a:gd name="T82" fmla="*/ 227 w 443"/>
            <a:gd name="T83" fmla="*/ 97 h 315"/>
            <a:gd name="T84" fmla="*/ 269 w 443"/>
            <a:gd name="T85" fmla="*/ 106 h 315"/>
            <a:gd name="T86" fmla="*/ 369 w 443"/>
            <a:gd name="T87" fmla="*/ 224 h 315"/>
            <a:gd name="T88" fmla="*/ 365 w 443"/>
            <a:gd name="T89" fmla="*/ 199 h 315"/>
            <a:gd name="T90" fmla="*/ 341 w 443"/>
            <a:gd name="T91" fmla="*/ 196 h 315"/>
            <a:gd name="T92" fmla="*/ 337 w 443"/>
            <a:gd name="T93" fmla="*/ 169 h 315"/>
            <a:gd name="T94" fmla="*/ 362 w 443"/>
            <a:gd name="T95" fmla="*/ 166 h 315"/>
            <a:gd name="T96" fmla="*/ 365 w 443"/>
            <a:gd name="T97" fmla="*/ 141 h 315"/>
            <a:gd name="T98" fmla="*/ 392 w 443"/>
            <a:gd name="T99" fmla="*/ 137 h 315"/>
            <a:gd name="T100" fmla="*/ 396 w 443"/>
            <a:gd name="T101" fmla="*/ 162 h 315"/>
            <a:gd name="T102" fmla="*/ 420 w 443"/>
            <a:gd name="T103" fmla="*/ 166 h 315"/>
            <a:gd name="T104" fmla="*/ 424 w 443"/>
            <a:gd name="T105" fmla="*/ 192 h 315"/>
            <a:gd name="T106" fmla="*/ 399 w 443"/>
            <a:gd name="T107" fmla="*/ 196 h 315"/>
            <a:gd name="T108" fmla="*/ 396 w 443"/>
            <a:gd name="T109" fmla="*/ 220 h 315"/>
            <a:gd name="T110" fmla="*/ 369 w 443"/>
            <a:gd name="T111" fmla="*/ 224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43" h="315">
              <a:moveTo>
                <a:pt x="137" y="315"/>
              </a:moveTo>
              <a:cubicBezTo>
                <a:pt x="187" y="315"/>
                <a:pt x="187" y="315"/>
                <a:pt x="187" y="315"/>
              </a:cubicBezTo>
              <a:cubicBezTo>
                <a:pt x="187" y="305"/>
                <a:pt x="187" y="305"/>
                <a:pt x="187" y="305"/>
              </a:cubicBezTo>
              <a:cubicBezTo>
                <a:pt x="137" y="305"/>
                <a:pt x="137" y="305"/>
                <a:pt x="137" y="305"/>
              </a:cubicBezTo>
              <a:lnTo>
                <a:pt x="137" y="315"/>
              </a:lnTo>
              <a:close/>
              <a:moveTo>
                <a:pt x="431" y="244"/>
              </a:moveTo>
              <a:cubicBezTo>
                <a:pt x="438" y="244"/>
                <a:pt x="443" y="238"/>
                <a:pt x="443" y="231"/>
              </a:cubicBezTo>
              <a:cubicBezTo>
                <a:pt x="443" y="130"/>
                <a:pt x="443" y="130"/>
                <a:pt x="443" y="130"/>
              </a:cubicBezTo>
              <a:cubicBezTo>
                <a:pt x="443" y="123"/>
                <a:pt x="438" y="118"/>
                <a:pt x="431" y="118"/>
              </a:cubicBezTo>
              <a:cubicBezTo>
                <a:pt x="330" y="118"/>
                <a:pt x="330" y="118"/>
                <a:pt x="330" y="118"/>
              </a:cubicBezTo>
              <a:cubicBezTo>
                <a:pt x="323" y="118"/>
                <a:pt x="318" y="123"/>
                <a:pt x="318" y="130"/>
              </a:cubicBezTo>
              <a:cubicBezTo>
                <a:pt x="318" y="231"/>
                <a:pt x="318" y="231"/>
                <a:pt x="318" y="231"/>
              </a:cubicBezTo>
              <a:cubicBezTo>
                <a:pt x="318" y="238"/>
                <a:pt x="323" y="244"/>
                <a:pt x="330" y="244"/>
              </a:cubicBezTo>
              <a:cubicBezTo>
                <a:pt x="371" y="244"/>
                <a:pt x="371" y="244"/>
                <a:pt x="371" y="244"/>
              </a:cubicBezTo>
              <a:cubicBezTo>
                <a:pt x="371" y="299"/>
                <a:pt x="371" y="299"/>
                <a:pt x="371" y="299"/>
              </a:cubicBezTo>
              <a:cubicBezTo>
                <a:pt x="295" y="299"/>
                <a:pt x="295" y="299"/>
                <a:pt x="295" y="299"/>
              </a:cubicBezTo>
              <a:cubicBezTo>
                <a:pt x="295" y="65"/>
                <a:pt x="295" y="65"/>
                <a:pt x="295" y="65"/>
              </a:cubicBezTo>
              <a:cubicBezTo>
                <a:pt x="314" y="65"/>
                <a:pt x="314" y="65"/>
                <a:pt x="314" y="65"/>
              </a:cubicBezTo>
              <a:cubicBezTo>
                <a:pt x="320" y="65"/>
                <a:pt x="321" y="61"/>
                <a:pt x="318" y="57"/>
              </a:cubicBezTo>
              <a:cubicBezTo>
                <a:pt x="276" y="7"/>
                <a:pt x="276" y="7"/>
                <a:pt x="276" y="7"/>
              </a:cubicBezTo>
              <a:cubicBezTo>
                <a:pt x="272" y="3"/>
                <a:pt x="265" y="0"/>
                <a:pt x="259" y="0"/>
              </a:cubicBezTo>
              <a:cubicBezTo>
                <a:pt x="61" y="0"/>
                <a:pt x="61" y="0"/>
                <a:pt x="61" y="0"/>
              </a:cubicBezTo>
              <a:cubicBezTo>
                <a:pt x="56" y="0"/>
                <a:pt x="49" y="3"/>
                <a:pt x="45" y="7"/>
              </a:cubicBezTo>
              <a:cubicBezTo>
                <a:pt x="3" y="57"/>
                <a:pt x="3" y="57"/>
                <a:pt x="3" y="57"/>
              </a:cubicBezTo>
              <a:cubicBezTo>
                <a:pt x="0" y="61"/>
                <a:pt x="1" y="65"/>
                <a:pt x="7" y="65"/>
              </a:cubicBezTo>
              <a:cubicBezTo>
                <a:pt x="26" y="65"/>
                <a:pt x="26" y="65"/>
                <a:pt x="26" y="65"/>
              </a:cubicBezTo>
              <a:cubicBezTo>
                <a:pt x="26" y="299"/>
                <a:pt x="26" y="299"/>
                <a:pt x="26" y="299"/>
              </a:cubicBezTo>
              <a:cubicBezTo>
                <a:pt x="12" y="299"/>
                <a:pt x="12" y="299"/>
                <a:pt x="12" y="299"/>
              </a:cubicBezTo>
              <a:cubicBezTo>
                <a:pt x="10" y="299"/>
                <a:pt x="9" y="301"/>
                <a:pt x="9" y="302"/>
              </a:cubicBezTo>
              <a:cubicBezTo>
                <a:pt x="9" y="315"/>
                <a:pt x="9" y="315"/>
                <a:pt x="9" y="315"/>
              </a:cubicBezTo>
              <a:cubicBezTo>
                <a:pt x="133" y="315"/>
                <a:pt x="133" y="315"/>
                <a:pt x="133" y="315"/>
              </a:cubicBezTo>
              <a:cubicBezTo>
                <a:pt x="133" y="203"/>
                <a:pt x="133" y="203"/>
                <a:pt x="133" y="203"/>
              </a:cubicBezTo>
              <a:cubicBezTo>
                <a:pt x="133" y="198"/>
                <a:pt x="137" y="193"/>
                <a:pt x="143" y="193"/>
              </a:cubicBezTo>
              <a:cubicBezTo>
                <a:pt x="182" y="193"/>
                <a:pt x="182" y="193"/>
                <a:pt x="182" y="193"/>
              </a:cubicBezTo>
              <a:cubicBezTo>
                <a:pt x="187" y="193"/>
                <a:pt x="192" y="198"/>
                <a:pt x="192" y="203"/>
              </a:cubicBezTo>
              <a:cubicBezTo>
                <a:pt x="192" y="315"/>
                <a:pt x="192" y="315"/>
                <a:pt x="192" y="315"/>
              </a:cubicBezTo>
              <a:cubicBezTo>
                <a:pt x="443" y="315"/>
                <a:pt x="443" y="315"/>
                <a:pt x="443" y="315"/>
              </a:cubicBezTo>
              <a:cubicBezTo>
                <a:pt x="443" y="302"/>
                <a:pt x="443" y="302"/>
                <a:pt x="443" y="302"/>
              </a:cubicBezTo>
              <a:cubicBezTo>
                <a:pt x="443" y="301"/>
                <a:pt x="442" y="299"/>
                <a:pt x="440" y="299"/>
              </a:cubicBezTo>
              <a:cubicBezTo>
                <a:pt x="390" y="299"/>
                <a:pt x="390" y="299"/>
                <a:pt x="390" y="299"/>
              </a:cubicBezTo>
              <a:cubicBezTo>
                <a:pt x="390" y="244"/>
                <a:pt x="390" y="244"/>
                <a:pt x="390" y="244"/>
              </a:cubicBezTo>
              <a:lnTo>
                <a:pt x="431" y="244"/>
              </a:lnTo>
              <a:close/>
              <a:moveTo>
                <a:pt x="107" y="249"/>
              </a:moveTo>
              <a:cubicBezTo>
                <a:pt x="107" y="253"/>
                <a:pt x="103" y="257"/>
                <a:pt x="98" y="257"/>
              </a:cubicBezTo>
              <a:cubicBezTo>
                <a:pt x="64" y="257"/>
                <a:pt x="64" y="257"/>
                <a:pt x="64" y="257"/>
              </a:cubicBezTo>
              <a:cubicBezTo>
                <a:pt x="59" y="257"/>
                <a:pt x="56" y="253"/>
                <a:pt x="56" y="249"/>
              </a:cubicBezTo>
              <a:cubicBezTo>
                <a:pt x="56" y="202"/>
                <a:pt x="56" y="202"/>
                <a:pt x="56" y="202"/>
              </a:cubicBezTo>
              <a:cubicBezTo>
                <a:pt x="56" y="198"/>
                <a:pt x="59" y="194"/>
                <a:pt x="64" y="194"/>
              </a:cubicBezTo>
              <a:cubicBezTo>
                <a:pt x="98" y="194"/>
                <a:pt x="98" y="194"/>
                <a:pt x="98" y="194"/>
              </a:cubicBezTo>
              <a:cubicBezTo>
                <a:pt x="103" y="194"/>
                <a:pt x="107" y="198"/>
                <a:pt x="107" y="202"/>
              </a:cubicBezTo>
              <a:lnTo>
                <a:pt x="107" y="249"/>
              </a:lnTo>
              <a:close/>
              <a:moveTo>
                <a:pt x="107" y="152"/>
              </a:moveTo>
              <a:cubicBezTo>
                <a:pt x="107" y="157"/>
                <a:pt x="103" y="161"/>
                <a:pt x="98" y="161"/>
              </a:cubicBezTo>
              <a:cubicBezTo>
                <a:pt x="64" y="161"/>
                <a:pt x="64" y="161"/>
                <a:pt x="64" y="161"/>
              </a:cubicBezTo>
              <a:cubicBezTo>
                <a:pt x="59" y="161"/>
                <a:pt x="56" y="157"/>
                <a:pt x="56" y="152"/>
              </a:cubicBezTo>
              <a:cubicBezTo>
                <a:pt x="56" y="106"/>
                <a:pt x="56" y="106"/>
                <a:pt x="56" y="106"/>
              </a:cubicBezTo>
              <a:cubicBezTo>
                <a:pt x="56" y="101"/>
                <a:pt x="59" y="97"/>
                <a:pt x="64" y="97"/>
              </a:cubicBezTo>
              <a:cubicBezTo>
                <a:pt x="98" y="97"/>
                <a:pt x="98" y="97"/>
                <a:pt x="98" y="97"/>
              </a:cubicBezTo>
              <a:cubicBezTo>
                <a:pt x="103" y="97"/>
                <a:pt x="107" y="101"/>
                <a:pt x="107" y="106"/>
              </a:cubicBezTo>
              <a:lnTo>
                <a:pt x="107" y="152"/>
              </a:lnTo>
              <a:close/>
              <a:moveTo>
                <a:pt x="188" y="152"/>
              </a:moveTo>
              <a:cubicBezTo>
                <a:pt x="188" y="157"/>
                <a:pt x="184" y="161"/>
                <a:pt x="180" y="161"/>
              </a:cubicBezTo>
              <a:cubicBezTo>
                <a:pt x="145" y="161"/>
                <a:pt x="145" y="161"/>
                <a:pt x="145" y="161"/>
              </a:cubicBezTo>
              <a:cubicBezTo>
                <a:pt x="141" y="161"/>
                <a:pt x="137" y="157"/>
                <a:pt x="137" y="152"/>
              </a:cubicBezTo>
              <a:cubicBezTo>
                <a:pt x="137" y="106"/>
                <a:pt x="137" y="106"/>
                <a:pt x="137" y="106"/>
              </a:cubicBezTo>
              <a:cubicBezTo>
                <a:pt x="137" y="101"/>
                <a:pt x="141" y="97"/>
                <a:pt x="145" y="97"/>
              </a:cubicBezTo>
              <a:cubicBezTo>
                <a:pt x="180" y="97"/>
                <a:pt x="180" y="97"/>
                <a:pt x="180" y="97"/>
              </a:cubicBezTo>
              <a:cubicBezTo>
                <a:pt x="184" y="97"/>
                <a:pt x="188" y="101"/>
                <a:pt x="188" y="106"/>
              </a:cubicBezTo>
              <a:lnTo>
                <a:pt x="188" y="152"/>
              </a:lnTo>
              <a:close/>
              <a:moveTo>
                <a:pt x="269" y="249"/>
              </a:moveTo>
              <a:cubicBezTo>
                <a:pt x="269" y="253"/>
                <a:pt x="265" y="257"/>
                <a:pt x="261" y="257"/>
              </a:cubicBezTo>
              <a:cubicBezTo>
                <a:pt x="227" y="257"/>
                <a:pt x="227" y="257"/>
                <a:pt x="227" y="257"/>
              </a:cubicBezTo>
              <a:cubicBezTo>
                <a:pt x="222" y="257"/>
                <a:pt x="218" y="253"/>
                <a:pt x="218" y="249"/>
              </a:cubicBezTo>
              <a:cubicBezTo>
                <a:pt x="218" y="202"/>
                <a:pt x="218" y="202"/>
                <a:pt x="218" y="202"/>
              </a:cubicBezTo>
              <a:cubicBezTo>
                <a:pt x="218" y="198"/>
                <a:pt x="222" y="194"/>
                <a:pt x="227" y="194"/>
              </a:cubicBezTo>
              <a:cubicBezTo>
                <a:pt x="261" y="194"/>
                <a:pt x="261" y="194"/>
                <a:pt x="261" y="194"/>
              </a:cubicBezTo>
              <a:cubicBezTo>
                <a:pt x="265" y="194"/>
                <a:pt x="269" y="198"/>
                <a:pt x="269" y="202"/>
              </a:cubicBezTo>
              <a:lnTo>
                <a:pt x="269" y="249"/>
              </a:lnTo>
              <a:close/>
              <a:moveTo>
                <a:pt x="269" y="152"/>
              </a:moveTo>
              <a:cubicBezTo>
                <a:pt x="269" y="157"/>
                <a:pt x="265" y="161"/>
                <a:pt x="261" y="161"/>
              </a:cubicBezTo>
              <a:cubicBezTo>
                <a:pt x="227" y="161"/>
                <a:pt x="227" y="161"/>
                <a:pt x="227" y="161"/>
              </a:cubicBezTo>
              <a:cubicBezTo>
                <a:pt x="222" y="161"/>
                <a:pt x="218" y="157"/>
                <a:pt x="218" y="152"/>
              </a:cubicBezTo>
              <a:cubicBezTo>
                <a:pt x="218" y="106"/>
                <a:pt x="218" y="106"/>
                <a:pt x="218" y="106"/>
              </a:cubicBezTo>
              <a:cubicBezTo>
                <a:pt x="218" y="101"/>
                <a:pt x="222" y="97"/>
                <a:pt x="227" y="97"/>
              </a:cubicBezTo>
              <a:cubicBezTo>
                <a:pt x="261" y="97"/>
                <a:pt x="261" y="97"/>
                <a:pt x="261" y="97"/>
              </a:cubicBezTo>
              <a:cubicBezTo>
                <a:pt x="265" y="97"/>
                <a:pt x="269" y="101"/>
                <a:pt x="269" y="106"/>
              </a:cubicBezTo>
              <a:lnTo>
                <a:pt x="269" y="152"/>
              </a:lnTo>
              <a:close/>
              <a:moveTo>
                <a:pt x="369" y="224"/>
              </a:moveTo>
              <a:cubicBezTo>
                <a:pt x="367" y="224"/>
                <a:pt x="365" y="222"/>
                <a:pt x="365" y="220"/>
              </a:cubicBezTo>
              <a:cubicBezTo>
                <a:pt x="365" y="199"/>
                <a:pt x="365" y="199"/>
                <a:pt x="365" y="199"/>
              </a:cubicBezTo>
              <a:cubicBezTo>
                <a:pt x="365" y="197"/>
                <a:pt x="364" y="196"/>
                <a:pt x="362" y="196"/>
              </a:cubicBezTo>
              <a:cubicBezTo>
                <a:pt x="341" y="196"/>
                <a:pt x="341" y="196"/>
                <a:pt x="341" y="196"/>
              </a:cubicBezTo>
              <a:cubicBezTo>
                <a:pt x="339" y="196"/>
                <a:pt x="337" y="194"/>
                <a:pt x="337" y="192"/>
              </a:cubicBezTo>
              <a:cubicBezTo>
                <a:pt x="337" y="169"/>
                <a:pt x="337" y="169"/>
                <a:pt x="337" y="169"/>
              </a:cubicBezTo>
              <a:cubicBezTo>
                <a:pt x="337" y="167"/>
                <a:pt x="339" y="166"/>
                <a:pt x="341" y="166"/>
              </a:cubicBezTo>
              <a:cubicBezTo>
                <a:pt x="362" y="166"/>
                <a:pt x="362" y="166"/>
                <a:pt x="362" y="166"/>
              </a:cubicBezTo>
              <a:cubicBezTo>
                <a:pt x="364" y="166"/>
                <a:pt x="365" y="164"/>
                <a:pt x="365" y="162"/>
              </a:cubicBezTo>
              <a:cubicBezTo>
                <a:pt x="365" y="141"/>
                <a:pt x="365" y="141"/>
                <a:pt x="365" y="141"/>
              </a:cubicBezTo>
              <a:cubicBezTo>
                <a:pt x="365" y="139"/>
                <a:pt x="367" y="137"/>
                <a:pt x="369" y="137"/>
              </a:cubicBezTo>
              <a:cubicBezTo>
                <a:pt x="392" y="137"/>
                <a:pt x="392" y="137"/>
                <a:pt x="392" y="137"/>
              </a:cubicBezTo>
              <a:cubicBezTo>
                <a:pt x="394" y="137"/>
                <a:pt x="396" y="139"/>
                <a:pt x="396" y="141"/>
              </a:cubicBezTo>
              <a:cubicBezTo>
                <a:pt x="396" y="162"/>
                <a:pt x="396" y="162"/>
                <a:pt x="396" y="162"/>
              </a:cubicBezTo>
              <a:cubicBezTo>
                <a:pt x="396" y="164"/>
                <a:pt x="397" y="166"/>
                <a:pt x="399" y="166"/>
              </a:cubicBezTo>
              <a:cubicBezTo>
                <a:pt x="420" y="166"/>
                <a:pt x="420" y="166"/>
                <a:pt x="420" y="166"/>
              </a:cubicBezTo>
              <a:cubicBezTo>
                <a:pt x="422" y="166"/>
                <a:pt x="424" y="167"/>
                <a:pt x="424" y="169"/>
              </a:cubicBezTo>
              <a:cubicBezTo>
                <a:pt x="424" y="192"/>
                <a:pt x="424" y="192"/>
                <a:pt x="424" y="192"/>
              </a:cubicBezTo>
              <a:cubicBezTo>
                <a:pt x="424" y="194"/>
                <a:pt x="422" y="196"/>
                <a:pt x="420" y="196"/>
              </a:cubicBezTo>
              <a:cubicBezTo>
                <a:pt x="399" y="196"/>
                <a:pt x="399" y="196"/>
                <a:pt x="399" y="196"/>
              </a:cubicBezTo>
              <a:cubicBezTo>
                <a:pt x="397" y="196"/>
                <a:pt x="396" y="197"/>
                <a:pt x="396" y="199"/>
              </a:cubicBezTo>
              <a:cubicBezTo>
                <a:pt x="396" y="220"/>
                <a:pt x="396" y="220"/>
                <a:pt x="396" y="220"/>
              </a:cubicBezTo>
              <a:cubicBezTo>
                <a:pt x="396" y="222"/>
                <a:pt x="394" y="224"/>
                <a:pt x="392" y="224"/>
              </a:cubicBezTo>
              <a:lnTo>
                <a:pt x="369" y="224"/>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251572</xdr:colOff>
      <xdr:row>23</xdr:row>
      <xdr:rowOff>17929</xdr:rowOff>
    </xdr:from>
    <xdr:to>
      <xdr:col>4</xdr:col>
      <xdr:colOff>81243</xdr:colOff>
      <xdr:row>24</xdr:row>
      <xdr:rowOff>28655</xdr:rowOff>
    </xdr:to>
    <xdr:sp macro="" textlink="">
      <xdr:nvSpPr>
        <xdr:cNvPr id="15" name="Freeform 14">
          <a:extLst>
            <a:ext uri="{FF2B5EF4-FFF2-40B4-BE49-F238E27FC236}">
              <a16:creationId xmlns:a16="http://schemas.microsoft.com/office/drawing/2014/main" id="{00000000-0008-0000-0100-00000F000000}"/>
            </a:ext>
          </a:extLst>
        </xdr:cNvPr>
        <xdr:cNvSpPr>
          <a:spLocks noEditPoints="1"/>
        </xdr:cNvSpPr>
      </xdr:nvSpPr>
      <xdr:spPr bwMode="auto">
        <a:xfrm>
          <a:off x="2429996" y="5423647"/>
          <a:ext cx="143435" cy="207949"/>
        </a:xfrm>
        <a:custGeom>
          <a:avLst/>
          <a:gdLst>
            <a:gd name="T0" fmla="*/ 535 w 547"/>
            <a:gd name="T1" fmla="*/ 743 h 792"/>
            <a:gd name="T2" fmla="*/ 353 w 547"/>
            <a:gd name="T3" fmla="*/ 328 h 792"/>
            <a:gd name="T4" fmla="*/ 353 w 547"/>
            <a:gd name="T5" fmla="*/ 70 h 792"/>
            <a:gd name="T6" fmla="*/ 353 w 547"/>
            <a:gd name="T7" fmla="*/ 43 h 792"/>
            <a:gd name="T8" fmla="*/ 368 w 547"/>
            <a:gd name="T9" fmla="*/ 22 h 792"/>
            <a:gd name="T10" fmla="*/ 356 w 547"/>
            <a:gd name="T11" fmla="*/ 0 h 792"/>
            <a:gd name="T12" fmla="*/ 191 w 547"/>
            <a:gd name="T13" fmla="*/ 0 h 792"/>
            <a:gd name="T14" fmla="*/ 179 w 547"/>
            <a:gd name="T15" fmla="*/ 22 h 792"/>
            <a:gd name="T16" fmla="*/ 194 w 547"/>
            <a:gd name="T17" fmla="*/ 43 h 792"/>
            <a:gd name="T18" fmla="*/ 194 w 547"/>
            <a:gd name="T19" fmla="*/ 70 h 792"/>
            <a:gd name="T20" fmla="*/ 194 w 547"/>
            <a:gd name="T21" fmla="*/ 328 h 792"/>
            <a:gd name="T22" fmla="*/ 12 w 547"/>
            <a:gd name="T23" fmla="*/ 743 h 792"/>
            <a:gd name="T24" fmla="*/ 44 w 547"/>
            <a:gd name="T25" fmla="*/ 792 h 792"/>
            <a:gd name="T26" fmla="*/ 503 w 547"/>
            <a:gd name="T27" fmla="*/ 792 h 792"/>
            <a:gd name="T28" fmla="*/ 535 w 547"/>
            <a:gd name="T29" fmla="*/ 743 h 792"/>
            <a:gd name="T30" fmla="*/ 260 w 547"/>
            <a:gd name="T31" fmla="*/ 476 h 792"/>
            <a:gd name="T32" fmla="*/ 276 w 547"/>
            <a:gd name="T33" fmla="*/ 459 h 792"/>
            <a:gd name="T34" fmla="*/ 360 w 547"/>
            <a:gd name="T35" fmla="*/ 459 h 792"/>
            <a:gd name="T36" fmla="*/ 375 w 547"/>
            <a:gd name="T37" fmla="*/ 476 h 792"/>
            <a:gd name="T38" fmla="*/ 360 w 547"/>
            <a:gd name="T39" fmla="*/ 492 h 792"/>
            <a:gd name="T40" fmla="*/ 276 w 547"/>
            <a:gd name="T41" fmla="*/ 492 h 792"/>
            <a:gd name="T42" fmla="*/ 260 w 547"/>
            <a:gd name="T43" fmla="*/ 476 h 792"/>
            <a:gd name="T44" fmla="*/ 288 w 547"/>
            <a:gd name="T45" fmla="*/ 538 h 792"/>
            <a:gd name="T46" fmla="*/ 303 w 547"/>
            <a:gd name="T47" fmla="*/ 521 h 792"/>
            <a:gd name="T48" fmla="*/ 387 w 547"/>
            <a:gd name="T49" fmla="*/ 521 h 792"/>
            <a:gd name="T50" fmla="*/ 403 w 547"/>
            <a:gd name="T51" fmla="*/ 538 h 792"/>
            <a:gd name="T52" fmla="*/ 387 w 547"/>
            <a:gd name="T53" fmla="*/ 554 h 792"/>
            <a:gd name="T54" fmla="*/ 303 w 547"/>
            <a:gd name="T55" fmla="*/ 554 h 792"/>
            <a:gd name="T56" fmla="*/ 288 w 547"/>
            <a:gd name="T57" fmla="*/ 538 h 792"/>
            <a:gd name="T58" fmla="*/ 414 w 547"/>
            <a:gd name="T59" fmla="*/ 616 h 792"/>
            <a:gd name="T60" fmla="*/ 330 w 547"/>
            <a:gd name="T61" fmla="*/ 616 h 792"/>
            <a:gd name="T62" fmla="*/ 315 w 547"/>
            <a:gd name="T63" fmla="*/ 600 h 792"/>
            <a:gd name="T64" fmla="*/ 330 w 547"/>
            <a:gd name="T65" fmla="*/ 583 h 792"/>
            <a:gd name="T66" fmla="*/ 414 w 547"/>
            <a:gd name="T67" fmla="*/ 583 h 792"/>
            <a:gd name="T68" fmla="*/ 430 w 547"/>
            <a:gd name="T69" fmla="*/ 600 h 792"/>
            <a:gd name="T70" fmla="*/ 414 w 547"/>
            <a:gd name="T71" fmla="*/ 616 h 7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47" h="792">
              <a:moveTo>
                <a:pt x="535" y="743"/>
              </a:moveTo>
              <a:cubicBezTo>
                <a:pt x="353" y="328"/>
                <a:pt x="353" y="328"/>
                <a:pt x="353" y="328"/>
              </a:cubicBezTo>
              <a:cubicBezTo>
                <a:pt x="353" y="70"/>
                <a:pt x="353" y="70"/>
                <a:pt x="353" y="70"/>
              </a:cubicBezTo>
              <a:cubicBezTo>
                <a:pt x="353" y="55"/>
                <a:pt x="353" y="43"/>
                <a:pt x="353" y="43"/>
              </a:cubicBezTo>
              <a:cubicBezTo>
                <a:pt x="353" y="43"/>
                <a:pt x="360" y="33"/>
                <a:pt x="368" y="22"/>
              </a:cubicBezTo>
              <a:cubicBezTo>
                <a:pt x="376" y="10"/>
                <a:pt x="371" y="0"/>
                <a:pt x="356" y="0"/>
              </a:cubicBezTo>
              <a:cubicBezTo>
                <a:pt x="191" y="0"/>
                <a:pt x="191" y="0"/>
                <a:pt x="191" y="0"/>
              </a:cubicBezTo>
              <a:cubicBezTo>
                <a:pt x="176" y="0"/>
                <a:pt x="171" y="10"/>
                <a:pt x="179" y="22"/>
              </a:cubicBezTo>
              <a:cubicBezTo>
                <a:pt x="187" y="33"/>
                <a:pt x="194" y="43"/>
                <a:pt x="194" y="43"/>
              </a:cubicBezTo>
              <a:cubicBezTo>
                <a:pt x="194" y="43"/>
                <a:pt x="194" y="55"/>
                <a:pt x="194" y="70"/>
              </a:cubicBezTo>
              <a:cubicBezTo>
                <a:pt x="194" y="328"/>
                <a:pt x="194" y="328"/>
                <a:pt x="194" y="328"/>
              </a:cubicBezTo>
              <a:cubicBezTo>
                <a:pt x="12" y="743"/>
                <a:pt x="12" y="743"/>
                <a:pt x="12" y="743"/>
              </a:cubicBezTo>
              <a:cubicBezTo>
                <a:pt x="0" y="770"/>
                <a:pt x="14" y="792"/>
                <a:pt x="44" y="792"/>
              </a:cubicBezTo>
              <a:cubicBezTo>
                <a:pt x="503" y="792"/>
                <a:pt x="503" y="792"/>
                <a:pt x="503" y="792"/>
              </a:cubicBezTo>
              <a:cubicBezTo>
                <a:pt x="532" y="792"/>
                <a:pt x="547" y="770"/>
                <a:pt x="535" y="743"/>
              </a:cubicBezTo>
              <a:close/>
              <a:moveTo>
                <a:pt x="260" y="476"/>
              </a:moveTo>
              <a:cubicBezTo>
                <a:pt x="260" y="467"/>
                <a:pt x="267" y="459"/>
                <a:pt x="276" y="459"/>
              </a:cubicBezTo>
              <a:cubicBezTo>
                <a:pt x="360" y="459"/>
                <a:pt x="360" y="459"/>
                <a:pt x="360" y="459"/>
              </a:cubicBezTo>
              <a:cubicBezTo>
                <a:pt x="368" y="459"/>
                <a:pt x="375" y="467"/>
                <a:pt x="375" y="476"/>
              </a:cubicBezTo>
              <a:cubicBezTo>
                <a:pt x="375" y="484"/>
                <a:pt x="368" y="492"/>
                <a:pt x="360" y="492"/>
              </a:cubicBezTo>
              <a:cubicBezTo>
                <a:pt x="276" y="492"/>
                <a:pt x="276" y="492"/>
                <a:pt x="276" y="492"/>
              </a:cubicBezTo>
              <a:cubicBezTo>
                <a:pt x="267" y="492"/>
                <a:pt x="260" y="484"/>
                <a:pt x="260" y="476"/>
              </a:cubicBezTo>
              <a:close/>
              <a:moveTo>
                <a:pt x="288" y="538"/>
              </a:moveTo>
              <a:cubicBezTo>
                <a:pt x="288" y="530"/>
                <a:pt x="295" y="521"/>
                <a:pt x="303" y="521"/>
              </a:cubicBezTo>
              <a:cubicBezTo>
                <a:pt x="387" y="521"/>
                <a:pt x="387" y="521"/>
                <a:pt x="387" y="521"/>
              </a:cubicBezTo>
              <a:cubicBezTo>
                <a:pt x="396" y="521"/>
                <a:pt x="403" y="530"/>
                <a:pt x="403" y="538"/>
              </a:cubicBezTo>
              <a:cubicBezTo>
                <a:pt x="403" y="546"/>
                <a:pt x="396" y="554"/>
                <a:pt x="387" y="554"/>
              </a:cubicBezTo>
              <a:cubicBezTo>
                <a:pt x="303" y="554"/>
                <a:pt x="303" y="554"/>
                <a:pt x="303" y="554"/>
              </a:cubicBezTo>
              <a:cubicBezTo>
                <a:pt x="295" y="554"/>
                <a:pt x="288" y="546"/>
                <a:pt x="288" y="538"/>
              </a:cubicBezTo>
              <a:close/>
              <a:moveTo>
                <a:pt x="414" y="616"/>
              </a:moveTo>
              <a:cubicBezTo>
                <a:pt x="330" y="616"/>
                <a:pt x="330" y="616"/>
                <a:pt x="330" y="616"/>
              </a:cubicBezTo>
              <a:cubicBezTo>
                <a:pt x="322" y="616"/>
                <a:pt x="315" y="608"/>
                <a:pt x="315" y="600"/>
              </a:cubicBezTo>
              <a:cubicBezTo>
                <a:pt x="315" y="591"/>
                <a:pt x="322" y="583"/>
                <a:pt x="330" y="583"/>
              </a:cubicBezTo>
              <a:cubicBezTo>
                <a:pt x="414" y="583"/>
                <a:pt x="414" y="583"/>
                <a:pt x="414" y="583"/>
              </a:cubicBezTo>
              <a:cubicBezTo>
                <a:pt x="423" y="583"/>
                <a:pt x="430" y="591"/>
                <a:pt x="430" y="600"/>
              </a:cubicBezTo>
              <a:cubicBezTo>
                <a:pt x="430" y="608"/>
                <a:pt x="423" y="616"/>
                <a:pt x="414" y="616"/>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153068</xdr:colOff>
      <xdr:row>17</xdr:row>
      <xdr:rowOff>2</xdr:rowOff>
    </xdr:from>
    <xdr:to>
      <xdr:col>4</xdr:col>
      <xdr:colOff>134469</xdr:colOff>
      <xdr:row>18</xdr:row>
      <xdr:rowOff>35858</xdr:rowOff>
    </xdr:to>
    <xdr:sp macro="" textlink="">
      <xdr:nvSpPr>
        <xdr:cNvPr id="16" name="Freeform 15">
          <a:extLst>
            <a:ext uri="{FF2B5EF4-FFF2-40B4-BE49-F238E27FC236}">
              <a16:creationId xmlns:a16="http://schemas.microsoft.com/office/drawing/2014/main" id="{00000000-0008-0000-0100-000010000000}"/>
            </a:ext>
          </a:extLst>
        </xdr:cNvPr>
        <xdr:cNvSpPr>
          <a:spLocks/>
        </xdr:cNvSpPr>
      </xdr:nvSpPr>
      <xdr:spPr bwMode="auto">
        <a:xfrm>
          <a:off x="2331492" y="4652684"/>
          <a:ext cx="295165" cy="233080"/>
        </a:xfrm>
        <a:custGeom>
          <a:avLst/>
          <a:gdLst>
            <a:gd name="T0" fmla="*/ 0 w 744"/>
            <a:gd name="T1" fmla="*/ 306 h 615"/>
            <a:gd name="T2" fmla="*/ 90 w 744"/>
            <a:gd name="T3" fmla="*/ 306 h 615"/>
            <a:gd name="T4" fmla="*/ 136 w 744"/>
            <a:gd name="T5" fmla="*/ 255 h 615"/>
            <a:gd name="T6" fmla="*/ 173 w 744"/>
            <a:gd name="T7" fmla="*/ 309 h 615"/>
            <a:gd name="T8" fmla="*/ 243 w 744"/>
            <a:gd name="T9" fmla="*/ 219 h 615"/>
            <a:gd name="T10" fmla="*/ 298 w 744"/>
            <a:gd name="T11" fmla="*/ 377 h 615"/>
            <a:gd name="T12" fmla="*/ 339 w 744"/>
            <a:gd name="T13" fmla="*/ 288 h 615"/>
            <a:gd name="T14" fmla="*/ 367 w 744"/>
            <a:gd name="T15" fmla="*/ 338 h 615"/>
            <a:gd name="T16" fmla="*/ 474 w 744"/>
            <a:gd name="T17" fmla="*/ 0 h 615"/>
            <a:gd name="T18" fmla="*/ 575 w 744"/>
            <a:gd name="T19" fmla="*/ 468 h 615"/>
            <a:gd name="T20" fmla="*/ 623 w 744"/>
            <a:gd name="T21" fmla="*/ 274 h 615"/>
            <a:gd name="T22" fmla="*/ 693 w 744"/>
            <a:gd name="T23" fmla="*/ 306 h 615"/>
            <a:gd name="T24" fmla="*/ 744 w 744"/>
            <a:gd name="T25" fmla="*/ 306 h 615"/>
            <a:gd name="T26" fmla="*/ 744 w 744"/>
            <a:gd name="T27" fmla="*/ 336 h 615"/>
            <a:gd name="T28" fmla="*/ 689 w 744"/>
            <a:gd name="T29" fmla="*/ 336 h 615"/>
            <a:gd name="T30" fmla="*/ 648 w 744"/>
            <a:gd name="T31" fmla="*/ 319 h 615"/>
            <a:gd name="T32" fmla="*/ 575 w 744"/>
            <a:gd name="T33" fmla="*/ 615 h 615"/>
            <a:gd name="T34" fmla="*/ 470 w 744"/>
            <a:gd name="T35" fmla="*/ 124 h 615"/>
            <a:gd name="T36" fmla="*/ 375 w 744"/>
            <a:gd name="T37" fmla="*/ 419 h 615"/>
            <a:gd name="T38" fmla="*/ 336 w 744"/>
            <a:gd name="T39" fmla="*/ 354 h 615"/>
            <a:gd name="T40" fmla="*/ 299 w 744"/>
            <a:gd name="T41" fmla="*/ 450 h 615"/>
            <a:gd name="T42" fmla="*/ 233 w 744"/>
            <a:gd name="T43" fmla="*/ 279 h 615"/>
            <a:gd name="T44" fmla="*/ 173 w 744"/>
            <a:gd name="T45" fmla="*/ 353 h 615"/>
            <a:gd name="T46" fmla="*/ 133 w 744"/>
            <a:gd name="T47" fmla="*/ 299 h 615"/>
            <a:gd name="T48" fmla="*/ 92 w 744"/>
            <a:gd name="T49" fmla="*/ 336 h 615"/>
            <a:gd name="T50" fmla="*/ 0 w 744"/>
            <a:gd name="T51" fmla="*/ 336 h 615"/>
            <a:gd name="T52" fmla="*/ 0 w 744"/>
            <a:gd name="T53" fmla="*/ 306 h 615"/>
            <a:gd name="T54" fmla="*/ 0 w 744"/>
            <a:gd name="T55" fmla="*/ 306 h 6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744" h="615">
              <a:moveTo>
                <a:pt x="0" y="306"/>
              </a:moveTo>
              <a:lnTo>
                <a:pt x="90" y="306"/>
              </a:lnTo>
              <a:lnTo>
                <a:pt x="136" y="255"/>
              </a:lnTo>
              <a:lnTo>
                <a:pt x="173" y="309"/>
              </a:lnTo>
              <a:lnTo>
                <a:pt x="243" y="219"/>
              </a:lnTo>
              <a:lnTo>
                <a:pt x="298" y="377"/>
              </a:lnTo>
              <a:lnTo>
                <a:pt x="339" y="288"/>
              </a:lnTo>
              <a:lnTo>
                <a:pt x="367" y="338"/>
              </a:lnTo>
              <a:lnTo>
                <a:pt x="474" y="0"/>
              </a:lnTo>
              <a:lnTo>
                <a:pt x="575" y="468"/>
              </a:lnTo>
              <a:lnTo>
                <a:pt x="623" y="274"/>
              </a:lnTo>
              <a:lnTo>
                <a:pt x="693" y="306"/>
              </a:lnTo>
              <a:lnTo>
                <a:pt x="744" y="306"/>
              </a:lnTo>
              <a:lnTo>
                <a:pt x="744" y="336"/>
              </a:lnTo>
              <a:lnTo>
                <a:pt x="689" y="336"/>
              </a:lnTo>
              <a:lnTo>
                <a:pt x="648" y="319"/>
              </a:lnTo>
              <a:lnTo>
                <a:pt x="575" y="615"/>
              </a:lnTo>
              <a:lnTo>
                <a:pt x="470" y="124"/>
              </a:lnTo>
              <a:lnTo>
                <a:pt x="375" y="419"/>
              </a:lnTo>
              <a:lnTo>
                <a:pt x="336" y="354"/>
              </a:lnTo>
              <a:lnTo>
                <a:pt x="299" y="450"/>
              </a:lnTo>
              <a:lnTo>
                <a:pt x="233" y="279"/>
              </a:lnTo>
              <a:lnTo>
                <a:pt x="173" y="353"/>
              </a:lnTo>
              <a:lnTo>
                <a:pt x="133" y="299"/>
              </a:lnTo>
              <a:lnTo>
                <a:pt x="92" y="336"/>
              </a:lnTo>
              <a:lnTo>
                <a:pt x="0" y="336"/>
              </a:lnTo>
              <a:lnTo>
                <a:pt x="0" y="306"/>
              </a:lnTo>
              <a:lnTo>
                <a:pt x="0" y="306"/>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3</xdr:col>
      <xdr:colOff>219258</xdr:colOff>
      <xdr:row>25</xdr:row>
      <xdr:rowOff>35860</xdr:rowOff>
    </xdr:from>
    <xdr:to>
      <xdr:col>4</xdr:col>
      <xdr:colOff>113556</xdr:colOff>
      <xdr:row>26</xdr:row>
      <xdr:rowOff>44824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7682" y="6194613"/>
          <a:ext cx="208062" cy="206188"/>
        </a:xfrm>
        <a:prstGeom prst="rect">
          <a:avLst/>
        </a:prstGeom>
      </xdr:spPr>
    </xdr:pic>
    <xdr:clientData/>
  </xdr:twoCellAnchor>
  <xdr:twoCellAnchor>
    <xdr:from>
      <xdr:col>3</xdr:col>
      <xdr:colOff>212202</xdr:colOff>
      <xdr:row>27</xdr:row>
      <xdr:rowOff>14566</xdr:rowOff>
    </xdr:from>
    <xdr:to>
      <xdr:col>4</xdr:col>
      <xdr:colOff>120613</xdr:colOff>
      <xdr:row>28</xdr:row>
      <xdr:rowOff>22544</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2362735" y="6796366"/>
          <a:ext cx="213211" cy="202711"/>
          <a:chOff x="2168525" y="2154238"/>
          <a:chExt cx="1241425" cy="1141412"/>
        </a:xfrm>
        <a:solidFill>
          <a:schemeClr val="tx1"/>
        </a:solidFill>
      </xdr:grpSpPr>
      <xdr:sp macro="" textlink="">
        <xdr:nvSpPr>
          <xdr:cNvPr id="19" name="Freeform 18">
            <a:extLst>
              <a:ext uri="{FF2B5EF4-FFF2-40B4-BE49-F238E27FC236}">
                <a16:creationId xmlns:a16="http://schemas.microsoft.com/office/drawing/2014/main" id="{00000000-0008-0000-0100-000013000000}"/>
              </a:ext>
            </a:extLst>
          </xdr:cNvPr>
          <xdr:cNvSpPr>
            <a:spLocks/>
          </xdr:cNvSpPr>
        </xdr:nvSpPr>
        <xdr:spPr bwMode="auto">
          <a:xfrm>
            <a:off x="2168525" y="2206625"/>
            <a:ext cx="571500" cy="190500"/>
          </a:xfrm>
          <a:custGeom>
            <a:avLst/>
            <a:gdLst>
              <a:gd name="T0" fmla="*/ 68 w 243"/>
              <a:gd name="T1" fmla="*/ 78 h 81"/>
              <a:gd name="T2" fmla="*/ 107 w 243"/>
              <a:gd name="T3" fmla="*/ 62 h 81"/>
              <a:gd name="T4" fmla="*/ 116 w 243"/>
              <a:gd name="T5" fmla="*/ 57 h 81"/>
              <a:gd name="T6" fmla="*/ 124 w 243"/>
              <a:gd name="T7" fmla="*/ 52 h 81"/>
              <a:gd name="T8" fmla="*/ 140 w 243"/>
              <a:gd name="T9" fmla="*/ 43 h 81"/>
              <a:gd name="T10" fmla="*/ 172 w 243"/>
              <a:gd name="T11" fmla="*/ 26 h 81"/>
              <a:gd name="T12" fmla="*/ 188 w 243"/>
              <a:gd name="T13" fmla="*/ 23 h 81"/>
              <a:gd name="T14" fmla="*/ 200 w 243"/>
              <a:gd name="T15" fmla="*/ 25 h 81"/>
              <a:gd name="T16" fmla="*/ 205 w 243"/>
              <a:gd name="T17" fmla="*/ 30 h 81"/>
              <a:gd name="T18" fmla="*/ 208 w 243"/>
              <a:gd name="T19" fmla="*/ 36 h 81"/>
              <a:gd name="T20" fmla="*/ 210 w 243"/>
              <a:gd name="T21" fmla="*/ 45 h 81"/>
              <a:gd name="T22" fmla="*/ 212 w 243"/>
              <a:gd name="T23" fmla="*/ 55 h 81"/>
              <a:gd name="T24" fmla="*/ 215 w 243"/>
              <a:gd name="T25" fmla="*/ 65 h 81"/>
              <a:gd name="T26" fmla="*/ 218 w 243"/>
              <a:gd name="T27" fmla="*/ 70 h 81"/>
              <a:gd name="T28" fmla="*/ 222 w 243"/>
              <a:gd name="T29" fmla="*/ 74 h 81"/>
              <a:gd name="T30" fmla="*/ 233 w 243"/>
              <a:gd name="T31" fmla="*/ 76 h 81"/>
              <a:gd name="T32" fmla="*/ 243 w 243"/>
              <a:gd name="T33" fmla="*/ 73 h 81"/>
              <a:gd name="T34" fmla="*/ 233 w 243"/>
              <a:gd name="T35" fmla="*/ 73 h 81"/>
              <a:gd name="T36" fmla="*/ 226 w 243"/>
              <a:gd name="T37" fmla="*/ 69 h 81"/>
              <a:gd name="T38" fmla="*/ 223 w 243"/>
              <a:gd name="T39" fmla="*/ 63 h 81"/>
              <a:gd name="T40" fmla="*/ 222 w 243"/>
              <a:gd name="T41" fmla="*/ 54 h 81"/>
              <a:gd name="T42" fmla="*/ 223 w 243"/>
              <a:gd name="T43" fmla="*/ 44 h 81"/>
              <a:gd name="T44" fmla="*/ 223 w 243"/>
              <a:gd name="T45" fmla="*/ 33 h 81"/>
              <a:gd name="T46" fmla="*/ 220 w 243"/>
              <a:gd name="T47" fmla="*/ 21 h 81"/>
              <a:gd name="T48" fmla="*/ 216 w 243"/>
              <a:gd name="T49" fmla="*/ 16 h 81"/>
              <a:gd name="T50" fmla="*/ 212 w 243"/>
              <a:gd name="T51" fmla="*/ 11 h 81"/>
              <a:gd name="T52" fmla="*/ 201 w 243"/>
              <a:gd name="T53" fmla="*/ 4 h 81"/>
              <a:gd name="T54" fmla="*/ 189 w 243"/>
              <a:gd name="T55" fmla="*/ 1 h 81"/>
              <a:gd name="T56" fmla="*/ 166 w 243"/>
              <a:gd name="T57" fmla="*/ 2 h 81"/>
              <a:gd name="T58" fmla="*/ 145 w 243"/>
              <a:gd name="T59" fmla="*/ 8 h 81"/>
              <a:gd name="T60" fmla="*/ 126 w 243"/>
              <a:gd name="T61" fmla="*/ 16 h 81"/>
              <a:gd name="T62" fmla="*/ 108 w 243"/>
              <a:gd name="T63" fmla="*/ 25 h 81"/>
              <a:gd name="T64" fmla="*/ 104 w 243"/>
              <a:gd name="T65" fmla="*/ 28 h 81"/>
              <a:gd name="T66" fmla="*/ 100 w 243"/>
              <a:gd name="T67" fmla="*/ 30 h 81"/>
              <a:gd name="T68" fmla="*/ 92 w 243"/>
              <a:gd name="T69" fmla="*/ 35 h 81"/>
              <a:gd name="T70" fmla="*/ 60 w 243"/>
              <a:gd name="T71" fmla="*/ 52 h 81"/>
              <a:gd name="T72" fmla="*/ 44 w 243"/>
              <a:gd name="T73" fmla="*/ 58 h 81"/>
              <a:gd name="T74" fmla="*/ 35 w 243"/>
              <a:gd name="T75" fmla="*/ 60 h 81"/>
              <a:gd name="T76" fmla="*/ 27 w 243"/>
              <a:gd name="T77" fmla="*/ 61 h 81"/>
              <a:gd name="T78" fmla="*/ 12 w 243"/>
              <a:gd name="T79" fmla="*/ 59 h 81"/>
              <a:gd name="T80" fmla="*/ 6 w 243"/>
              <a:gd name="T81" fmla="*/ 54 h 81"/>
              <a:gd name="T82" fmla="*/ 2 w 243"/>
              <a:gd name="T83" fmla="*/ 46 h 81"/>
              <a:gd name="T84" fmla="*/ 0 w 243"/>
              <a:gd name="T85" fmla="*/ 51 h 81"/>
              <a:gd name="T86" fmla="*/ 0 w 243"/>
              <a:gd name="T87" fmla="*/ 56 h 81"/>
              <a:gd name="T88" fmla="*/ 4 w 243"/>
              <a:gd name="T89" fmla="*/ 68 h 81"/>
              <a:gd name="T90" fmla="*/ 14 w 243"/>
              <a:gd name="T91" fmla="*/ 75 h 81"/>
              <a:gd name="T92" fmla="*/ 25 w 243"/>
              <a:gd name="T93" fmla="*/ 79 h 81"/>
              <a:gd name="T94" fmla="*/ 31 w 243"/>
              <a:gd name="T95" fmla="*/ 80 h 81"/>
              <a:gd name="T96" fmla="*/ 36 w 243"/>
              <a:gd name="T97" fmla="*/ 81 h 81"/>
              <a:gd name="T98" fmla="*/ 47 w 243"/>
              <a:gd name="T99" fmla="*/ 81 h 81"/>
              <a:gd name="T100" fmla="*/ 68 w 243"/>
              <a:gd name="T101" fmla="*/ 7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68" y="78"/>
                </a:moveTo>
                <a:cubicBezTo>
                  <a:pt x="82" y="74"/>
                  <a:pt x="95" y="69"/>
                  <a:pt x="107" y="62"/>
                </a:cubicBezTo>
                <a:cubicBezTo>
                  <a:pt x="110" y="61"/>
                  <a:pt x="113" y="59"/>
                  <a:pt x="116" y="57"/>
                </a:cubicBezTo>
                <a:cubicBezTo>
                  <a:pt x="124" y="52"/>
                  <a:pt x="124" y="52"/>
                  <a:pt x="124" y="52"/>
                </a:cubicBezTo>
                <a:cubicBezTo>
                  <a:pt x="130" y="49"/>
                  <a:pt x="135" y="46"/>
                  <a:pt x="140" y="43"/>
                </a:cubicBezTo>
                <a:cubicBezTo>
                  <a:pt x="151" y="36"/>
                  <a:pt x="162" y="30"/>
                  <a:pt x="172" y="26"/>
                </a:cubicBezTo>
                <a:cubicBezTo>
                  <a:pt x="178" y="24"/>
                  <a:pt x="183" y="23"/>
                  <a:pt x="188" y="23"/>
                </a:cubicBezTo>
                <a:cubicBezTo>
                  <a:pt x="192" y="22"/>
                  <a:pt x="196" y="23"/>
                  <a:pt x="200" y="25"/>
                </a:cubicBezTo>
                <a:cubicBezTo>
                  <a:pt x="202" y="27"/>
                  <a:pt x="204" y="28"/>
                  <a:pt x="205" y="30"/>
                </a:cubicBezTo>
                <a:cubicBezTo>
                  <a:pt x="207" y="31"/>
                  <a:pt x="208" y="33"/>
                  <a:pt x="208" y="36"/>
                </a:cubicBezTo>
                <a:cubicBezTo>
                  <a:pt x="209" y="38"/>
                  <a:pt x="210" y="41"/>
                  <a:pt x="210" y="45"/>
                </a:cubicBezTo>
                <a:cubicBezTo>
                  <a:pt x="211" y="48"/>
                  <a:pt x="211" y="51"/>
                  <a:pt x="212" y="55"/>
                </a:cubicBezTo>
                <a:cubicBezTo>
                  <a:pt x="213" y="58"/>
                  <a:pt x="214" y="61"/>
                  <a:pt x="215" y="65"/>
                </a:cubicBezTo>
                <a:cubicBezTo>
                  <a:pt x="216" y="66"/>
                  <a:pt x="217" y="68"/>
                  <a:pt x="218" y="70"/>
                </a:cubicBezTo>
                <a:cubicBezTo>
                  <a:pt x="219" y="71"/>
                  <a:pt x="221" y="73"/>
                  <a:pt x="222" y="74"/>
                </a:cubicBezTo>
                <a:cubicBezTo>
                  <a:pt x="226" y="76"/>
                  <a:pt x="229" y="76"/>
                  <a:pt x="233" y="76"/>
                </a:cubicBezTo>
                <a:cubicBezTo>
                  <a:pt x="236" y="76"/>
                  <a:pt x="240" y="75"/>
                  <a:pt x="243" y="73"/>
                </a:cubicBezTo>
                <a:cubicBezTo>
                  <a:pt x="239" y="74"/>
                  <a:pt x="236" y="74"/>
                  <a:pt x="233" y="73"/>
                </a:cubicBezTo>
                <a:cubicBezTo>
                  <a:pt x="230" y="73"/>
                  <a:pt x="227" y="71"/>
                  <a:pt x="226" y="69"/>
                </a:cubicBezTo>
                <a:cubicBezTo>
                  <a:pt x="224" y="68"/>
                  <a:pt x="223" y="65"/>
                  <a:pt x="223" y="63"/>
                </a:cubicBezTo>
                <a:cubicBezTo>
                  <a:pt x="222" y="60"/>
                  <a:pt x="222" y="57"/>
                  <a:pt x="222" y="54"/>
                </a:cubicBezTo>
                <a:cubicBezTo>
                  <a:pt x="222" y="50"/>
                  <a:pt x="223" y="47"/>
                  <a:pt x="223" y="44"/>
                </a:cubicBezTo>
                <a:cubicBezTo>
                  <a:pt x="223" y="41"/>
                  <a:pt x="223" y="37"/>
                  <a:pt x="223" y="33"/>
                </a:cubicBezTo>
                <a:cubicBezTo>
                  <a:pt x="223" y="30"/>
                  <a:pt x="222" y="25"/>
                  <a:pt x="220" y="21"/>
                </a:cubicBezTo>
                <a:cubicBezTo>
                  <a:pt x="219" y="19"/>
                  <a:pt x="218" y="17"/>
                  <a:pt x="216" y="16"/>
                </a:cubicBezTo>
                <a:cubicBezTo>
                  <a:pt x="215" y="14"/>
                  <a:pt x="214" y="12"/>
                  <a:pt x="212" y="11"/>
                </a:cubicBezTo>
                <a:cubicBezTo>
                  <a:pt x="209" y="8"/>
                  <a:pt x="205" y="6"/>
                  <a:pt x="201" y="4"/>
                </a:cubicBezTo>
                <a:cubicBezTo>
                  <a:pt x="197" y="2"/>
                  <a:pt x="193" y="1"/>
                  <a:pt x="189" y="1"/>
                </a:cubicBezTo>
                <a:cubicBezTo>
                  <a:pt x="181" y="0"/>
                  <a:pt x="173" y="0"/>
                  <a:pt x="166" y="2"/>
                </a:cubicBezTo>
                <a:cubicBezTo>
                  <a:pt x="158" y="3"/>
                  <a:pt x="152" y="5"/>
                  <a:pt x="145" y="8"/>
                </a:cubicBezTo>
                <a:cubicBezTo>
                  <a:pt x="138" y="10"/>
                  <a:pt x="132" y="13"/>
                  <a:pt x="126" y="16"/>
                </a:cubicBezTo>
                <a:cubicBezTo>
                  <a:pt x="120" y="19"/>
                  <a:pt x="114" y="22"/>
                  <a:pt x="108" y="25"/>
                </a:cubicBezTo>
                <a:cubicBezTo>
                  <a:pt x="104" y="28"/>
                  <a:pt x="104" y="28"/>
                  <a:pt x="104" y="28"/>
                </a:cubicBezTo>
                <a:cubicBezTo>
                  <a:pt x="100" y="30"/>
                  <a:pt x="100" y="30"/>
                  <a:pt x="100" y="30"/>
                </a:cubicBezTo>
                <a:cubicBezTo>
                  <a:pt x="97" y="32"/>
                  <a:pt x="95" y="34"/>
                  <a:pt x="92" y="35"/>
                </a:cubicBezTo>
                <a:cubicBezTo>
                  <a:pt x="81" y="41"/>
                  <a:pt x="71" y="47"/>
                  <a:pt x="60" y="52"/>
                </a:cubicBezTo>
                <a:cubicBezTo>
                  <a:pt x="55" y="54"/>
                  <a:pt x="49" y="57"/>
                  <a:pt x="44" y="58"/>
                </a:cubicBezTo>
                <a:cubicBezTo>
                  <a:pt x="41" y="59"/>
                  <a:pt x="38" y="59"/>
                  <a:pt x="35" y="60"/>
                </a:cubicBezTo>
                <a:cubicBezTo>
                  <a:pt x="32" y="60"/>
                  <a:pt x="30" y="61"/>
                  <a:pt x="27" y="61"/>
                </a:cubicBezTo>
                <a:cubicBezTo>
                  <a:pt x="21" y="61"/>
                  <a:pt x="16" y="61"/>
                  <a:pt x="12" y="59"/>
                </a:cubicBezTo>
                <a:cubicBezTo>
                  <a:pt x="10" y="58"/>
                  <a:pt x="8" y="57"/>
                  <a:pt x="6" y="54"/>
                </a:cubicBezTo>
                <a:cubicBezTo>
                  <a:pt x="4" y="52"/>
                  <a:pt x="3" y="49"/>
                  <a:pt x="2" y="46"/>
                </a:cubicBezTo>
                <a:cubicBezTo>
                  <a:pt x="1" y="47"/>
                  <a:pt x="0" y="49"/>
                  <a:pt x="0" y="51"/>
                </a:cubicBezTo>
                <a:cubicBezTo>
                  <a:pt x="0" y="53"/>
                  <a:pt x="0" y="54"/>
                  <a:pt x="0" y="56"/>
                </a:cubicBezTo>
                <a:cubicBezTo>
                  <a:pt x="0" y="60"/>
                  <a:pt x="2" y="64"/>
                  <a:pt x="4" y="68"/>
                </a:cubicBezTo>
                <a:cubicBezTo>
                  <a:pt x="7" y="71"/>
                  <a:pt x="10" y="74"/>
                  <a:pt x="14" y="75"/>
                </a:cubicBezTo>
                <a:cubicBezTo>
                  <a:pt x="18" y="77"/>
                  <a:pt x="21" y="79"/>
                  <a:pt x="25" y="79"/>
                </a:cubicBezTo>
                <a:cubicBezTo>
                  <a:pt x="27" y="80"/>
                  <a:pt x="29" y="80"/>
                  <a:pt x="31" y="80"/>
                </a:cubicBezTo>
                <a:cubicBezTo>
                  <a:pt x="32" y="81"/>
                  <a:pt x="34" y="81"/>
                  <a:pt x="36" y="81"/>
                </a:cubicBezTo>
                <a:cubicBezTo>
                  <a:pt x="40" y="81"/>
                  <a:pt x="43" y="81"/>
                  <a:pt x="47" y="81"/>
                </a:cubicBezTo>
                <a:cubicBezTo>
                  <a:pt x="54" y="81"/>
                  <a:pt x="62" y="79"/>
                  <a:pt x="68" y="7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0" name="Freeform 19">
            <a:extLst>
              <a:ext uri="{FF2B5EF4-FFF2-40B4-BE49-F238E27FC236}">
                <a16:creationId xmlns:a16="http://schemas.microsoft.com/office/drawing/2014/main" id="{00000000-0008-0000-0100-000014000000}"/>
              </a:ext>
            </a:extLst>
          </xdr:cNvPr>
          <xdr:cNvSpPr>
            <a:spLocks/>
          </xdr:cNvSpPr>
        </xdr:nvSpPr>
        <xdr:spPr bwMode="auto">
          <a:xfrm>
            <a:off x="2273300" y="2268538"/>
            <a:ext cx="361950" cy="171450"/>
          </a:xfrm>
          <a:custGeom>
            <a:avLst/>
            <a:gdLst>
              <a:gd name="T0" fmla="*/ 58 w 154"/>
              <a:gd name="T1" fmla="*/ 67 h 73"/>
              <a:gd name="T2" fmla="*/ 90 w 154"/>
              <a:gd name="T3" fmla="*/ 48 h 73"/>
              <a:gd name="T4" fmla="*/ 98 w 154"/>
              <a:gd name="T5" fmla="*/ 43 h 73"/>
              <a:gd name="T6" fmla="*/ 104 w 154"/>
              <a:gd name="T7" fmla="*/ 37 h 73"/>
              <a:gd name="T8" fmla="*/ 117 w 154"/>
              <a:gd name="T9" fmla="*/ 27 h 73"/>
              <a:gd name="T10" fmla="*/ 144 w 154"/>
              <a:gd name="T11" fmla="*/ 8 h 73"/>
              <a:gd name="T12" fmla="*/ 153 w 154"/>
              <a:gd name="T13" fmla="*/ 4 h 73"/>
              <a:gd name="T14" fmla="*/ 154 w 154"/>
              <a:gd name="T15" fmla="*/ 4 h 73"/>
              <a:gd name="T16" fmla="*/ 153 w 154"/>
              <a:gd name="T17" fmla="*/ 2 h 73"/>
              <a:gd name="T18" fmla="*/ 140 w 154"/>
              <a:gd name="T19" fmla="*/ 0 h 73"/>
              <a:gd name="T20" fmla="*/ 125 w 154"/>
              <a:gd name="T21" fmla="*/ 4 h 73"/>
              <a:gd name="T22" fmla="*/ 94 w 154"/>
              <a:gd name="T23" fmla="*/ 22 h 73"/>
              <a:gd name="T24" fmla="*/ 78 w 154"/>
              <a:gd name="T25" fmla="*/ 32 h 73"/>
              <a:gd name="T26" fmla="*/ 70 w 154"/>
              <a:gd name="T27" fmla="*/ 38 h 73"/>
              <a:gd name="T28" fmla="*/ 61 w 154"/>
              <a:gd name="T29" fmla="*/ 43 h 73"/>
              <a:gd name="T30" fmla="*/ 23 w 154"/>
              <a:gd name="T31" fmla="*/ 60 h 73"/>
              <a:gd name="T32" fmla="*/ 2 w 154"/>
              <a:gd name="T33" fmla="*/ 64 h 73"/>
              <a:gd name="T34" fmla="*/ 0 w 154"/>
              <a:gd name="T35" fmla="*/ 64 h 73"/>
              <a:gd name="T36" fmla="*/ 0 w 154"/>
              <a:gd name="T37" fmla="*/ 64 h 73"/>
              <a:gd name="T38" fmla="*/ 10 w 154"/>
              <a:gd name="T39" fmla="*/ 70 h 73"/>
              <a:gd name="T40" fmla="*/ 20 w 154"/>
              <a:gd name="T41" fmla="*/ 73 h 73"/>
              <a:gd name="T42" fmla="*/ 25 w 154"/>
              <a:gd name="T43" fmla="*/ 73 h 73"/>
              <a:gd name="T44" fmla="*/ 30 w 154"/>
              <a:gd name="T45" fmla="*/ 73 h 73"/>
              <a:gd name="T46" fmla="*/ 39 w 154"/>
              <a:gd name="T47" fmla="*/ 72 h 73"/>
              <a:gd name="T48" fmla="*/ 58 w 154"/>
              <a:gd name="T49" fmla="*/ 67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58" y="67"/>
                </a:moveTo>
                <a:cubicBezTo>
                  <a:pt x="70" y="62"/>
                  <a:pt x="81" y="55"/>
                  <a:pt x="90" y="48"/>
                </a:cubicBezTo>
                <a:cubicBezTo>
                  <a:pt x="93" y="46"/>
                  <a:pt x="95" y="45"/>
                  <a:pt x="98" y="43"/>
                </a:cubicBezTo>
                <a:cubicBezTo>
                  <a:pt x="104" y="37"/>
                  <a:pt x="104" y="37"/>
                  <a:pt x="104" y="37"/>
                </a:cubicBezTo>
                <a:cubicBezTo>
                  <a:pt x="109" y="34"/>
                  <a:pt x="113" y="30"/>
                  <a:pt x="117" y="27"/>
                </a:cubicBezTo>
                <a:cubicBezTo>
                  <a:pt x="128" y="18"/>
                  <a:pt x="136" y="13"/>
                  <a:pt x="144" y="8"/>
                </a:cubicBezTo>
                <a:cubicBezTo>
                  <a:pt x="147" y="7"/>
                  <a:pt x="150" y="5"/>
                  <a:pt x="153" y="4"/>
                </a:cubicBezTo>
                <a:cubicBezTo>
                  <a:pt x="154" y="4"/>
                  <a:pt x="154" y="4"/>
                  <a:pt x="154" y="4"/>
                </a:cubicBezTo>
                <a:cubicBezTo>
                  <a:pt x="154" y="3"/>
                  <a:pt x="153" y="3"/>
                  <a:pt x="153" y="2"/>
                </a:cubicBezTo>
                <a:cubicBezTo>
                  <a:pt x="149" y="0"/>
                  <a:pt x="145" y="0"/>
                  <a:pt x="140" y="0"/>
                </a:cubicBezTo>
                <a:cubicBezTo>
                  <a:pt x="135" y="1"/>
                  <a:pt x="130" y="2"/>
                  <a:pt x="125" y="4"/>
                </a:cubicBezTo>
                <a:cubicBezTo>
                  <a:pt x="114" y="9"/>
                  <a:pt x="104" y="15"/>
                  <a:pt x="94" y="22"/>
                </a:cubicBezTo>
                <a:cubicBezTo>
                  <a:pt x="88" y="25"/>
                  <a:pt x="83" y="29"/>
                  <a:pt x="78" y="32"/>
                </a:cubicBezTo>
                <a:cubicBezTo>
                  <a:pt x="70" y="38"/>
                  <a:pt x="70" y="38"/>
                  <a:pt x="70" y="38"/>
                </a:cubicBezTo>
                <a:cubicBezTo>
                  <a:pt x="67" y="39"/>
                  <a:pt x="64" y="41"/>
                  <a:pt x="61" y="43"/>
                </a:cubicBezTo>
                <a:cubicBezTo>
                  <a:pt x="50" y="50"/>
                  <a:pt x="37" y="56"/>
                  <a:pt x="23" y="60"/>
                </a:cubicBezTo>
                <a:cubicBezTo>
                  <a:pt x="16" y="62"/>
                  <a:pt x="9" y="63"/>
                  <a:pt x="2" y="64"/>
                </a:cubicBezTo>
                <a:cubicBezTo>
                  <a:pt x="1" y="64"/>
                  <a:pt x="1" y="64"/>
                  <a:pt x="0" y="64"/>
                </a:cubicBezTo>
                <a:cubicBezTo>
                  <a:pt x="0" y="64"/>
                  <a:pt x="0" y="64"/>
                  <a:pt x="0" y="64"/>
                </a:cubicBezTo>
                <a:cubicBezTo>
                  <a:pt x="3" y="67"/>
                  <a:pt x="6" y="69"/>
                  <a:pt x="10" y="70"/>
                </a:cubicBezTo>
                <a:cubicBezTo>
                  <a:pt x="13" y="72"/>
                  <a:pt x="16" y="73"/>
                  <a:pt x="20" y="73"/>
                </a:cubicBezTo>
                <a:cubicBezTo>
                  <a:pt x="22" y="73"/>
                  <a:pt x="23" y="73"/>
                  <a:pt x="25" y="73"/>
                </a:cubicBezTo>
                <a:cubicBezTo>
                  <a:pt x="26" y="73"/>
                  <a:pt x="28" y="73"/>
                  <a:pt x="30" y="73"/>
                </a:cubicBezTo>
                <a:cubicBezTo>
                  <a:pt x="33" y="73"/>
                  <a:pt x="36" y="72"/>
                  <a:pt x="39" y="72"/>
                </a:cubicBezTo>
                <a:cubicBezTo>
                  <a:pt x="46" y="71"/>
                  <a:pt x="52" y="69"/>
                  <a:pt x="58" y="6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20">
            <a:extLst>
              <a:ext uri="{FF2B5EF4-FFF2-40B4-BE49-F238E27FC236}">
                <a16:creationId xmlns:a16="http://schemas.microsoft.com/office/drawing/2014/main" id="{00000000-0008-0000-0100-000015000000}"/>
              </a:ext>
            </a:extLst>
          </xdr:cNvPr>
          <xdr:cNvSpPr>
            <a:spLocks/>
          </xdr:cNvSpPr>
        </xdr:nvSpPr>
        <xdr:spPr bwMode="auto">
          <a:xfrm>
            <a:off x="2362200" y="2281238"/>
            <a:ext cx="285750" cy="188913"/>
          </a:xfrm>
          <a:custGeom>
            <a:avLst/>
            <a:gdLst>
              <a:gd name="T0" fmla="*/ 51 w 122"/>
              <a:gd name="T1" fmla="*/ 71 h 80"/>
              <a:gd name="T2" fmla="*/ 78 w 122"/>
              <a:gd name="T3" fmla="*/ 50 h 80"/>
              <a:gd name="T4" fmla="*/ 84 w 122"/>
              <a:gd name="T5" fmla="*/ 44 h 80"/>
              <a:gd name="T6" fmla="*/ 89 w 122"/>
              <a:gd name="T7" fmla="*/ 39 h 80"/>
              <a:gd name="T8" fmla="*/ 99 w 122"/>
              <a:gd name="T9" fmla="*/ 28 h 80"/>
              <a:gd name="T10" fmla="*/ 121 w 122"/>
              <a:gd name="T11" fmla="*/ 8 h 80"/>
              <a:gd name="T12" fmla="*/ 122 w 122"/>
              <a:gd name="T13" fmla="*/ 7 h 80"/>
              <a:gd name="T14" fmla="*/ 121 w 122"/>
              <a:gd name="T15" fmla="*/ 3 h 80"/>
              <a:gd name="T16" fmla="*/ 120 w 122"/>
              <a:gd name="T17" fmla="*/ 1 h 80"/>
              <a:gd name="T18" fmla="*/ 120 w 122"/>
              <a:gd name="T19" fmla="*/ 0 h 80"/>
              <a:gd name="T20" fmla="*/ 116 w 122"/>
              <a:gd name="T21" fmla="*/ 1 h 80"/>
              <a:gd name="T22" fmla="*/ 103 w 122"/>
              <a:gd name="T23" fmla="*/ 7 h 80"/>
              <a:gd name="T24" fmla="*/ 78 w 122"/>
              <a:gd name="T25" fmla="*/ 26 h 80"/>
              <a:gd name="T26" fmla="*/ 65 w 122"/>
              <a:gd name="T27" fmla="*/ 37 h 80"/>
              <a:gd name="T28" fmla="*/ 58 w 122"/>
              <a:gd name="T29" fmla="*/ 43 h 80"/>
              <a:gd name="T30" fmla="*/ 51 w 122"/>
              <a:gd name="T31" fmla="*/ 49 h 80"/>
              <a:gd name="T32" fmla="*/ 20 w 122"/>
              <a:gd name="T33" fmla="*/ 68 h 80"/>
              <a:gd name="T34" fmla="*/ 1 w 122"/>
              <a:gd name="T35" fmla="*/ 74 h 80"/>
              <a:gd name="T36" fmla="*/ 0 w 122"/>
              <a:gd name="T37" fmla="*/ 75 h 80"/>
              <a:gd name="T38" fmla="*/ 0 w 122"/>
              <a:gd name="T39" fmla="*/ 75 h 80"/>
              <a:gd name="T40" fmla="*/ 0 w 122"/>
              <a:gd name="T41" fmla="*/ 75 h 80"/>
              <a:gd name="T42" fmla="*/ 9 w 122"/>
              <a:gd name="T43" fmla="*/ 79 h 80"/>
              <a:gd name="T44" fmla="*/ 18 w 122"/>
              <a:gd name="T45" fmla="*/ 80 h 80"/>
              <a:gd name="T46" fmla="*/ 23 w 122"/>
              <a:gd name="T47" fmla="*/ 80 h 80"/>
              <a:gd name="T48" fmla="*/ 27 w 122"/>
              <a:gd name="T49" fmla="*/ 79 h 80"/>
              <a:gd name="T50" fmla="*/ 35 w 122"/>
              <a:gd name="T51" fmla="*/ 77 h 80"/>
              <a:gd name="T52" fmla="*/ 51 w 122"/>
              <a:gd name="T53" fmla="*/ 71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51" y="71"/>
                </a:moveTo>
                <a:cubicBezTo>
                  <a:pt x="61" y="65"/>
                  <a:pt x="70" y="58"/>
                  <a:pt x="78" y="50"/>
                </a:cubicBezTo>
                <a:cubicBezTo>
                  <a:pt x="80" y="48"/>
                  <a:pt x="82" y="46"/>
                  <a:pt x="84" y="44"/>
                </a:cubicBezTo>
                <a:cubicBezTo>
                  <a:pt x="89" y="39"/>
                  <a:pt x="89" y="39"/>
                  <a:pt x="89" y="39"/>
                </a:cubicBezTo>
                <a:cubicBezTo>
                  <a:pt x="92" y="35"/>
                  <a:pt x="96" y="31"/>
                  <a:pt x="99" y="28"/>
                </a:cubicBezTo>
                <a:cubicBezTo>
                  <a:pt x="106" y="20"/>
                  <a:pt x="113" y="13"/>
                  <a:pt x="121" y="8"/>
                </a:cubicBezTo>
                <a:cubicBezTo>
                  <a:pt x="121" y="8"/>
                  <a:pt x="122" y="7"/>
                  <a:pt x="122" y="7"/>
                </a:cubicBezTo>
                <a:cubicBezTo>
                  <a:pt x="122" y="6"/>
                  <a:pt x="122" y="4"/>
                  <a:pt x="121" y="3"/>
                </a:cubicBezTo>
                <a:cubicBezTo>
                  <a:pt x="121" y="2"/>
                  <a:pt x="120" y="1"/>
                  <a:pt x="120" y="1"/>
                </a:cubicBezTo>
                <a:cubicBezTo>
                  <a:pt x="120" y="1"/>
                  <a:pt x="120" y="0"/>
                  <a:pt x="120" y="0"/>
                </a:cubicBezTo>
                <a:cubicBezTo>
                  <a:pt x="119" y="1"/>
                  <a:pt x="117" y="1"/>
                  <a:pt x="116" y="1"/>
                </a:cubicBezTo>
                <a:cubicBezTo>
                  <a:pt x="112" y="2"/>
                  <a:pt x="108" y="4"/>
                  <a:pt x="103" y="7"/>
                </a:cubicBezTo>
                <a:cubicBezTo>
                  <a:pt x="95" y="12"/>
                  <a:pt x="86" y="19"/>
                  <a:pt x="78" y="26"/>
                </a:cubicBezTo>
                <a:cubicBezTo>
                  <a:pt x="73" y="29"/>
                  <a:pt x="69" y="33"/>
                  <a:pt x="65" y="37"/>
                </a:cubicBezTo>
                <a:cubicBezTo>
                  <a:pt x="58" y="43"/>
                  <a:pt x="58" y="43"/>
                  <a:pt x="58" y="43"/>
                </a:cubicBezTo>
                <a:cubicBezTo>
                  <a:pt x="56" y="45"/>
                  <a:pt x="54" y="47"/>
                  <a:pt x="51" y="49"/>
                </a:cubicBezTo>
                <a:cubicBezTo>
                  <a:pt x="42" y="56"/>
                  <a:pt x="31" y="63"/>
                  <a:pt x="20" y="68"/>
                </a:cubicBezTo>
                <a:cubicBezTo>
                  <a:pt x="14" y="71"/>
                  <a:pt x="8" y="73"/>
                  <a:pt x="1" y="74"/>
                </a:cubicBezTo>
                <a:cubicBezTo>
                  <a:pt x="1" y="74"/>
                  <a:pt x="0" y="75"/>
                  <a:pt x="0" y="75"/>
                </a:cubicBezTo>
                <a:cubicBezTo>
                  <a:pt x="0" y="75"/>
                  <a:pt x="0" y="75"/>
                  <a:pt x="0" y="75"/>
                </a:cubicBezTo>
                <a:cubicBezTo>
                  <a:pt x="0" y="75"/>
                  <a:pt x="0" y="75"/>
                  <a:pt x="0" y="75"/>
                </a:cubicBezTo>
                <a:cubicBezTo>
                  <a:pt x="2" y="76"/>
                  <a:pt x="5" y="78"/>
                  <a:pt x="9" y="79"/>
                </a:cubicBezTo>
                <a:cubicBezTo>
                  <a:pt x="12" y="80"/>
                  <a:pt x="15" y="80"/>
                  <a:pt x="18" y="80"/>
                </a:cubicBezTo>
                <a:cubicBezTo>
                  <a:pt x="20" y="80"/>
                  <a:pt x="21" y="80"/>
                  <a:pt x="23" y="80"/>
                </a:cubicBezTo>
                <a:cubicBezTo>
                  <a:pt x="24" y="80"/>
                  <a:pt x="26" y="80"/>
                  <a:pt x="27" y="79"/>
                </a:cubicBezTo>
                <a:cubicBezTo>
                  <a:pt x="30" y="79"/>
                  <a:pt x="33" y="78"/>
                  <a:pt x="35" y="77"/>
                </a:cubicBezTo>
                <a:cubicBezTo>
                  <a:pt x="41" y="76"/>
                  <a:pt x="46" y="73"/>
                  <a:pt x="51" y="7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21">
            <a:extLst>
              <a:ext uri="{FF2B5EF4-FFF2-40B4-BE49-F238E27FC236}">
                <a16:creationId xmlns:a16="http://schemas.microsoft.com/office/drawing/2014/main" id="{00000000-0008-0000-0100-000016000000}"/>
              </a:ext>
            </a:extLst>
          </xdr:cNvPr>
          <xdr:cNvSpPr>
            <a:spLocks/>
          </xdr:cNvSpPr>
        </xdr:nvSpPr>
        <xdr:spPr bwMode="auto">
          <a:xfrm>
            <a:off x="2444750" y="2303463"/>
            <a:ext cx="212725" cy="187325"/>
          </a:xfrm>
          <a:custGeom>
            <a:avLst/>
            <a:gdLst>
              <a:gd name="T0" fmla="*/ 66 w 91"/>
              <a:gd name="T1" fmla="*/ 46 h 80"/>
              <a:gd name="T2" fmla="*/ 71 w 91"/>
              <a:gd name="T3" fmla="*/ 40 h 80"/>
              <a:gd name="T4" fmla="*/ 75 w 91"/>
              <a:gd name="T5" fmla="*/ 34 h 80"/>
              <a:gd name="T6" fmla="*/ 83 w 91"/>
              <a:gd name="T7" fmla="*/ 23 h 80"/>
              <a:gd name="T8" fmla="*/ 91 w 91"/>
              <a:gd name="T9" fmla="*/ 11 h 80"/>
              <a:gd name="T10" fmla="*/ 90 w 91"/>
              <a:gd name="T11" fmla="*/ 6 h 80"/>
              <a:gd name="T12" fmla="*/ 89 w 91"/>
              <a:gd name="T13" fmla="*/ 0 h 80"/>
              <a:gd name="T14" fmla="*/ 84 w 91"/>
              <a:gd name="T15" fmla="*/ 3 h 80"/>
              <a:gd name="T16" fmla="*/ 63 w 91"/>
              <a:gd name="T17" fmla="*/ 24 h 80"/>
              <a:gd name="T18" fmla="*/ 53 w 91"/>
              <a:gd name="T19" fmla="*/ 35 h 80"/>
              <a:gd name="T20" fmla="*/ 48 w 91"/>
              <a:gd name="T21" fmla="*/ 41 h 80"/>
              <a:gd name="T22" fmla="*/ 43 w 91"/>
              <a:gd name="T23" fmla="*/ 47 h 80"/>
              <a:gd name="T24" fmla="*/ 17 w 91"/>
              <a:gd name="T25" fmla="*/ 69 h 80"/>
              <a:gd name="T26" fmla="*/ 1 w 91"/>
              <a:gd name="T27" fmla="*/ 76 h 80"/>
              <a:gd name="T28" fmla="*/ 0 w 91"/>
              <a:gd name="T29" fmla="*/ 77 h 80"/>
              <a:gd name="T30" fmla="*/ 0 w 91"/>
              <a:gd name="T31" fmla="*/ 77 h 80"/>
              <a:gd name="T32" fmla="*/ 9 w 91"/>
              <a:gd name="T33" fmla="*/ 80 h 80"/>
              <a:gd name="T34" fmla="*/ 17 w 91"/>
              <a:gd name="T35" fmla="*/ 80 h 80"/>
              <a:gd name="T36" fmla="*/ 21 w 91"/>
              <a:gd name="T37" fmla="*/ 79 h 80"/>
              <a:gd name="T38" fmla="*/ 25 w 91"/>
              <a:gd name="T39" fmla="*/ 78 h 80"/>
              <a:gd name="T40" fmla="*/ 32 w 91"/>
              <a:gd name="T41" fmla="*/ 75 h 80"/>
              <a:gd name="T42" fmla="*/ 45 w 91"/>
              <a:gd name="T43" fmla="*/ 67 h 80"/>
              <a:gd name="T44" fmla="*/ 66 w 91"/>
              <a:gd name="T45" fmla="*/ 46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66" y="46"/>
                </a:moveTo>
                <a:cubicBezTo>
                  <a:pt x="68" y="44"/>
                  <a:pt x="69" y="42"/>
                  <a:pt x="71" y="40"/>
                </a:cubicBezTo>
                <a:cubicBezTo>
                  <a:pt x="75" y="34"/>
                  <a:pt x="75" y="34"/>
                  <a:pt x="75" y="34"/>
                </a:cubicBezTo>
                <a:cubicBezTo>
                  <a:pt x="77" y="30"/>
                  <a:pt x="80" y="26"/>
                  <a:pt x="83" y="23"/>
                </a:cubicBezTo>
                <a:cubicBezTo>
                  <a:pt x="86" y="19"/>
                  <a:pt x="88" y="15"/>
                  <a:pt x="91" y="11"/>
                </a:cubicBezTo>
                <a:cubicBezTo>
                  <a:pt x="91" y="10"/>
                  <a:pt x="91" y="8"/>
                  <a:pt x="90" y="6"/>
                </a:cubicBezTo>
                <a:cubicBezTo>
                  <a:pt x="90" y="4"/>
                  <a:pt x="89" y="2"/>
                  <a:pt x="89" y="0"/>
                </a:cubicBezTo>
                <a:cubicBezTo>
                  <a:pt x="87" y="1"/>
                  <a:pt x="85" y="2"/>
                  <a:pt x="84" y="3"/>
                </a:cubicBezTo>
                <a:cubicBezTo>
                  <a:pt x="77" y="9"/>
                  <a:pt x="70" y="16"/>
                  <a:pt x="63" y="24"/>
                </a:cubicBezTo>
                <a:cubicBezTo>
                  <a:pt x="60" y="27"/>
                  <a:pt x="57" y="31"/>
                  <a:pt x="53" y="35"/>
                </a:cubicBezTo>
                <a:cubicBezTo>
                  <a:pt x="48" y="41"/>
                  <a:pt x="48" y="41"/>
                  <a:pt x="48" y="41"/>
                </a:cubicBezTo>
                <a:cubicBezTo>
                  <a:pt x="46" y="43"/>
                  <a:pt x="45" y="45"/>
                  <a:pt x="43" y="47"/>
                </a:cubicBezTo>
                <a:cubicBezTo>
                  <a:pt x="35" y="55"/>
                  <a:pt x="27" y="63"/>
                  <a:pt x="17" y="69"/>
                </a:cubicBezTo>
                <a:cubicBezTo>
                  <a:pt x="12" y="72"/>
                  <a:pt x="7" y="74"/>
                  <a:pt x="1" y="76"/>
                </a:cubicBezTo>
                <a:cubicBezTo>
                  <a:pt x="1" y="76"/>
                  <a:pt x="0" y="76"/>
                  <a:pt x="0" y="77"/>
                </a:cubicBezTo>
                <a:cubicBezTo>
                  <a:pt x="0" y="77"/>
                  <a:pt x="0" y="77"/>
                  <a:pt x="0" y="77"/>
                </a:cubicBezTo>
                <a:cubicBezTo>
                  <a:pt x="3" y="78"/>
                  <a:pt x="6" y="79"/>
                  <a:pt x="9" y="80"/>
                </a:cubicBezTo>
                <a:cubicBezTo>
                  <a:pt x="11" y="80"/>
                  <a:pt x="14" y="80"/>
                  <a:pt x="17" y="80"/>
                </a:cubicBezTo>
                <a:cubicBezTo>
                  <a:pt x="18" y="80"/>
                  <a:pt x="19" y="79"/>
                  <a:pt x="21" y="79"/>
                </a:cubicBezTo>
                <a:cubicBezTo>
                  <a:pt x="22" y="79"/>
                  <a:pt x="23" y="78"/>
                  <a:pt x="25" y="78"/>
                </a:cubicBezTo>
                <a:cubicBezTo>
                  <a:pt x="27" y="77"/>
                  <a:pt x="29" y="76"/>
                  <a:pt x="32" y="75"/>
                </a:cubicBezTo>
                <a:cubicBezTo>
                  <a:pt x="36" y="73"/>
                  <a:pt x="41" y="70"/>
                  <a:pt x="45" y="67"/>
                </a:cubicBezTo>
                <a:cubicBezTo>
                  <a:pt x="53" y="61"/>
                  <a:pt x="60" y="54"/>
                  <a:pt x="66"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3" name="Freeform 22">
            <a:extLst>
              <a:ext uri="{FF2B5EF4-FFF2-40B4-BE49-F238E27FC236}">
                <a16:creationId xmlns:a16="http://schemas.microsoft.com/office/drawing/2014/main" id="{00000000-0008-0000-0100-000017000000}"/>
              </a:ext>
            </a:extLst>
          </xdr:cNvPr>
          <xdr:cNvSpPr>
            <a:spLocks/>
          </xdr:cNvSpPr>
        </xdr:nvSpPr>
        <xdr:spPr bwMode="auto">
          <a:xfrm>
            <a:off x="2520950" y="2336800"/>
            <a:ext cx="150813" cy="166688"/>
          </a:xfrm>
          <a:custGeom>
            <a:avLst/>
            <a:gdLst>
              <a:gd name="T0" fmla="*/ 54 w 64"/>
              <a:gd name="T1" fmla="*/ 33 h 71"/>
              <a:gd name="T2" fmla="*/ 58 w 64"/>
              <a:gd name="T3" fmla="*/ 27 h 71"/>
              <a:gd name="T4" fmla="*/ 60 w 64"/>
              <a:gd name="T5" fmla="*/ 22 h 71"/>
              <a:gd name="T6" fmla="*/ 64 w 64"/>
              <a:gd name="T7" fmla="*/ 14 h 71"/>
              <a:gd name="T8" fmla="*/ 63 w 64"/>
              <a:gd name="T9" fmla="*/ 12 h 71"/>
              <a:gd name="T10" fmla="*/ 60 w 64"/>
              <a:gd name="T11" fmla="*/ 2 h 71"/>
              <a:gd name="T12" fmla="*/ 59 w 64"/>
              <a:gd name="T13" fmla="*/ 0 h 71"/>
              <a:gd name="T14" fmla="*/ 49 w 64"/>
              <a:gd name="T15" fmla="*/ 13 h 71"/>
              <a:gd name="T16" fmla="*/ 42 w 64"/>
              <a:gd name="T17" fmla="*/ 25 h 71"/>
              <a:gd name="T18" fmla="*/ 38 w 64"/>
              <a:gd name="T19" fmla="*/ 31 h 71"/>
              <a:gd name="T20" fmla="*/ 34 w 64"/>
              <a:gd name="T21" fmla="*/ 37 h 71"/>
              <a:gd name="T22" fmla="*/ 13 w 64"/>
              <a:gd name="T23" fmla="*/ 60 h 71"/>
              <a:gd name="T24" fmla="*/ 0 w 64"/>
              <a:gd name="T25" fmla="*/ 68 h 71"/>
              <a:gd name="T26" fmla="*/ 0 w 64"/>
              <a:gd name="T27" fmla="*/ 68 h 71"/>
              <a:gd name="T28" fmla="*/ 0 w 64"/>
              <a:gd name="T29" fmla="*/ 69 h 71"/>
              <a:gd name="T30" fmla="*/ 7 w 64"/>
              <a:gd name="T31" fmla="*/ 71 h 71"/>
              <a:gd name="T32" fmla="*/ 15 w 64"/>
              <a:gd name="T33" fmla="*/ 70 h 71"/>
              <a:gd name="T34" fmla="*/ 18 w 64"/>
              <a:gd name="T35" fmla="*/ 69 h 71"/>
              <a:gd name="T36" fmla="*/ 21 w 64"/>
              <a:gd name="T37" fmla="*/ 67 h 71"/>
              <a:gd name="T38" fmla="*/ 27 w 64"/>
              <a:gd name="T39" fmla="*/ 64 h 71"/>
              <a:gd name="T40" fmla="*/ 38 w 64"/>
              <a:gd name="T41" fmla="*/ 55 h 71"/>
              <a:gd name="T42" fmla="*/ 54 w 64"/>
              <a:gd name="T43" fmla="*/ 33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4" h="71">
                <a:moveTo>
                  <a:pt x="54" y="33"/>
                </a:moveTo>
                <a:cubicBezTo>
                  <a:pt x="55" y="31"/>
                  <a:pt x="57" y="29"/>
                  <a:pt x="58" y="27"/>
                </a:cubicBezTo>
                <a:cubicBezTo>
                  <a:pt x="60" y="22"/>
                  <a:pt x="60" y="22"/>
                  <a:pt x="60" y="22"/>
                </a:cubicBezTo>
                <a:cubicBezTo>
                  <a:pt x="62" y="19"/>
                  <a:pt x="63" y="17"/>
                  <a:pt x="64" y="14"/>
                </a:cubicBezTo>
                <a:cubicBezTo>
                  <a:pt x="64" y="14"/>
                  <a:pt x="63" y="13"/>
                  <a:pt x="63" y="12"/>
                </a:cubicBezTo>
                <a:cubicBezTo>
                  <a:pt x="62" y="9"/>
                  <a:pt x="60" y="5"/>
                  <a:pt x="60" y="2"/>
                </a:cubicBezTo>
                <a:cubicBezTo>
                  <a:pt x="59" y="1"/>
                  <a:pt x="59" y="1"/>
                  <a:pt x="59" y="0"/>
                </a:cubicBezTo>
                <a:cubicBezTo>
                  <a:pt x="56" y="4"/>
                  <a:pt x="52" y="9"/>
                  <a:pt x="49" y="13"/>
                </a:cubicBezTo>
                <a:cubicBezTo>
                  <a:pt x="47" y="17"/>
                  <a:pt x="44" y="21"/>
                  <a:pt x="42" y="25"/>
                </a:cubicBezTo>
                <a:cubicBezTo>
                  <a:pt x="38" y="31"/>
                  <a:pt x="38" y="31"/>
                  <a:pt x="38" y="31"/>
                </a:cubicBezTo>
                <a:cubicBezTo>
                  <a:pt x="37" y="33"/>
                  <a:pt x="35" y="35"/>
                  <a:pt x="34" y="37"/>
                </a:cubicBezTo>
                <a:cubicBezTo>
                  <a:pt x="28" y="45"/>
                  <a:pt x="21" y="53"/>
                  <a:pt x="13" y="60"/>
                </a:cubicBezTo>
                <a:cubicBezTo>
                  <a:pt x="9" y="63"/>
                  <a:pt x="5" y="66"/>
                  <a:pt x="0" y="68"/>
                </a:cubicBezTo>
                <a:cubicBezTo>
                  <a:pt x="0" y="68"/>
                  <a:pt x="0" y="68"/>
                  <a:pt x="0" y="68"/>
                </a:cubicBezTo>
                <a:cubicBezTo>
                  <a:pt x="0" y="68"/>
                  <a:pt x="0" y="69"/>
                  <a:pt x="0" y="69"/>
                </a:cubicBezTo>
                <a:cubicBezTo>
                  <a:pt x="2" y="70"/>
                  <a:pt x="5" y="71"/>
                  <a:pt x="7" y="71"/>
                </a:cubicBezTo>
                <a:cubicBezTo>
                  <a:pt x="10" y="71"/>
                  <a:pt x="12" y="70"/>
                  <a:pt x="15" y="70"/>
                </a:cubicBezTo>
                <a:cubicBezTo>
                  <a:pt x="16" y="70"/>
                  <a:pt x="17" y="69"/>
                  <a:pt x="18" y="69"/>
                </a:cubicBezTo>
                <a:cubicBezTo>
                  <a:pt x="19" y="68"/>
                  <a:pt x="20" y="68"/>
                  <a:pt x="21" y="67"/>
                </a:cubicBezTo>
                <a:cubicBezTo>
                  <a:pt x="23" y="66"/>
                  <a:pt x="25" y="65"/>
                  <a:pt x="27" y="64"/>
                </a:cubicBezTo>
                <a:cubicBezTo>
                  <a:pt x="31" y="61"/>
                  <a:pt x="35" y="58"/>
                  <a:pt x="38" y="55"/>
                </a:cubicBezTo>
                <a:cubicBezTo>
                  <a:pt x="45" y="49"/>
                  <a:pt x="50" y="41"/>
                  <a:pt x="54" y="33"/>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4" name="Freeform 23">
            <a:extLst>
              <a:ext uri="{FF2B5EF4-FFF2-40B4-BE49-F238E27FC236}">
                <a16:creationId xmlns:a16="http://schemas.microsoft.com/office/drawing/2014/main" id="{00000000-0008-0000-0100-000018000000}"/>
              </a:ext>
            </a:extLst>
          </xdr:cNvPr>
          <xdr:cNvSpPr>
            <a:spLocks/>
          </xdr:cNvSpPr>
        </xdr:nvSpPr>
        <xdr:spPr bwMode="auto">
          <a:xfrm>
            <a:off x="2587625" y="2376488"/>
            <a:ext cx="114300" cy="128588"/>
          </a:xfrm>
          <a:custGeom>
            <a:avLst/>
            <a:gdLst>
              <a:gd name="T0" fmla="*/ 45 w 49"/>
              <a:gd name="T1" fmla="*/ 16 h 55"/>
              <a:gd name="T2" fmla="*/ 47 w 49"/>
              <a:gd name="T3" fmla="*/ 10 h 55"/>
              <a:gd name="T4" fmla="*/ 49 w 49"/>
              <a:gd name="T5" fmla="*/ 6 h 55"/>
              <a:gd name="T6" fmla="*/ 43 w 49"/>
              <a:gd name="T7" fmla="*/ 4 h 55"/>
              <a:gd name="T8" fmla="*/ 38 w 49"/>
              <a:gd name="T9" fmla="*/ 0 h 55"/>
              <a:gd name="T10" fmla="*/ 38 w 49"/>
              <a:gd name="T11" fmla="*/ 0 h 55"/>
              <a:gd name="T12" fmla="*/ 33 w 49"/>
              <a:gd name="T13" fmla="*/ 9 h 55"/>
              <a:gd name="T14" fmla="*/ 30 w 49"/>
              <a:gd name="T15" fmla="*/ 15 h 55"/>
              <a:gd name="T16" fmla="*/ 27 w 49"/>
              <a:gd name="T17" fmla="*/ 21 h 55"/>
              <a:gd name="T18" fmla="*/ 12 w 49"/>
              <a:gd name="T19" fmla="*/ 44 h 55"/>
              <a:gd name="T20" fmla="*/ 1 w 49"/>
              <a:gd name="T21" fmla="*/ 53 h 55"/>
              <a:gd name="T22" fmla="*/ 0 w 49"/>
              <a:gd name="T23" fmla="*/ 54 h 55"/>
              <a:gd name="T24" fmla="*/ 1 w 49"/>
              <a:gd name="T25" fmla="*/ 54 h 55"/>
              <a:gd name="T26" fmla="*/ 8 w 49"/>
              <a:gd name="T27" fmla="*/ 55 h 55"/>
              <a:gd name="T28" fmla="*/ 14 w 49"/>
              <a:gd name="T29" fmla="*/ 53 h 55"/>
              <a:gd name="T30" fmla="*/ 17 w 49"/>
              <a:gd name="T31" fmla="*/ 52 h 55"/>
              <a:gd name="T32" fmla="*/ 20 w 49"/>
              <a:gd name="T33" fmla="*/ 50 h 55"/>
              <a:gd name="T34" fmla="*/ 25 w 49"/>
              <a:gd name="T35" fmla="*/ 46 h 55"/>
              <a:gd name="T36" fmla="*/ 33 w 49"/>
              <a:gd name="T37" fmla="*/ 37 h 55"/>
              <a:gd name="T38" fmla="*/ 45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5" y="16"/>
                </a:moveTo>
                <a:cubicBezTo>
                  <a:pt x="46" y="14"/>
                  <a:pt x="47" y="12"/>
                  <a:pt x="47" y="10"/>
                </a:cubicBezTo>
                <a:cubicBezTo>
                  <a:pt x="49" y="6"/>
                  <a:pt x="49" y="6"/>
                  <a:pt x="49" y="6"/>
                </a:cubicBezTo>
                <a:cubicBezTo>
                  <a:pt x="47" y="5"/>
                  <a:pt x="45" y="5"/>
                  <a:pt x="43" y="4"/>
                </a:cubicBezTo>
                <a:cubicBezTo>
                  <a:pt x="41" y="3"/>
                  <a:pt x="39" y="2"/>
                  <a:pt x="38" y="0"/>
                </a:cubicBezTo>
                <a:cubicBezTo>
                  <a:pt x="38" y="0"/>
                  <a:pt x="38" y="0"/>
                  <a:pt x="38" y="0"/>
                </a:cubicBezTo>
                <a:cubicBezTo>
                  <a:pt x="36" y="3"/>
                  <a:pt x="35" y="6"/>
                  <a:pt x="33" y="9"/>
                </a:cubicBezTo>
                <a:cubicBezTo>
                  <a:pt x="30" y="15"/>
                  <a:pt x="30" y="15"/>
                  <a:pt x="30" y="15"/>
                </a:cubicBezTo>
                <a:cubicBezTo>
                  <a:pt x="29" y="17"/>
                  <a:pt x="28" y="19"/>
                  <a:pt x="27" y="21"/>
                </a:cubicBezTo>
                <a:cubicBezTo>
                  <a:pt x="23" y="29"/>
                  <a:pt x="18" y="37"/>
                  <a:pt x="12" y="44"/>
                </a:cubicBezTo>
                <a:cubicBezTo>
                  <a:pt x="9" y="47"/>
                  <a:pt x="5" y="50"/>
                  <a:pt x="1" y="53"/>
                </a:cubicBezTo>
                <a:cubicBezTo>
                  <a:pt x="1" y="53"/>
                  <a:pt x="1" y="54"/>
                  <a:pt x="0" y="54"/>
                </a:cubicBezTo>
                <a:cubicBezTo>
                  <a:pt x="0" y="54"/>
                  <a:pt x="1" y="54"/>
                  <a:pt x="1" y="54"/>
                </a:cubicBezTo>
                <a:cubicBezTo>
                  <a:pt x="3" y="55"/>
                  <a:pt x="5" y="55"/>
                  <a:pt x="8" y="55"/>
                </a:cubicBezTo>
                <a:cubicBezTo>
                  <a:pt x="10" y="55"/>
                  <a:pt x="12" y="54"/>
                  <a:pt x="14" y="53"/>
                </a:cubicBezTo>
                <a:cubicBezTo>
                  <a:pt x="15" y="53"/>
                  <a:pt x="16" y="52"/>
                  <a:pt x="17" y="52"/>
                </a:cubicBezTo>
                <a:cubicBezTo>
                  <a:pt x="18" y="51"/>
                  <a:pt x="19" y="51"/>
                  <a:pt x="20" y="50"/>
                </a:cubicBezTo>
                <a:cubicBezTo>
                  <a:pt x="21" y="49"/>
                  <a:pt x="23" y="48"/>
                  <a:pt x="25" y="46"/>
                </a:cubicBezTo>
                <a:cubicBezTo>
                  <a:pt x="28" y="44"/>
                  <a:pt x="31" y="41"/>
                  <a:pt x="33" y="37"/>
                </a:cubicBezTo>
                <a:cubicBezTo>
                  <a:pt x="38" y="31"/>
                  <a:pt x="42" y="23"/>
                  <a:pt x="45"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5" name="Freeform 24">
            <a:extLst>
              <a:ext uri="{FF2B5EF4-FFF2-40B4-BE49-F238E27FC236}">
                <a16:creationId xmlns:a16="http://schemas.microsoft.com/office/drawing/2014/main" id="{00000000-0008-0000-0100-000019000000}"/>
              </a:ext>
            </a:extLst>
          </xdr:cNvPr>
          <xdr:cNvSpPr>
            <a:spLocks/>
          </xdr:cNvSpPr>
        </xdr:nvSpPr>
        <xdr:spPr bwMode="auto">
          <a:xfrm>
            <a:off x="2651125" y="2381250"/>
            <a:ext cx="87313" cy="119063"/>
          </a:xfrm>
          <a:custGeom>
            <a:avLst/>
            <a:gdLst>
              <a:gd name="T0" fmla="*/ 6 w 37"/>
              <a:gd name="T1" fmla="*/ 51 h 51"/>
              <a:gd name="T2" fmla="*/ 12 w 37"/>
              <a:gd name="T3" fmla="*/ 48 h 51"/>
              <a:gd name="T4" fmla="*/ 14 w 37"/>
              <a:gd name="T5" fmla="*/ 47 h 51"/>
              <a:gd name="T6" fmla="*/ 16 w 37"/>
              <a:gd name="T7" fmla="*/ 45 h 51"/>
              <a:gd name="T8" fmla="*/ 20 w 37"/>
              <a:gd name="T9" fmla="*/ 41 h 51"/>
              <a:gd name="T10" fmla="*/ 27 w 37"/>
              <a:gd name="T11" fmla="*/ 32 h 51"/>
              <a:gd name="T12" fmla="*/ 35 w 37"/>
              <a:gd name="T13" fmla="*/ 11 h 51"/>
              <a:gd name="T14" fmla="*/ 36 w 37"/>
              <a:gd name="T15" fmla="*/ 5 h 51"/>
              <a:gd name="T16" fmla="*/ 37 w 37"/>
              <a:gd name="T17" fmla="*/ 0 h 51"/>
              <a:gd name="T18" fmla="*/ 35 w 37"/>
              <a:gd name="T19" fmla="*/ 2 h 51"/>
              <a:gd name="T20" fmla="*/ 26 w 37"/>
              <a:gd name="T21" fmla="*/ 4 h 51"/>
              <a:gd name="T22" fmla="*/ 24 w 37"/>
              <a:gd name="T23" fmla="*/ 4 h 51"/>
              <a:gd name="T24" fmla="*/ 23 w 37"/>
              <a:gd name="T25" fmla="*/ 6 h 51"/>
              <a:gd name="T26" fmla="*/ 22 w 37"/>
              <a:gd name="T27" fmla="*/ 12 h 51"/>
              <a:gd name="T28" fmla="*/ 20 w 37"/>
              <a:gd name="T29" fmla="*/ 18 h 51"/>
              <a:gd name="T30" fmla="*/ 9 w 37"/>
              <a:gd name="T31" fmla="*/ 40 h 51"/>
              <a:gd name="T32" fmla="*/ 0 w 37"/>
              <a:gd name="T33" fmla="*/ 50 h 51"/>
              <a:gd name="T34" fmla="*/ 0 w 37"/>
              <a:gd name="T35" fmla="*/ 51 h 51"/>
              <a:gd name="T36" fmla="*/ 0 w 37"/>
              <a:gd name="T37" fmla="*/ 51 h 51"/>
              <a:gd name="T38" fmla="*/ 6 w 37"/>
              <a:gd name="T39"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7" h="51">
                <a:moveTo>
                  <a:pt x="6" y="51"/>
                </a:moveTo>
                <a:cubicBezTo>
                  <a:pt x="8" y="50"/>
                  <a:pt x="10" y="49"/>
                  <a:pt x="12" y="48"/>
                </a:cubicBezTo>
                <a:cubicBezTo>
                  <a:pt x="12" y="48"/>
                  <a:pt x="13" y="48"/>
                  <a:pt x="14" y="47"/>
                </a:cubicBezTo>
                <a:cubicBezTo>
                  <a:pt x="15" y="46"/>
                  <a:pt x="15" y="46"/>
                  <a:pt x="16" y="45"/>
                </a:cubicBezTo>
                <a:cubicBezTo>
                  <a:pt x="17" y="44"/>
                  <a:pt x="19" y="43"/>
                  <a:pt x="20" y="41"/>
                </a:cubicBezTo>
                <a:cubicBezTo>
                  <a:pt x="23" y="38"/>
                  <a:pt x="25" y="35"/>
                  <a:pt x="27" y="32"/>
                </a:cubicBezTo>
                <a:cubicBezTo>
                  <a:pt x="30" y="25"/>
                  <a:pt x="33" y="18"/>
                  <a:pt x="35" y="11"/>
                </a:cubicBezTo>
                <a:cubicBezTo>
                  <a:pt x="35" y="9"/>
                  <a:pt x="36" y="7"/>
                  <a:pt x="36" y="5"/>
                </a:cubicBezTo>
                <a:cubicBezTo>
                  <a:pt x="37" y="0"/>
                  <a:pt x="37" y="0"/>
                  <a:pt x="37" y="0"/>
                </a:cubicBezTo>
                <a:cubicBezTo>
                  <a:pt x="37" y="1"/>
                  <a:pt x="36" y="1"/>
                  <a:pt x="35" y="2"/>
                </a:cubicBezTo>
                <a:cubicBezTo>
                  <a:pt x="32" y="3"/>
                  <a:pt x="29" y="3"/>
                  <a:pt x="26" y="4"/>
                </a:cubicBezTo>
                <a:cubicBezTo>
                  <a:pt x="26" y="4"/>
                  <a:pt x="25" y="4"/>
                  <a:pt x="24" y="4"/>
                </a:cubicBezTo>
                <a:cubicBezTo>
                  <a:pt x="24" y="5"/>
                  <a:pt x="24" y="6"/>
                  <a:pt x="23" y="6"/>
                </a:cubicBezTo>
                <a:cubicBezTo>
                  <a:pt x="22" y="12"/>
                  <a:pt x="22" y="12"/>
                  <a:pt x="22" y="12"/>
                </a:cubicBezTo>
                <a:cubicBezTo>
                  <a:pt x="21" y="14"/>
                  <a:pt x="20" y="16"/>
                  <a:pt x="20" y="18"/>
                </a:cubicBezTo>
                <a:cubicBezTo>
                  <a:pt x="17" y="26"/>
                  <a:pt x="13" y="33"/>
                  <a:pt x="9" y="40"/>
                </a:cubicBezTo>
                <a:cubicBezTo>
                  <a:pt x="6" y="44"/>
                  <a:pt x="3" y="47"/>
                  <a:pt x="0" y="50"/>
                </a:cubicBezTo>
                <a:cubicBezTo>
                  <a:pt x="0" y="50"/>
                  <a:pt x="0" y="50"/>
                  <a:pt x="0" y="51"/>
                </a:cubicBezTo>
                <a:cubicBezTo>
                  <a:pt x="0" y="51"/>
                  <a:pt x="0" y="51"/>
                  <a:pt x="0" y="51"/>
                </a:cubicBezTo>
                <a:cubicBezTo>
                  <a:pt x="2" y="51"/>
                  <a:pt x="4" y="51"/>
                  <a:pt x="6"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6" name="Freeform 25">
            <a:extLst>
              <a:ext uri="{FF2B5EF4-FFF2-40B4-BE49-F238E27FC236}">
                <a16:creationId xmlns:a16="http://schemas.microsoft.com/office/drawing/2014/main" id="{00000000-0008-0000-0100-00001A000000}"/>
              </a:ext>
            </a:extLst>
          </xdr:cNvPr>
          <xdr:cNvSpPr>
            <a:spLocks/>
          </xdr:cNvSpPr>
        </xdr:nvSpPr>
        <xdr:spPr bwMode="auto">
          <a:xfrm>
            <a:off x="2838450" y="2206625"/>
            <a:ext cx="571500" cy="190500"/>
          </a:xfrm>
          <a:custGeom>
            <a:avLst/>
            <a:gdLst>
              <a:gd name="T0" fmla="*/ 242 w 243"/>
              <a:gd name="T1" fmla="*/ 51 h 81"/>
              <a:gd name="T2" fmla="*/ 240 w 243"/>
              <a:gd name="T3" fmla="*/ 46 h 81"/>
              <a:gd name="T4" fmla="*/ 236 w 243"/>
              <a:gd name="T5" fmla="*/ 54 h 81"/>
              <a:gd name="T6" fmla="*/ 230 w 243"/>
              <a:gd name="T7" fmla="*/ 59 h 81"/>
              <a:gd name="T8" fmla="*/ 215 w 243"/>
              <a:gd name="T9" fmla="*/ 61 h 81"/>
              <a:gd name="T10" fmla="*/ 207 w 243"/>
              <a:gd name="T11" fmla="*/ 60 h 81"/>
              <a:gd name="T12" fmla="*/ 198 w 243"/>
              <a:gd name="T13" fmla="*/ 58 h 81"/>
              <a:gd name="T14" fmla="*/ 182 w 243"/>
              <a:gd name="T15" fmla="*/ 52 h 81"/>
              <a:gd name="T16" fmla="*/ 150 w 243"/>
              <a:gd name="T17" fmla="*/ 35 h 81"/>
              <a:gd name="T18" fmla="*/ 142 w 243"/>
              <a:gd name="T19" fmla="*/ 30 h 81"/>
              <a:gd name="T20" fmla="*/ 138 w 243"/>
              <a:gd name="T21" fmla="*/ 28 h 81"/>
              <a:gd name="T22" fmla="*/ 134 w 243"/>
              <a:gd name="T23" fmla="*/ 25 h 81"/>
              <a:gd name="T24" fmla="*/ 116 w 243"/>
              <a:gd name="T25" fmla="*/ 16 h 81"/>
              <a:gd name="T26" fmla="*/ 97 w 243"/>
              <a:gd name="T27" fmla="*/ 8 h 81"/>
              <a:gd name="T28" fmla="*/ 76 w 243"/>
              <a:gd name="T29" fmla="*/ 2 h 81"/>
              <a:gd name="T30" fmla="*/ 53 w 243"/>
              <a:gd name="T31" fmla="*/ 1 h 81"/>
              <a:gd name="T32" fmla="*/ 41 w 243"/>
              <a:gd name="T33" fmla="*/ 4 h 81"/>
              <a:gd name="T34" fmla="*/ 30 w 243"/>
              <a:gd name="T35" fmla="*/ 11 h 81"/>
              <a:gd name="T36" fmla="*/ 26 w 243"/>
              <a:gd name="T37" fmla="*/ 16 h 81"/>
              <a:gd name="T38" fmla="*/ 22 w 243"/>
              <a:gd name="T39" fmla="*/ 21 h 81"/>
              <a:gd name="T40" fmla="*/ 19 w 243"/>
              <a:gd name="T41" fmla="*/ 33 h 81"/>
              <a:gd name="T42" fmla="*/ 19 w 243"/>
              <a:gd name="T43" fmla="*/ 44 h 81"/>
              <a:gd name="T44" fmla="*/ 20 w 243"/>
              <a:gd name="T45" fmla="*/ 54 h 81"/>
              <a:gd name="T46" fmla="*/ 20 w 243"/>
              <a:gd name="T47" fmla="*/ 63 h 81"/>
              <a:gd name="T48" fmla="*/ 17 w 243"/>
              <a:gd name="T49" fmla="*/ 69 h 81"/>
              <a:gd name="T50" fmla="*/ 9 w 243"/>
              <a:gd name="T51" fmla="*/ 73 h 81"/>
              <a:gd name="T52" fmla="*/ 0 w 243"/>
              <a:gd name="T53" fmla="*/ 73 h 81"/>
              <a:gd name="T54" fmla="*/ 9 w 243"/>
              <a:gd name="T55" fmla="*/ 76 h 81"/>
              <a:gd name="T56" fmla="*/ 20 w 243"/>
              <a:gd name="T57" fmla="*/ 74 h 81"/>
              <a:gd name="T58" fmla="*/ 24 w 243"/>
              <a:gd name="T59" fmla="*/ 70 h 81"/>
              <a:gd name="T60" fmla="*/ 27 w 243"/>
              <a:gd name="T61" fmla="*/ 65 h 81"/>
              <a:gd name="T62" fmla="*/ 30 w 243"/>
              <a:gd name="T63" fmla="*/ 55 h 81"/>
              <a:gd name="T64" fmla="*/ 32 w 243"/>
              <a:gd name="T65" fmla="*/ 45 h 81"/>
              <a:gd name="T66" fmla="*/ 34 w 243"/>
              <a:gd name="T67" fmla="*/ 36 h 81"/>
              <a:gd name="T68" fmla="*/ 37 w 243"/>
              <a:gd name="T69" fmla="*/ 30 h 81"/>
              <a:gd name="T70" fmla="*/ 42 w 243"/>
              <a:gd name="T71" fmla="*/ 25 h 81"/>
              <a:gd name="T72" fmla="*/ 55 w 243"/>
              <a:gd name="T73" fmla="*/ 23 h 81"/>
              <a:gd name="T74" fmla="*/ 70 w 243"/>
              <a:gd name="T75" fmla="*/ 26 h 81"/>
              <a:gd name="T76" fmla="*/ 102 w 243"/>
              <a:gd name="T77" fmla="*/ 43 h 81"/>
              <a:gd name="T78" fmla="*/ 118 w 243"/>
              <a:gd name="T79" fmla="*/ 52 h 81"/>
              <a:gd name="T80" fmla="*/ 126 w 243"/>
              <a:gd name="T81" fmla="*/ 57 h 81"/>
              <a:gd name="T82" fmla="*/ 135 w 243"/>
              <a:gd name="T83" fmla="*/ 62 h 81"/>
              <a:gd name="T84" fmla="*/ 174 w 243"/>
              <a:gd name="T85" fmla="*/ 78 h 81"/>
              <a:gd name="T86" fmla="*/ 195 w 243"/>
              <a:gd name="T87" fmla="*/ 81 h 81"/>
              <a:gd name="T88" fmla="*/ 206 w 243"/>
              <a:gd name="T89" fmla="*/ 81 h 81"/>
              <a:gd name="T90" fmla="*/ 212 w 243"/>
              <a:gd name="T91" fmla="*/ 80 h 81"/>
              <a:gd name="T92" fmla="*/ 217 w 243"/>
              <a:gd name="T93" fmla="*/ 79 h 81"/>
              <a:gd name="T94" fmla="*/ 228 w 243"/>
              <a:gd name="T95" fmla="*/ 75 h 81"/>
              <a:gd name="T96" fmla="*/ 238 w 243"/>
              <a:gd name="T97" fmla="*/ 68 h 81"/>
              <a:gd name="T98" fmla="*/ 242 w 243"/>
              <a:gd name="T99" fmla="*/ 56 h 81"/>
              <a:gd name="T100" fmla="*/ 242 w 243"/>
              <a:gd name="T101" fmla="*/ 51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242" y="51"/>
                </a:moveTo>
                <a:cubicBezTo>
                  <a:pt x="242" y="49"/>
                  <a:pt x="241" y="47"/>
                  <a:pt x="240" y="46"/>
                </a:cubicBezTo>
                <a:cubicBezTo>
                  <a:pt x="240" y="49"/>
                  <a:pt x="238" y="52"/>
                  <a:pt x="236" y="54"/>
                </a:cubicBezTo>
                <a:cubicBezTo>
                  <a:pt x="234" y="57"/>
                  <a:pt x="232" y="58"/>
                  <a:pt x="230" y="59"/>
                </a:cubicBezTo>
                <a:cubicBezTo>
                  <a:pt x="226" y="61"/>
                  <a:pt x="221" y="61"/>
                  <a:pt x="215" y="61"/>
                </a:cubicBezTo>
                <a:cubicBezTo>
                  <a:pt x="213" y="61"/>
                  <a:pt x="210" y="60"/>
                  <a:pt x="207" y="60"/>
                </a:cubicBezTo>
                <a:cubicBezTo>
                  <a:pt x="204" y="59"/>
                  <a:pt x="201" y="59"/>
                  <a:pt x="198" y="58"/>
                </a:cubicBezTo>
                <a:cubicBezTo>
                  <a:pt x="193" y="57"/>
                  <a:pt x="187" y="54"/>
                  <a:pt x="182" y="52"/>
                </a:cubicBezTo>
                <a:cubicBezTo>
                  <a:pt x="171" y="47"/>
                  <a:pt x="161" y="41"/>
                  <a:pt x="150" y="35"/>
                </a:cubicBezTo>
                <a:cubicBezTo>
                  <a:pt x="148" y="34"/>
                  <a:pt x="145" y="32"/>
                  <a:pt x="142" y="30"/>
                </a:cubicBezTo>
                <a:cubicBezTo>
                  <a:pt x="138" y="28"/>
                  <a:pt x="138" y="28"/>
                  <a:pt x="138" y="28"/>
                </a:cubicBezTo>
                <a:cubicBezTo>
                  <a:pt x="134" y="25"/>
                  <a:pt x="134" y="25"/>
                  <a:pt x="134" y="25"/>
                </a:cubicBezTo>
                <a:cubicBezTo>
                  <a:pt x="128" y="22"/>
                  <a:pt x="122" y="19"/>
                  <a:pt x="116" y="16"/>
                </a:cubicBezTo>
                <a:cubicBezTo>
                  <a:pt x="110" y="13"/>
                  <a:pt x="104" y="10"/>
                  <a:pt x="97" y="8"/>
                </a:cubicBezTo>
                <a:cubicBezTo>
                  <a:pt x="91" y="5"/>
                  <a:pt x="84" y="3"/>
                  <a:pt x="76" y="2"/>
                </a:cubicBezTo>
                <a:cubicBezTo>
                  <a:pt x="69" y="0"/>
                  <a:pt x="62" y="0"/>
                  <a:pt x="53" y="1"/>
                </a:cubicBezTo>
                <a:cubicBezTo>
                  <a:pt x="49" y="1"/>
                  <a:pt x="45" y="2"/>
                  <a:pt x="41" y="4"/>
                </a:cubicBezTo>
                <a:cubicBezTo>
                  <a:pt x="37" y="6"/>
                  <a:pt x="33" y="8"/>
                  <a:pt x="30" y="11"/>
                </a:cubicBezTo>
                <a:cubicBezTo>
                  <a:pt x="28" y="12"/>
                  <a:pt x="27" y="14"/>
                  <a:pt x="26" y="16"/>
                </a:cubicBezTo>
                <a:cubicBezTo>
                  <a:pt x="25" y="17"/>
                  <a:pt x="23" y="19"/>
                  <a:pt x="22" y="21"/>
                </a:cubicBezTo>
                <a:cubicBezTo>
                  <a:pt x="20" y="25"/>
                  <a:pt x="19" y="30"/>
                  <a:pt x="19" y="33"/>
                </a:cubicBezTo>
                <a:cubicBezTo>
                  <a:pt x="19" y="37"/>
                  <a:pt x="19" y="41"/>
                  <a:pt x="19" y="44"/>
                </a:cubicBezTo>
                <a:cubicBezTo>
                  <a:pt x="19" y="47"/>
                  <a:pt x="20" y="50"/>
                  <a:pt x="20" y="54"/>
                </a:cubicBezTo>
                <a:cubicBezTo>
                  <a:pt x="20" y="57"/>
                  <a:pt x="20" y="60"/>
                  <a:pt x="20" y="63"/>
                </a:cubicBezTo>
                <a:cubicBezTo>
                  <a:pt x="19" y="65"/>
                  <a:pt x="18" y="68"/>
                  <a:pt x="17" y="69"/>
                </a:cubicBezTo>
                <a:cubicBezTo>
                  <a:pt x="15" y="71"/>
                  <a:pt x="12" y="73"/>
                  <a:pt x="9" y="73"/>
                </a:cubicBezTo>
                <a:cubicBezTo>
                  <a:pt x="6" y="74"/>
                  <a:pt x="3" y="74"/>
                  <a:pt x="0" y="73"/>
                </a:cubicBezTo>
                <a:cubicBezTo>
                  <a:pt x="2" y="75"/>
                  <a:pt x="6" y="76"/>
                  <a:pt x="9" y="76"/>
                </a:cubicBezTo>
                <a:cubicBezTo>
                  <a:pt x="13" y="76"/>
                  <a:pt x="16" y="76"/>
                  <a:pt x="20" y="74"/>
                </a:cubicBezTo>
                <a:cubicBezTo>
                  <a:pt x="21" y="73"/>
                  <a:pt x="23" y="71"/>
                  <a:pt x="24" y="70"/>
                </a:cubicBezTo>
                <a:cubicBezTo>
                  <a:pt x="25" y="68"/>
                  <a:pt x="26" y="66"/>
                  <a:pt x="27" y="65"/>
                </a:cubicBezTo>
                <a:cubicBezTo>
                  <a:pt x="28" y="61"/>
                  <a:pt x="29" y="58"/>
                  <a:pt x="30" y="55"/>
                </a:cubicBezTo>
                <a:cubicBezTo>
                  <a:pt x="31" y="51"/>
                  <a:pt x="31" y="48"/>
                  <a:pt x="32" y="45"/>
                </a:cubicBezTo>
                <a:cubicBezTo>
                  <a:pt x="32" y="41"/>
                  <a:pt x="33" y="38"/>
                  <a:pt x="34" y="36"/>
                </a:cubicBezTo>
                <a:cubicBezTo>
                  <a:pt x="35" y="33"/>
                  <a:pt x="36" y="31"/>
                  <a:pt x="37" y="30"/>
                </a:cubicBezTo>
                <a:cubicBezTo>
                  <a:pt x="38" y="28"/>
                  <a:pt x="40" y="27"/>
                  <a:pt x="42" y="25"/>
                </a:cubicBezTo>
                <a:cubicBezTo>
                  <a:pt x="46" y="23"/>
                  <a:pt x="50" y="22"/>
                  <a:pt x="55" y="23"/>
                </a:cubicBezTo>
                <a:cubicBezTo>
                  <a:pt x="59" y="23"/>
                  <a:pt x="64" y="24"/>
                  <a:pt x="70" y="26"/>
                </a:cubicBezTo>
                <a:cubicBezTo>
                  <a:pt x="80" y="30"/>
                  <a:pt x="91" y="36"/>
                  <a:pt x="102" y="43"/>
                </a:cubicBezTo>
                <a:cubicBezTo>
                  <a:pt x="107" y="46"/>
                  <a:pt x="112" y="49"/>
                  <a:pt x="118" y="52"/>
                </a:cubicBezTo>
                <a:cubicBezTo>
                  <a:pt x="126" y="57"/>
                  <a:pt x="126" y="57"/>
                  <a:pt x="126" y="57"/>
                </a:cubicBezTo>
                <a:cubicBezTo>
                  <a:pt x="129" y="59"/>
                  <a:pt x="132" y="61"/>
                  <a:pt x="135" y="62"/>
                </a:cubicBezTo>
                <a:cubicBezTo>
                  <a:pt x="147" y="69"/>
                  <a:pt x="160" y="74"/>
                  <a:pt x="174" y="78"/>
                </a:cubicBezTo>
                <a:cubicBezTo>
                  <a:pt x="181" y="79"/>
                  <a:pt x="188" y="81"/>
                  <a:pt x="195" y="81"/>
                </a:cubicBezTo>
                <a:cubicBezTo>
                  <a:pt x="199" y="81"/>
                  <a:pt x="202" y="81"/>
                  <a:pt x="206" y="81"/>
                </a:cubicBezTo>
                <a:cubicBezTo>
                  <a:pt x="208" y="81"/>
                  <a:pt x="210" y="81"/>
                  <a:pt x="212" y="80"/>
                </a:cubicBezTo>
                <a:cubicBezTo>
                  <a:pt x="213" y="80"/>
                  <a:pt x="215" y="80"/>
                  <a:pt x="217" y="79"/>
                </a:cubicBezTo>
                <a:cubicBezTo>
                  <a:pt x="221" y="79"/>
                  <a:pt x="225" y="77"/>
                  <a:pt x="228" y="75"/>
                </a:cubicBezTo>
                <a:cubicBezTo>
                  <a:pt x="232" y="74"/>
                  <a:pt x="235" y="71"/>
                  <a:pt x="238" y="68"/>
                </a:cubicBezTo>
                <a:cubicBezTo>
                  <a:pt x="240" y="64"/>
                  <a:pt x="242" y="60"/>
                  <a:pt x="242" y="56"/>
                </a:cubicBezTo>
                <a:cubicBezTo>
                  <a:pt x="243" y="54"/>
                  <a:pt x="242" y="53"/>
                  <a:pt x="242"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7" name="Freeform 26">
            <a:extLst>
              <a:ext uri="{FF2B5EF4-FFF2-40B4-BE49-F238E27FC236}">
                <a16:creationId xmlns:a16="http://schemas.microsoft.com/office/drawing/2014/main" id="{00000000-0008-0000-0100-00001B000000}"/>
              </a:ext>
            </a:extLst>
          </xdr:cNvPr>
          <xdr:cNvSpPr>
            <a:spLocks/>
          </xdr:cNvSpPr>
        </xdr:nvSpPr>
        <xdr:spPr bwMode="auto">
          <a:xfrm>
            <a:off x="2941638" y="2268538"/>
            <a:ext cx="361950" cy="171450"/>
          </a:xfrm>
          <a:custGeom>
            <a:avLst/>
            <a:gdLst>
              <a:gd name="T0" fmla="*/ 131 w 154"/>
              <a:gd name="T1" fmla="*/ 60 h 73"/>
              <a:gd name="T2" fmla="*/ 93 w 154"/>
              <a:gd name="T3" fmla="*/ 43 h 73"/>
              <a:gd name="T4" fmla="*/ 84 w 154"/>
              <a:gd name="T5" fmla="*/ 38 h 73"/>
              <a:gd name="T6" fmla="*/ 76 w 154"/>
              <a:gd name="T7" fmla="*/ 32 h 73"/>
              <a:gd name="T8" fmla="*/ 61 w 154"/>
              <a:gd name="T9" fmla="*/ 22 h 73"/>
              <a:gd name="T10" fmla="*/ 29 w 154"/>
              <a:gd name="T11" fmla="*/ 4 h 73"/>
              <a:gd name="T12" fmla="*/ 14 w 154"/>
              <a:gd name="T13" fmla="*/ 0 h 73"/>
              <a:gd name="T14" fmla="*/ 1 w 154"/>
              <a:gd name="T15" fmla="*/ 2 h 73"/>
              <a:gd name="T16" fmla="*/ 0 w 154"/>
              <a:gd name="T17" fmla="*/ 4 h 73"/>
              <a:gd name="T18" fmla="*/ 1 w 154"/>
              <a:gd name="T19" fmla="*/ 4 h 73"/>
              <a:gd name="T20" fmla="*/ 10 w 154"/>
              <a:gd name="T21" fmla="*/ 8 h 73"/>
              <a:gd name="T22" fmla="*/ 37 w 154"/>
              <a:gd name="T23" fmla="*/ 27 h 73"/>
              <a:gd name="T24" fmla="*/ 50 w 154"/>
              <a:gd name="T25" fmla="*/ 37 h 73"/>
              <a:gd name="T26" fmla="*/ 56 w 154"/>
              <a:gd name="T27" fmla="*/ 43 h 73"/>
              <a:gd name="T28" fmla="*/ 64 w 154"/>
              <a:gd name="T29" fmla="*/ 48 h 73"/>
              <a:gd name="T30" fmla="*/ 96 w 154"/>
              <a:gd name="T31" fmla="*/ 67 h 73"/>
              <a:gd name="T32" fmla="*/ 115 w 154"/>
              <a:gd name="T33" fmla="*/ 72 h 73"/>
              <a:gd name="T34" fmla="*/ 124 w 154"/>
              <a:gd name="T35" fmla="*/ 73 h 73"/>
              <a:gd name="T36" fmla="*/ 129 w 154"/>
              <a:gd name="T37" fmla="*/ 73 h 73"/>
              <a:gd name="T38" fmla="*/ 134 w 154"/>
              <a:gd name="T39" fmla="*/ 73 h 73"/>
              <a:gd name="T40" fmla="*/ 145 w 154"/>
              <a:gd name="T41" fmla="*/ 70 h 73"/>
              <a:gd name="T42" fmla="*/ 154 w 154"/>
              <a:gd name="T43" fmla="*/ 64 h 73"/>
              <a:gd name="T44" fmla="*/ 154 w 154"/>
              <a:gd name="T45" fmla="*/ 64 h 73"/>
              <a:gd name="T46" fmla="*/ 152 w 154"/>
              <a:gd name="T47" fmla="*/ 64 h 73"/>
              <a:gd name="T48" fmla="*/ 131 w 154"/>
              <a:gd name="T49" fmla="*/ 60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131" y="60"/>
                </a:moveTo>
                <a:cubicBezTo>
                  <a:pt x="117" y="56"/>
                  <a:pt x="105" y="50"/>
                  <a:pt x="93" y="43"/>
                </a:cubicBezTo>
                <a:cubicBezTo>
                  <a:pt x="90" y="41"/>
                  <a:pt x="87" y="39"/>
                  <a:pt x="84" y="38"/>
                </a:cubicBezTo>
                <a:cubicBezTo>
                  <a:pt x="76" y="32"/>
                  <a:pt x="76" y="32"/>
                  <a:pt x="76" y="32"/>
                </a:cubicBezTo>
                <a:cubicBezTo>
                  <a:pt x="71" y="29"/>
                  <a:pt x="66" y="25"/>
                  <a:pt x="61" y="22"/>
                </a:cubicBezTo>
                <a:cubicBezTo>
                  <a:pt x="50" y="15"/>
                  <a:pt x="40" y="9"/>
                  <a:pt x="29" y="4"/>
                </a:cubicBezTo>
                <a:cubicBezTo>
                  <a:pt x="24" y="2"/>
                  <a:pt x="19" y="1"/>
                  <a:pt x="14" y="0"/>
                </a:cubicBezTo>
                <a:cubicBezTo>
                  <a:pt x="9" y="0"/>
                  <a:pt x="5" y="0"/>
                  <a:pt x="1" y="2"/>
                </a:cubicBezTo>
                <a:cubicBezTo>
                  <a:pt x="1" y="3"/>
                  <a:pt x="0" y="3"/>
                  <a:pt x="0" y="4"/>
                </a:cubicBezTo>
                <a:cubicBezTo>
                  <a:pt x="0" y="4"/>
                  <a:pt x="0" y="4"/>
                  <a:pt x="1" y="4"/>
                </a:cubicBezTo>
                <a:cubicBezTo>
                  <a:pt x="4" y="5"/>
                  <a:pt x="7" y="7"/>
                  <a:pt x="10" y="8"/>
                </a:cubicBezTo>
                <a:cubicBezTo>
                  <a:pt x="18" y="13"/>
                  <a:pt x="26" y="18"/>
                  <a:pt x="37" y="27"/>
                </a:cubicBezTo>
                <a:cubicBezTo>
                  <a:pt x="41" y="30"/>
                  <a:pt x="45" y="34"/>
                  <a:pt x="50" y="37"/>
                </a:cubicBezTo>
                <a:cubicBezTo>
                  <a:pt x="56" y="43"/>
                  <a:pt x="56" y="43"/>
                  <a:pt x="56" y="43"/>
                </a:cubicBezTo>
                <a:cubicBezTo>
                  <a:pt x="59" y="45"/>
                  <a:pt x="61" y="46"/>
                  <a:pt x="64" y="48"/>
                </a:cubicBezTo>
                <a:cubicBezTo>
                  <a:pt x="73" y="55"/>
                  <a:pt x="84" y="62"/>
                  <a:pt x="96" y="67"/>
                </a:cubicBezTo>
                <a:cubicBezTo>
                  <a:pt x="102" y="69"/>
                  <a:pt x="108" y="71"/>
                  <a:pt x="115" y="72"/>
                </a:cubicBezTo>
                <a:cubicBezTo>
                  <a:pt x="118" y="72"/>
                  <a:pt x="121" y="73"/>
                  <a:pt x="124" y="73"/>
                </a:cubicBezTo>
                <a:cubicBezTo>
                  <a:pt x="126" y="73"/>
                  <a:pt x="128" y="73"/>
                  <a:pt x="129" y="73"/>
                </a:cubicBezTo>
                <a:cubicBezTo>
                  <a:pt x="131" y="73"/>
                  <a:pt x="133" y="73"/>
                  <a:pt x="134" y="73"/>
                </a:cubicBezTo>
                <a:cubicBezTo>
                  <a:pt x="138" y="73"/>
                  <a:pt x="141" y="72"/>
                  <a:pt x="145" y="70"/>
                </a:cubicBezTo>
                <a:cubicBezTo>
                  <a:pt x="148" y="69"/>
                  <a:pt x="151" y="67"/>
                  <a:pt x="154" y="64"/>
                </a:cubicBezTo>
                <a:cubicBezTo>
                  <a:pt x="154" y="64"/>
                  <a:pt x="154" y="64"/>
                  <a:pt x="154" y="64"/>
                </a:cubicBezTo>
                <a:cubicBezTo>
                  <a:pt x="153" y="64"/>
                  <a:pt x="153" y="64"/>
                  <a:pt x="152" y="64"/>
                </a:cubicBezTo>
                <a:cubicBezTo>
                  <a:pt x="145" y="63"/>
                  <a:pt x="138" y="62"/>
                  <a:pt x="131" y="6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27">
            <a:extLst>
              <a:ext uri="{FF2B5EF4-FFF2-40B4-BE49-F238E27FC236}">
                <a16:creationId xmlns:a16="http://schemas.microsoft.com/office/drawing/2014/main" id="{00000000-0008-0000-0100-00001C000000}"/>
              </a:ext>
            </a:extLst>
          </xdr:cNvPr>
          <xdr:cNvSpPr>
            <a:spLocks/>
          </xdr:cNvSpPr>
        </xdr:nvSpPr>
        <xdr:spPr bwMode="auto">
          <a:xfrm>
            <a:off x="2928938" y="2281238"/>
            <a:ext cx="285750" cy="188913"/>
          </a:xfrm>
          <a:custGeom>
            <a:avLst/>
            <a:gdLst>
              <a:gd name="T0" fmla="*/ 102 w 122"/>
              <a:gd name="T1" fmla="*/ 68 h 80"/>
              <a:gd name="T2" fmla="*/ 71 w 122"/>
              <a:gd name="T3" fmla="*/ 49 h 80"/>
              <a:gd name="T4" fmla="*/ 64 w 122"/>
              <a:gd name="T5" fmla="*/ 43 h 80"/>
              <a:gd name="T6" fmla="*/ 57 w 122"/>
              <a:gd name="T7" fmla="*/ 37 h 80"/>
              <a:gd name="T8" fmla="*/ 44 w 122"/>
              <a:gd name="T9" fmla="*/ 26 h 80"/>
              <a:gd name="T10" fmla="*/ 19 w 122"/>
              <a:gd name="T11" fmla="*/ 7 h 80"/>
              <a:gd name="T12" fmla="*/ 6 w 122"/>
              <a:gd name="T13" fmla="*/ 1 h 80"/>
              <a:gd name="T14" fmla="*/ 2 w 122"/>
              <a:gd name="T15" fmla="*/ 0 h 80"/>
              <a:gd name="T16" fmla="*/ 2 w 122"/>
              <a:gd name="T17" fmla="*/ 1 h 80"/>
              <a:gd name="T18" fmla="*/ 1 w 122"/>
              <a:gd name="T19" fmla="*/ 3 h 80"/>
              <a:gd name="T20" fmla="*/ 0 w 122"/>
              <a:gd name="T21" fmla="*/ 7 h 80"/>
              <a:gd name="T22" fmla="*/ 1 w 122"/>
              <a:gd name="T23" fmla="*/ 8 h 80"/>
              <a:gd name="T24" fmla="*/ 23 w 122"/>
              <a:gd name="T25" fmla="*/ 28 h 80"/>
              <a:gd name="T26" fmla="*/ 33 w 122"/>
              <a:gd name="T27" fmla="*/ 39 h 80"/>
              <a:gd name="T28" fmla="*/ 39 w 122"/>
              <a:gd name="T29" fmla="*/ 44 h 80"/>
              <a:gd name="T30" fmla="*/ 44 w 122"/>
              <a:gd name="T31" fmla="*/ 50 h 80"/>
              <a:gd name="T32" fmla="*/ 71 w 122"/>
              <a:gd name="T33" fmla="*/ 71 h 80"/>
              <a:gd name="T34" fmla="*/ 87 w 122"/>
              <a:gd name="T35" fmla="*/ 77 h 80"/>
              <a:gd name="T36" fmla="*/ 95 w 122"/>
              <a:gd name="T37" fmla="*/ 79 h 80"/>
              <a:gd name="T38" fmla="*/ 99 w 122"/>
              <a:gd name="T39" fmla="*/ 80 h 80"/>
              <a:gd name="T40" fmla="*/ 104 w 122"/>
              <a:gd name="T41" fmla="*/ 80 h 80"/>
              <a:gd name="T42" fmla="*/ 113 w 122"/>
              <a:gd name="T43" fmla="*/ 79 h 80"/>
              <a:gd name="T44" fmla="*/ 122 w 122"/>
              <a:gd name="T45" fmla="*/ 75 h 80"/>
              <a:gd name="T46" fmla="*/ 122 w 122"/>
              <a:gd name="T47" fmla="*/ 75 h 80"/>
              <a:gd name="T48" fmla="*/ 122 w 122"/>
              <a:gd name="T49" fmla="*/ 75 h 80"/>
              <a:gd name="T50" fmla="*/ 121 w 122"/>
              <a:gd name="T51" fmla="*/ 74 h 80"/>
              <a:gd name="T52" fmla="*/ 102 w 122"/>
              <a:gd name="T53" fmla="*/ 68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102" y="68"/>
                </a:moveTo>
                <a:cubicBezTo>
                  <a:pt x="91" y="63"/>
                  <a:pt x="80" y="56"/>
                  <a:pt x="71" y="49"/>
                </a:cubicBezTo>
                <a:cubicBezTo>
                  <a:pt x="68" y="47"/>
                  <a:pt x="66" y="45"/>
                  <a:pt x="64" y="43"/>
                </a:cubicBezTo>
                <a:cubicBezTo>
                  <a:pt x="57" y="37"/>
                  <a:pt x="57" y="37"/>
                  <a:pt x="57" y="37"/>
                </a:cubicBezTo>
                <a:cubicBezTo>
                  <a:pt x="53" y="33"/>
                  <a:pt x="49" y="29"/>
                  <a:pt x="44" y="26"/>
                </a:cubicBezTo>
                <a:cubicBezTo>
                  <a:pt x="36" y="19"/>
                  <a:pt x="27" y="12"/>
                  <a:pt x="19" y="7"/>
                </a:cubicBezTo>
                <a:cubicBezTo>
                  <a:pt x="14" y="4"/>
                  <a:pt x="10" y="2"/>
                  <a:pt x="6" y="1"/>
                </a:cubicBezTo>
                <a:cubicBezTo>
                  <a:pt x="5" y="1"/>
                  <a:pt x="4" y="1"/>
                  <a:pt x="2" y="0"/>
                </a:cubicBezTo>
                <a:cubicBezTo>
                  <a:pt x="2" y="0"/>
                  <a:pt x="2" y="1"/>
                  <a:pt x="2" y="1"/>
                </a:cubicBezTo>
                <a:cubicBezTo>
                  <a:pt x="2" y="1"/>
                  <a:pt x="1" y="2"/>
                  <a:pt x="1" y="3"/>
                </a:cubicBezTo>
                <a:cubicBezTo>
                  <a:pt x="0" y="4"/>
                  <a:pt x="0" y="6"/>
                  <a:pt x="0" y="7"/>
                </a:cubicBezTo>
                <a:cubicBezTo>
                  <a:pt x="0" y="7"/>
                  <a:pt x="1" y="8"/>
                  <a:pt x="1" y="8"/>
                </a:cubicBezTo>
                <a:cubicBezTo>
                  <a:pt x="9" y="13"/>
                  <a:pt x="16" y="20"/>
                  <a:pt x="23" y="28"/>
                </a:cubicBezTo>
                <a:cubicBezTo>
                  <a:pt x="26" y="31"/>
                  <a:pt x="30" y="35"/>
                  <a:pt x="33" y="39"/>
                </a:cubicBezTo>
                <a:cubicBezTo>
                  <a:pt x="39" y="44"/>
                  <a:pt x="39" y="44"/>
                  <a:pt x="39" y="44"/>
                </a:cubicBezTo>
                <a:cubicBezTo>
                  <a:pt x="40" y="46"/>
                  <a:pt x="42" y="48"/>
                  <a:pt x="44" y="50"/>
                </a:cubicBezTo>
                <a:cubicBezTo>
                  <a:pt x="52" y="58"/>
                  <a:pt x="61" y="65"/>
                  <a:pt x="71" y="71"/>
                </a:cubicBezTo>
                <a:cubicBezTo>
                  <a:pt x="76" y="73"/>
                  <a:pt x="81" y="76"/>
                  <a:pt x="87" y="77"/>
                </a:cubicBezTo>
                <a:cubicBezTo>
                  <a:pt x="89" y="78"/>
                  <a:pt x="92" y="79"/>
                  <a:pt x="95" y="79"/>
                </a:cubicBezTo>
                <a:cubicBezTo>
                  <a:pt x="97" y="80"/>
                  <a:pt x="98" y="80"/>
                  <a:pt x="99" y="80"/>
                </a:cubicBezTo>
                <a:cubicBezTo>
                  <a:pt x="101" y="80"/>
                  <a:pt x="102" y="80"/>
                  <a:pt x="104" y="80"/>
                </a:cubicBezTo>
                <a:cubicBezTo>
                  <a:pt x="107" y="80"/>
                  <a:pt x="110" y="80"/>
                  <a:pt x="113" y="79"/>
                </a:cubicBezTo>
                <a:cubicBezTo>
                  <a:pt x="117" y="78"/>
                  <a:pt x="120" y="76"/>
                  <a:pt x="122" y="75"/>
                </a:cubicBezTo>
                <a:cubicBezTo>
                  <a:pt x="122" y="75"/>
                  <a:pt x="122" y="75"/>
                  <a:pt x="122" y="75"/>
                </a:cubicBezTo>
                <a:cubicBezTo>
                  <a:pt x="122" y="75"/>
                  <a:pt x="122" y="75"/>
                  <a:pt x="122" y="75"/>
                </a:cubicBezTo>
                <a:cubicBezTo>
                  <a:pt x="122" y="75"/>
                  <a:pt x="121" y="74"/>
                  <a:pt x="121" y="74"/>
                </a:cubicBezTo>
                <a:cubicBezTo>
                  <a:pt x="114" y="73"/>
                  <a:pt x="108" y="71"/>
                  <a:pt x="102"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9" name="Freeform 28">
            <a:extLst>
              <a:ext uri="{FF2B5EF4-FFF2-40B4-BE49-F238E27FC236}">
                <a16:creationId xmlns:a16="http://schemas.microsoft.com/office/drawing/2014/main" id="{00000000-0008-0000-0100-00001D000000}"/>
              </a:ext>
            </a:extLst>
          </xdr:cNvPr>
          <xdr:cNvSpPr>
            <a:spLocks/>
          </xdr:cNvSpPr>
        </xdr:nvSpPr>
        <xdr:spPr bwMode="auto">
          <a:xfrm>
            <a:off x="2919413" y="2303463"/>
            <a:ext cx="212725" cy="187325"/>
          </a:xfrm>
          <a:custGeom>
            <a:avLst/>
            <a:gdLst>
              <a:gd name="T0" fmla="*/ 74 w 91"/>
              <a:gd name="T1" fmla="*/ 69 h 80"/>
              <a:gd name="T2" fmla="*/ 48 w 91"/>
              <a:gd name="T3" fmla="*/ 47 h 80"/>
              <a:gd name="T4" fmla="*/ 43 w 91"/>
              <a:gd name="T5" fmla="*/ 41 h 80"/>
              <a:gd name="T6" fmla="*/ 38 w 91"/>
              <a:gd name="T7" fmla="*/ 35 h 80"/>
              <a:gd name="T8" fmla="*/ 28 w 91"/>
              <a:gd name="T9" fmla="*/ 24 h 80"/>
              <a:gd name="T10" fmla="*/ 7 w 91"/>
              <a:gd name="T11" fmla="*/ 3 h 80"/>
              <a:gd name="T12" fmla="*/ 2 w 91"/>
              <a:gd name="T13" fmla="*/ 0 h 80"/>
              <a:gd name="T14" fmla="*/ 1 w 91"/>
              <a:gd name="T15" fmla="*/ 6 h 80"/>
              <a:gd name="T16" fmla="*/ 0 w 91"/>
              <a:gd name="T17" fmla="*/ 11 h 80"/>
              <a:gd name="T18" fmla="*/ 8 w 91"/>
              <a:gd name="T19" fmla="*/ 23 h 80"/>
              <a:gd name="T20" fmla="*/ 16 w 91"/>
              <a:gd name="T21" fmla="*/ 34 h 80"/>
              <a:gd name="T22" fmla="*/ 20 w 91"/>
              <a:gd name="T23" fmla="*/ 40 h 80"/>
              <a:gd name="T24" fmla="*/ 25 w 91"/>
              <a:gd name="T25" fmla="*/ 46 h 80"/>
              <a:gd name="T26" fmla="*/ 46 w 91"/>
              <a:gd name="T27" fmla="*/ 67 h 80"/>
              <a:gd name="T28" fmla="*/ 59 w 91"/>
              <a:gd name="T29" fmla="*/ 75 h 80"/>
              <a:gd name="T30" fmla="*/ 67 w 91"/>
              <a:gd name="T31" fmla="*/ 78 h 80"/>
              <a:gd name="T32" fmla="*/ 70 w 91"/>
              <a:gd name="T33" fmla="*/ 79 h 80"/>
              <a:gd name="T34" fmla="*/ 74 w 91"/>
              <a:gd name="T35" fmla="*/ 80 h 80"/>
              <a:gd name="T36" fmla="*/ 83 w 91"/>
              <a:gd name="T37" fmla="*/ 80 h 80"/>
              <a:gd name="T38" fmla="*/ 91 w 91"/>
              <a:gd name="T39" fmla="*/ 77 h 80"/>
              <a:gd name="T40" fmla="*/ 91 w 91"/>
              <a:gd name="T41" fmla="*/ 77 h 80"/>
              <a:gd name="T42" fmla="*/ 90 w 91"/>
              <a:gd name="T43" fmla="*/ 76 h 80"/>
              <a:gd name="T44" fmla="*/ 74 w 91"/>
              <a:gd name="T45" fmla="*/ 69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74" y="69"/>
                </a:moveTo>
                <a:cubicBezTo>
                  <a:pt x="64" y="63"/>
                  <a:pt x="56" y="55"/>
                  <a:pt x="48" y="47"/>
                </a:cubicBezTo>
                <a:cubicBezTo>
                  <a:pt x="47" y="45"/>
                  <a:pt x="45" y="43"/>
                  <a:pt x="43" y="41"/>
                </a:cubicBezTo>
                <a:cubicBezTo>
                  <a:pt x="38" y="35"/>
                  <a:pt x="38" y="35"/>
                  <a:pt x="38" y="35"/>
                </a:cubicBezTo>
                <a:cubicBezTo>
                  <a:pt x="34" y="31"/>
                  <a:pt x="31" y="27"/>
                  <a:pt x="28" y="24"/>
                </a:cubicBezTo>
                <a:cubicBezTo>
                  <a:pt x="21" y="16"/>
                  <a:pt x="14" y="9"/>
                  <a:pt x="7" y="3"/>
                </a:cubicBezTo>
                <a:cubicBezTo>
                  <a:pt x="6" y="2"/>
                  <a:pt x="4" y="1"/>
                  <a:pt x="2" y="0"/>
                </a:cubicBezTo>
                <a:cubicBezTo>
                  <a:pt x="2" y="2"/>
                  <a:pt x="1" y="4"/>
                  <a:pt x="1" y="6"/>
                </a:cubicBezTo>
                <a:cubicBezTo>
                  <a:pt x="0" y="8"/>
                  <a:pt x="0" y="10"/>
                  <a:pt x="0" y="11"/>
                </a:cubicBezTo>
                <a:cubicBezTo>
                  <a:pt x="3" y="15"/>
                  <a:pt x="6" y="19"/>
                  <a:pt x="8" y="23"/>
                </a:cubicBezTo>
                <a:cubicBezTo>
                  <a:pt x="11" y="26"/>
                  <a:pt x="14" y="30"/>
                  <a:pt x="16" y="34"/>
                </a:cubicBezTo>
                <a:cubicBezTo>
                  <a:pt x="20" y="40"/>
                  <a:pt x="20" y="40"/>
                  <a:pt x="20" y="40"/>
                </a:cubicBezTo>
                <a:cubicBezTo>
                  <a:pt x="22" y="42"/>
                  <a:pt x="23" y="44"/>
                  <a:pt x="25" y="46"/>
                </a:cubicBezTo>
                <a:cubicBezTo>
                  <a:pt x="31" y="54"/>
                  <a:pt x="38" y="61"/>
                  <a:pt x="46" y="67"/>
                </a:cubicBezTo>
                <a:cubicBezTo>
                  <a:pt x="50" y="70"/>
                  <a:pt x="55" y="73"/>
                  <a:pt x="59" y="75"/>
                </a:cubicBezTo>
                <a:cubicBezTo>
                  <a:pt x="62" y="76"/>
                  <a:pt x="64" y="77"/>
                  <a:pt x="67" y="78"/>
                </a:cubicBezTo>
                <a:cubicBezTo>
                  <a:pt x="68" y="78"/>
                  <a:pt x="69" y="79"/>
                  <a:pt x="70" y="79"/>
                </a:cubicBezTo>
                <a:cubicBezTo>
                  <a:pt x="72" y="79"/>
                  <a:pt x="73" y="80"/>
                  <a:pt x="74" y="80"/>
                </a:cubicBezTo>
                <a:cubicBezTo>
                  <a:pt x="77" y="80"/>
                  <a:pt x="80" y="80"/>
                  <a:pt x="83" y="80"/>
                </a:cubicBezTo>
                <a:cubicBezTo>
                  <a:pt x="85" y="79"/>
                  <a:pt x="88" y="78"/>
                  <a:pt x="91" y="77"/>
                </a:cubicBezTo>
                <a:cubicBezTo>
                  <a:pt x="91" y="77"/>
                  <a:pt x="91" y="77"/>
                  <a:pt x="91" y="77"/>
                </a:cubicBezTo>
                <a:cubicBezTo>
                  <a:pt x="91" y="76"/>
                  <a:pt x="90" y="76"/>
                  <a:pt x="90" y="76"/>
                </a:cubicBezTo>
                <a:cubicBezTo>
                  <a:pt x="84" y="74"/>
                  <a:pt x="79" y="72"/>
                  <a:pt x="74" y="6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0" name="Freeform 29">
            <a:extLst>
              <a:ext uri="{FF2B5EF4-FFF2-40B4-BE49-F238E27FC236}">
                <a16:creationId xmlns:a16="http://schemas.microsoft.com/office/drawing/2014/main" id="{00000000-0008-0000-0100-00001E000000}"/>
              </a:ext>
            </a:extLst>
          </xdr:cNvPr>
          <xdr:cNvSpPr>
            <a:spLocks/>
          </xdr:cNvSpPr>
        </xdr:nvSpPr>
        <xdr:spPr bwMode="auto">
          <a:xfrm>
            <a:off x="2905125" y="2336800"/>
            <a:ext cx="152400" cy="166688"/>
          </a:xfrm>
          <a:custGeom>
            <a:avLst/>
            <a:gdLst>
              <a:gd name="T0" fmla="*/ 64 w 65"/>
              <a:gd name="T1" fmla="*/ 68 h 71"/>
              <a:gd name="T2" fmla="*/ 51 w 65"/>
              <a:gd name="T3" fmla="*/ 60 h 71"/>
              <a:gd name="T4" fmla="*/ 30 w 65"/>
              <a:gd name="T5" fmla="*/ 37 h 71"/>
              <a:gd name="T6" fmla="*/ 26 w 65"/>
              <a:gd name="T7" fmla="*/ 31 h 71"/>
              <a:gd name="T8" fmla="*/ 22 w 65"/>
              <a:gd name="T9" fmla="*/ 25 h 71"/>
              <a:gd name="T10" fmla="*/ 15 w 65"/>
              <a:gd name="T11" fmla="*/ 13 h 71"/>
              <a:gd name="T12" fmla="*/ 5 w 65"/>
              <a:gd name="T13" fmla="*/ 0 h 71"/>
              <a:gd name="T14" fmla="*/ 5 w 65"/>
              <a:gd name="T15" fmla="*/ 2 h 71"/>
              <a:gd name="T16" fmla="*/ 1 w 65"/>
              <a:gd name="T17" fmla="*/ 12 h 71"/>
              <a:gd name="T18" fmla="*/ 0 w 65"/>
              <a:gd name="T19" fmla="*/ 14 h 71"/>
              <a:gd name="T20" fmla="*/ 4 w 65"/>
              <a:gd name="T21" fmla="*/ 22 h 71"/>
              <a:gd name="T22" fmla="*/ 7 w 65"/>
              <a:gd name="T23" fmla="*/ 27 h 71"/>
              <a:gd name="T24" fmla="*/ 10 w 65"/>
              <a:gd name="T25" fmla="*/ 33 h 71"/>
              <a:gd name="T26" fmla="*/ 26 w 65"/>
              <a:gd name="T27" fmla="*/ 55 h 71"/>
              <a:gd name="T28" fmla="*/ 37 w 65"/>
              <a:gd name="T29" fmla="*/ 64 h 71"/>
              <a:gd name="T30" fmla="*/ 43 w 65"/>
              <a:gd name="T31" fmla="*/ 67 h 71"/>
              <a:gd name="T32" fmla="*/ 46 w 65"/>
              <a:gd name="T33" fmla="*/ 69 h 71"/>
              <a:gd name="T34" fmla="*/ 49 w 65"/>
              <a:gd name="T35" fmla="*/ 70 h 71"/>
              <a:gd name="T36" fmla="*/ 57 w 65"/>
              <a:gd name="T37" fmla="*/ 71 h 71"/>
              <a:gd name="T38" fmla="*/ 65 w 65"/>
              <a:gd name="T39" fmla="*/ 69 h 71"/>
              <a:gd name="T40" fmla="*/ 64 w 65"/>
              <a:gd name="T41" fmla="*/ 68 h 71"/>
              <a:gd name="T42" fmla="*/ 64 w 65"/>
              <a:gd name="T43" fmla="*/ 68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5" h="71">
                <a:moveTo>
                  <a:pt x="64" y="68"/>
                </a:moveTo>
                <a:cubicBezTo>
                  <a:pt x="59" y="66"/>
                  <a:pt x="55" y="63"/>
                  <a:pt x="51" y="60"/>
                </a:cubicBezTo>
                <a:cubicBezTo>
                  <a:pt x="43" y="53"/>
                  <a:pt x="36" y="45"/>
                  <a:pt x="30" y="37"/>
                </a:cubicBezTo>
                <a:cubicBezTo>
                  <a:pt x="29" y="35"/>
                  <a:pt x="28" y="33"/>
                  <a:pt x="26" y="31"/>
                </a:cubicBezTo>
                <a:cubicBezTo>
                  <a:pt x="22" y="25"/>
                  <a:pt x="22" y="25"/>
                  <a:pt x="22" y="25"/>
                </a:cubicBezTo>
                <a:cubicBezTo>
                  <a:pt x="20" y="21"/>
                  <a:pt x="17" y="17"/>
                  <a:pt x="15" y="13"/>
                </a:cubicBezTo>
                <a:cubicBezTo>
                  <a:pt x="12" y="9"/>
                  <a:pt x="8" y="4"/>
                  <a:pt x="5" y="0"/>
                </a:cubicBezTo>
                <a:cubicBezTo>
                  <a:pt x="5" y="1"/>
                  <a:pt x="5" y="1"/>
                  <a:pt x="5" y="2"/>
                </a:cubicBezTo>
                <a:cubicBezTo>
                  <a:pt x="4" y="5"/>
                  <a:pt x="3" y="9"/>
                  <a:pt x="1" y="12"/>
                </a:cubicBezTo>
                <a:cubicBezTo>
                  <a:pt x="1" y="13"/>
                  <a:pt x="0" y="14"/>
                  <a:pt x="0" y="14"/>
                </a:cubicBezTo>
                <a:cubicBezTo>
                  <a:pt x="1" y="17"/>
                  <a:pt x="2" y="19"/>
                  <a:pt x="4" y="22"/>
                </a:cubicBezTo>
                <a:cubicBezTo>
                  <a:pt x="7" y="27"/>
                  <a:pt x="7" y="27"/>
                  <a:pt x="7" y="27"/>
                </a:cubicBezTo>
                <a:cubicBezTo>
                  <a:pt x="8" y="29"/>
                  <a:pt x="9" y="31"/>
                  <a:pt x="10" y="33"/>
                </a:cubicBezTo>
                <a:cubicBezTo>
                  <a:pt x="14" y="41"/>
                  <a:pt x="20" y="49"/>
                  <a:pt x="26" y="55"/>
                </a:cubicBezTo>
                <a:cubicBezTo>
                  <a:pt x="29" y="58"/>
                  <a:pt x="33" y="61"/>
                  <a:pt x="37" y="64"/>
                </a:cubicBezTo>
                <a:cubicBezTo>
                  <a:pt x="39" y="65"/>
                  <a:pt x="41" y="66"/>
                  <a:pt x="43" y="67"/>
                </a:cubicBezTo>
                <a:cubicBezTo>
                  <a:pt x="44" y="68"/>
                  <a:pt x="45" y="68"/>
                  <a:pt x="46" y="69"/>
                </a:cubicBezTo>
                <a:cubicBezTo>
                  <a:pt x="47" y="69"/>
                  <a:pt x="48" y="70"/>
                  <a:pt x="49" y="70"/>
                </a:cubicBezTo>
                <a:cubicBezTo>
                  <a:pt x="52" y="70"/>
                  <a:pt x="54" y="71"/>
                  <a:pt x="57" y="71"/>
                </a:cubicBezTo>
                <a:cubicBezTo>
                  <a:pt x="59" y="71"/>
                  <a:pt x="62" y="70"/>
                  <a:pt x="65" y="69"/>
                </a:cubicBezTo>
                <a:cubicBezTo>
                  <a:pt x="64" y="69"/>
                  <a:pt x="64" y="68"/>
                  <a:pt x="64" y="68"/>
                </a:cubicBezTo>
                <a:cubicBezTo>
                  <a:pt x="64" y="68"/>
                  <a:pt x="64" y="68"/>
                  <a:pt x="64"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1" name="Freeform 30">
            <a:extLst>
              <a:ext uri="{FF2B5EF4-FFF2-40B4-BE49-F238E27FC236}">
                <a16:creationId xmlns:a16="http://schemas.microsoft.com/office/drawing/2014/main" id="{00000000-0008-0000-0100-00001F000000}"/>
              </a:ext>
            </a:extLst>
          </xdr:cNvPr>
          <xdr:cNvSpPr>
            <a:spLocks/>
          </xdr:cNvSpPr>
        </xdr:nvSpPr>
        <xdr:spPr bwMode="auto">
          <a:xfrm>
            <a:off x="2873375" y="2376488"/>
            <a:ext cx="115888" cy="128588"/>
          </a:xfrm>
          <a:custGeom>
            <a:avLst/>
            <a:gdLst>
              <a:gd name="T0" fmla="*/ 4 w 49"/>
              <a:gd name="T1" fmla="*/ 16 h 55"/>
              <a:gd name="T2" fmla="*/ 16 w 49"/>
              <a:gd name="T3" fmla="*/ 37 h 55"/>
              <a:gd name="T4" fmla="*/ 24 w 49"/>
              <a:gd name="T5" fmla="*/ 46 h 55"/>
              <a:gd name="T6" fmla="*/ 29 w 49"/>
              <a:gd name="T7" fmla="*/ 50 h 55"/>
              <a:gd name="T8" fmla="*/ 32 w 49"/>
              <a:gd name="T9" fmla="*/ 52 h 55"/>
              <a:gd name="T10" fmla="*/ 35 w 49"/>
              <a:gd name="T11" fmla="*/ 53 h 55"/>
              <a:gd name="T12" fmla="*/ 41 w 49"/>
              <a:gd name="T13" fmla="*/ 55 h 55"/>
              <a:gd name="T14" fmla="*/ 49 w 49"/>
              <a:gd name="T15" fmla="*/ 54 h 55"/>
              <a:gd name="T16" fmla="*/ 49 w 49"/>
              <a:gd name="T17" fmla="*/ 54 h 55"/>
              <a:gd name="T18" fmla="*/ 48 w 49"/>
              <a:gd name="T19" fmla="*/ 53 h 55"/>
              <a:gd name="T20" fmla="*/ 37 w 49"/>
              <a:gd name="T21" fmla="*/ 44 h 55"/>
              <a:gd name="T22" fmla="*/ 22 w 49"/>
              <a:gd name="T23" fmla="*/ 21 h 55"/>
              <a:gd name="T24" fmla="*/ 19 w 49"/>
              <a:gd name="T25" fmla="*/ 15 h 55"/>
              <a:gd name="T26" fmla="*/ 16 w 49"/>
              <a:gd name="T27" fmla="*/ 9 h 55"/>
              <a:gd name="T28" fmla="*/ 11 w 49"/>
              <a:gd name="T29" fmla="*/ 0 h 55"/>
              <a:gd name="T30" fmla="*/ 11 w 49"/>
              <a:gd name="T31" fmla="*/ 0 h 55"/>
              <a:gd name="T32" fmla="*/ 6 w 49"/>
              <a:gd name="T33" fmla="*/ 4 h 55"/>
              <a:gd name="T34" fmla="*/ 0 w 49"/>
              <a:gd name="T35" fmla="*/ 6 h 55"/>
              <a:gd name="T36" fmla="*/ 2 w 49"/>
              <a:gd name="T37" fmla="*/ 10 h 55"/>
              <a:gd name="T38" fmla="*/ 4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 y="16"/>
                </a:moveTo>
                <a:cubicBezTo>
                  <a:pt x="7" y="23"/>
                  <a:pt x="11" y="31"/>
                  <a:pt x="16" y="37"/>
                </a:cubicBezTo>
                <a:cubicBezTo>
                  <a:pt x="18" y="41"/>
                  <a:pt x="21" y="44"/>
                  <a:pt x="24" y="46"/>
                </a:cubicBezTo>
                <a:cubicBezTo>
                  <a:pt x="26" y="48"/>
                  <a:pt x="28" y="49"/>
                  <a:pt x="29" y="50"/>
                </a:cubicBezTo>
                <a:cubicBezTo>
                  <a:pt x="30" y="51"/>
                  <a:pt x="31" y="51"/>
                  <a:pt x="32" y="52"/>
                </a:cubicBezTo>
                <a:cubicBezTo>
                  <a:pt x="33" y="52"/>
                  <a:pt x="34" y="53"/>
                  <a:pt x="35" y="53"/>
                </a:cubicBezTo>
                <a:cubicBezTo>
                  <a:pt x="37" y="54"/>
                  <a:pt x="39" y="55"/>
                  <a:pt x="41" y="55"/>
                </a:cubicBezTo>
                <a:cubicBezTo>
                  <a:pt x="44" y="55"/>
                  <a:pt x="46" y="55"/>
                  <a:pt x="49" y="54"/>
                </a:cubicBezTo>
                <a:cubicBezTo>
                  <a:pt x="49" y="54"/>
                  <a:pt x="49" y="54"/>
                  <a:pt x="49" y="54"/>
                </a:cubicBezTo>
                <a:cubicBezTo>
                  <a:pt x="48" y="54"/>
                  <a:pt x="48" y="53"/>
                  <a:pt x="48" y="53"/>
                </a:cubicBezTo>
                <a:cubicBezTo>
                  <a:pt x="44" y="50"/>
                  <a:pt x="40" y="47"/>
                  <a:pt x="37" y="44"/>
                </a:cubicBezTo>
                <a:cubicBezTo>
                  <a:pt x="31" y="37"/>
                  <a:pt x="26" y="29"/>
                  <a:pt x="22" y="21"/>
                </a:cubicBezTo>
                <a:cubicBezTo>
                  <a:pt x="21" y="19"/>
                  <a:pt x="20" y="17"/>
                  <a:pt x="19" y="15"/>
                </a:cubicBezTo>
                <a:cubicBezTo>
                  <a:pt x="16" y="9"/>
                  <a:pt x="16" y="9"/>
                  <a:pt x="16" y="9"/>
                </a:cubicBezTo>
                <a:cubicBezTo>
                  <a:pt x="14" y="6"/>
                  <a:pt x="13" y="3"/>
                  <a:pt x="11" y="0"/>
                </a:cubicBezTo>
                <a:cubicBezTo>
                  <a:pt x="11" y="0"/>
                  <a:pt x="11" y="0"/>
                  <a:pt x="11" y="0"/>
                </a:cubicBezTo>
                <a:cubicBezTo>
                  <a:pt x="10" y="2"/>
                  <a:pt x="8" y="3"/>
                  <a:pt x="6" y="4"/>
                </a:cubicBezTo>
                <a:cubicBezTo>
                  <a:pt x="4" y="5"/>
                  <a:pt x="2" y="5"/>
                  <a:pt x="0" y="6"/>
                </a:cubicBezTo>
                <a:cubicBezTo>
                  <a:pt x="2" y="10"/>
                  <a:pt x="2" y="10"/>
                  <a:pt x="2" y="10"/>
                </a:cubicBezTo>
                <a:cubicBezTo>
                  <a:pt x="2" y="12"/>
                  <a:pt x="3" y="14"/>
                  <a:pt x="4"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2" name="Freeform 31">
            <a:extLst>
              <a:ext uri="{FF2B5EF4-FFF2-40B4-BE49-F238E27FC236}">
                <a16:creationId xmlns:a16="http://schemas.microsoft.com/office/drawing/2014/main" id="{00000000-0008-0000-0100-000020000000}"/>
              </a:ext>
            </a:extLst>
          </xdr:cNvPr>
          <xdr:cNvSpPr>
            <a:spLocks/>
          </xdr:cNvSpPr>
        </xdr:nvSpPr>
        <xdr:spPr bwMode="auto">
          <a:xfrm>
            <a:off x="2838450" y="2381250"/>
            <a:ext cx="90488" cy="119063"/>
          </a:xfrm>
          <a:custGeom>
            <a:avLst/>
            <a:gdLst>
              <a:gd name="T0" fmla="*/ 13 w 38"/>
              <a:gd name="T1" fmla="*/ 4 h 51"/>
              <a:gd name="T2" fmla="*/ 11 w 38"/>
              <a:gd name="T3" fmla="*/ 4 h 51"/>
              <a:gd name="T4" fmla="*/ 2 w 38"/>
              <a:gd name="T5" fmla="*/ 2 h 51"/>
              <a:gd name="T6" fmla="*/ 0 w 38"/>
              <a:gd name="T7" fmla="*/ 0 h 51"/>
              <a:gd name="T8" fmla="*/ 1 w 38"/>
              <a:gd name="T9" fmla="*/ 5 h 51"/>
              <a:gd name="T10" fmla="*/ 2 w 38"/>
              <a:gd name="T11" fmla="*/ 11 h 51"/>
              <a:gd name="T12" fmla="*/ 11 w 38"/>
              <a:gd name="T13" fmla="*/ 32 h 51"/>
              <a:gd name="T14" fmla="*/ 17 w 38"/>
              <a:gd name="T15" fmla="*/ 41 h 51"/>
              <a:gd name="T16" fmla="*/ 21 w 38"/>
              <a:gd name="T17" fmla="*/ 45 h 51"/>
              <a:gd name="T18" fmla="*/ 23 w 38"/>
              <a:gd name="T19" fmla="*/ 47 h 51"/>
              <a:gd name="T20" fmla="*/ 26 w 38"/>
              <a:gd name="T21" fmla="*/ 48 h 51"/>
              <a:gd name="T22" fmla="*/ 31 w 38"/>
              <a:gd name="T23" fmla="*/ 51 h 51"/>
              <a:gd name="T24" fmla="*/ 37 w 38"/>
              <a:gd name="T25" fmla="*/ 51 h 51"/>
              <a:gd name="T26" fmla="*/ 38 w 38"/>
              <a:gd name="T27" fmla="*/ 51 h 51"/>
              <a:gd name="T28" fmla="*/ 37 w 38"/>
              <a:gd name="T29" fmla="*/ 50 h 51"/>
              <a:gd name="T30" fmla="*/ 29 w 38"/>
              <a:gd name="T31" fmla="*/ 40 h 51"/>
              <a:gd name="T32" fmla="*/ 17 w 38"/>
              <a:gd name="T33" fmla="*/ 18 h 51"/>
              <a:gd name="T34" fmla="*/ 15 w 38"/>
              <a:gd name="T35" fmla="*/ 12 h 51"/>
              <a:gd name="T36" fmla="*/ 14 w 38"/>
              <a:gd name="T37" fmla="*/ 6 h 51"/>
              <a:gd name="T38" fmla="*/ 13 w 38"/>
              <a:gd name="T39" fmla="*/ 4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51">
                <a:moveTo>
                  <a:pt x="13" y="4"/>
                </a:moveTo>
                <a:cubicBezTo>
                  <a:pt x="12" y="4"/>
                  <a:pt x="11" y="4"/>
                  <a:pt x="11" y="4"/>
                </a:cubicBezTo>
                <a:cubicBezTo>
                  <a:pt x="8" y="3"/>
                  <a:pt x="5" y="3"/>
                  <a:pt x="2" y="2"/>
                </a:cubicBezTo>
                <a:cubicBezTo>
                  <a:pt x="1" y="1"/>
                  <a:pt x="0" y="1"/>
                  <a:pt x="0" y="0"/>
                </a:cubicBezTo>
                <a:cubicBezTo>
                  <a:pt x="1" y="5"/>
                  <a:pt x="1" y="5"/>
                  <a:pt x="1" y="5"/>
                </a:cubicBezTo>
                <a:cubicBezTo>
                  <a:pt x="1" y="7"/>
                  <a:pt x="2" y="9"/>
                  <a:pt x="2" y="11"/>
                </a:cubicBezTo>
                <a:cubicBezTo>
                  <a:pt x="4" y="18"/>
                  <a:pt x="7" y="25"/>
                  <a:pt x="11" y="32"/>
                </a:cubicBezTo>
                <a:cubicBezTo>
                  <a:pt x="12" y="35"/>
                  <a:pt x="15" y="38"/>
                  <a:pt x="17" y="41"/>
                </a:cubicBezTo>
                <a:cubicBezTo>
                  <a:pt x="18" y="43"/>
                  <a:pt x="20" y="44"/>
                  <a:pt x="21" y="45"/>
                </a:cubicBezTo>
                <a:cubicBezTo>
                  <a:pt x="22" y="46"/>
                  <a:pt x="22" y="46"/>
                  <a:pt x="23" y="47"/>
                </a:cubicBezTo>
                <a:cubicBezTo>
                  <a:pt x="24" y="48"/>
                  <a:pt x="25" y="48"/>
                  <a:pt x="26" y="48"/>
                </a:cubicBezTo>
                <a:cubicBezTo>
                  <a:pt x="27" y="49"/>
                  <a:pt x="29" y="50"/>
                  <a:pt x="31" y="51"/>
                </a:cubicBezTo>
                <a:cubicBezTo>
                  <a:pt x="33" y="51"/>
                  <a:pt x="35" y="51"/>
                  <a:pt x="37" y="51"/>
                </a:cubicBezTo>
                <a:cubicBezTo>
                  <a:pt x="38" y="51"/>
                  <a:pt x="38" y="51"/>
                  <a:pt x="38" y="51"/>
                </a:cubicBezTo>
                <a:cubicBezTo>
                  <a:pt x="37" y="50"/>
                  <a:pt x="37" y="50"/>
                  <a:pt x="37" y="50"/>
                </a:cubicBezTo>
                <a:cubicBezTo>
                  <a:pt x="34" y="47"/>
                  <a:pt x="31" y="44"/>
                  <a:pt x="29" y="40"/>
                </a:cubicBezTo>
                <a:cubicBezTo>
                  <a:pt x="24" y="33"/>
                  <a:pt x="20" y="26"/>
                  <a:pt x="17" y="18"/>
                </a:cubicBezTo>
                <a:cubicBezTo>
                  <a:pt x="17" y="16"/>
                  <a:pt x="16" y="14"/>
                  <a:pt x="15" y="12"/>
                </a:cubicBezTo>
                <a:cubicBezTo>
                  <a:pt x="14" y="6"/>
                  <a:pt x="14" y="6"/>
                  <a:pt x="14" y="6"/>
                </a:cubicBezTo>
                <a:cubicBezTo>
                  <a:pt x="13" y="6"/>
                  <a:pt x="13" y="5"/>
                  <a:pt x="13" y="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32">
            <a:extLst>
              <a:ext uri="{FF2B5EF4-FFF2-40B4-BE49-F238E27FC236}">
                <a16:creationId xmlns:a16="http://schemas.microsoft.com/office/drawing/2014/main" id="{00000000-0008-0000-0100-000021000000}"/>
              </a:ext>
            </a:extLst>
          </xdr:cNvPr>
          <xdr:cNvSpPr>
            <a:spLocks noEditPoints="1"/>
          </xdr:cNvSpPr>
        </xdr:nvSpPr>
        <xdr:spPr bwMode="auto">
          <a:xfrm>
            <a:off x="2584450" y="2513013"/>
            <a:ext cx="341313" cy="333375"/>
          </a:xfrm>
          <a:custGeom>
            <a:avLst/>
            <a:gdLst>
              <a:gd name="T0" fmla="*/ 125 w 145"/>
              <a:gd name="T1" fmla="*/ 72 h 142"/>
              <a:gd name="T2" fmla="*/ 122 w 145"/>
              <a:gd name="T3" fmla="*/ 70 h 142"/>
              <a:gd name="T4" fmla="*/ 121 w 145"/>
              <a:gd name="T5" fmla="*/ 70 h 142"/>
              <a:gd name="T6" fmla="*/ 110 w 145"/>
              <a:gd name="T7" fmla="*/ 67 h 142"/>
              <a:gd name="T8" fmla="*/ 76 w 145"/>
              <a:gd name="T9" fmla="*/ 63 h 142"/>
              <a:gd name="T10" fmla="*/ 47 w 145"/>
              <a:gd name="T11" fmla="*/ 57 h 142"/>
              <a:gd name="T12" fmla="*/ 29 w 145"/>
              <a:gd name="T13" fmla="*/ 44 h 142"/>
              <a:gd name="T14" fmla="*/ 29 w 145"/>
              <a:gd name="T15" fmla="*/ 39 h 142"/>
              <a:gd name="T16" fmla="*/ 37 w 145"/>
              <a:gd name="T17" fmla="*/ 33 h 142"/>
              <a:gd name="T18" fmla="*/ 38 w 145"/>
              <a:gd name="T19" fmla="*/ 33 h 142"/>
              <a:gd name="T20" fmla="*/ 41 w 145"/>
              <a:gd name="T21" fmla="*/ 36 h 142"/>
              <a:gd name="T22" fmla="*/ 42 w 145"/>
              <a:gd name="T23" fmla="*/ 37 h 142"/>
              <a:gd name="T24" fmla="*/ 42 w 145"/>
              <a:gd name="T25" fmla="*/ 37 h 142"/>
              <a:gd name="T26" fmla="*/ 42 w 145"/>
              <a:gd name="T27" fmla="*/ 37 h 142"/>
              <a:gd name="T28" fmla="*/ 67 w 145"/>
              <a:gd name="T29" fmla="*/ 19 h 142"/>
              <a:gd name="T30" fmla="*/ 67 w 145"/>
              <a:gd name="T31" fmla="*/ 18 h 142"/>
              <a:gd name="T32" fmla="*/ 65 w 145"/>
              <a:gd name="T33" fmla="*/ 16 h 142"/>
              <a:gd name="T34" fmla="*/ 58 w 145"/>
              <a:gd name="T35" fmla="*/ 8 h 142"/>
              <a:gd name="T36" fmla="*/ 37 w 145"/>
              <a:gd name="T37" fmla="*/ 0 h 142"/>
              <a:gd name="T38" fmla="*/ 19 w 145"/>
              <a:gd name="T39" fmla="*/ 6 h 142"/>
              <a:gd name="T40" fmla="*/ 2 w 145"/>
              <a:gd name="T41" fmla="*/ 28 h 142"/>
              <a:gd name="T42" fmla="*/ 5 w 145"/>
              <a:gd name="T43" fmla="*/ 58 h 142"/>
              <a:gd name="T44" fmla="*/ 21 w 145"/>
              <a:gd name="T45" fmla="*/ 77 h 142"/>
              <a:gd name="T46" fmla="*/ 58 w 145"/>
              <a:gd name="T47" fmla="*/ 89 h 142"/>
              <a:gd name="T48" fmla="*/ 91 w 145"/>
              <a:gd name="T49" fmla="*/ 92 h 142"/>
              <a:gd name="T50" fmla="*/ 112 w 145"/>
              <a:gd name="T51" fmla="*/ 95 h 142"/>
              <a:gd name="T52" fmla="*/ 113 w 145"/>
              <a:gd name="T53" fmla="*/ 95 h 142"/>
              <a:gd name="T54" fmla="*/ 113 w 145"/>
              <a:gd name="T55" fmla="*/ 95 h 142"/>
              <a:gd name="T56" fmla="*/ 113 w 145"/>
              <a:gd name="T57" fmla="*/ 95 h 142"/>
              <a:gd name="T58" fmla="*/ 114 w 145"/>
              <a:gd name="T59" fmla="*/ 95 h 142"/>
              <a:gd name="T60" fmla="*/ 116 w 145"/>
              <a:gd name="T61" fmla="*/ 97 h 142"/>
              <a:gd name="T62" fmla="*/ 122 w 145"/>
              <a:gd name="T63" fmla="*/ 113 h 142"/>
              <a:gd name="T64" fmla="*/ 117 w 145"/>
              <a:gd name="T65" fmla="*/ 119 h 142"/>
              <a:gd name="T66" fmla="*/ 114 w 145"/>
              <a:gd name="T67" fmla="*/ 121 h 142"/>
              <a:gd name="T68" fmla="*/ 111 w 145"/>
              <a:gd name="T69" fmla="*/ 122 h 142"/>
              <a:gd name="T70" fmla="*/ 97 w 145"/>
              <a:gd name="T71" fmla="*/ 126 h 142"/>
              <a:gd name="T72" fmla="*/ 99 w 145"/>
              <a:gd name="T73" fmla="*/ 94 h 142"/>
              <a:gd name="T74" fmla="*/ 91 w 145"/>
              <a:gd name="T75" fmla="*/ 94 h 142"/>
              <a:gd name="T76" fmla="*/ 74 w 145"/>
              <a:gd name="T77" fmla="*/ 93 h 142"/>
              <a:gd name="T78" fmla="*/ 76 w 145"/>
              <a:gd name="T79" fmla="*/ 119 h 142"/>
              <a:gd name="T80" fmla="*/ 85 w 145"/>
              <a:gd name="T81" fmla="*/ 126 h 142"/>
              <a:gd name="T82" fmla="*/ 91 w 145"/>
              <a:gd name="T83" fmla="*/ 128 h 142"/>
              <a:gd name="T84" fmla="*/ 101 w 145"/>
              <a:gd name="T85" fmla="*/ 131 h 142"/>
              <a:gd name="T86" fmla="*/ 114 w 145"/>
              <a:gd name="T87" fmla="*/ 137 h 142"/>
              <a:gd name="T88" fmla="*/ 117 w 145"/>
              <a:gd name="T89" fmla="*/ 138 h 142"/>
              <a:gd name="T90" fmla="*/ 118 w 145"/>
              <a:gd name="T91" fmla="*/ 139 h 142"/>
              <a:gd name="T92" fmla="*/ 123 w 145"/>
              <a:gd name="T93" fmla="*/ 142 h 142"/>
              <a:gd name="T94" fmla="*/ 136 w 145"/>
              <a:gd name="T95" fmla="*/ 133 h 142"/>
              <a:gd name="T96" fmla="*/ 145 w 145"/>
              <a:gd name="T97" fmla="*/ 108 h 142"/>
              <a:gd name="T98" fmla="*/ 130 w 145"/>
              <a:gd name="T99" fmla="*/ 75 h 142"/>
              <a:gd name="T100" fmla="*/ 60 w 145"/>
              <a:gd name="T101" fmla="*/ 20 h 142"/>
              <a:gd name="T102" fmla="*/ 57 w 145"/>
              <a:gd name="T103" fmla="*/ 24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45" h="142">
                <a:moveTo>
                  <a:pt x="130" y="75"/>
                </a:moveTo>
                <a:cubicBezTo>
                  <a:pt x="128" y="74"/>
                  <a:pt x="126" y="73"/>
                  <a:pt x="125" y="72"/>
                </a:cubicBezTo>
                <a:cubicBezTo>
                  <a:pt x="124" y="72"/>
                  <a:pt x="124" y="71"/>
                  <a:pt x="123" y="71"/>
                </a:cubicBezTo>
                <a:cubicBezTo>
                  <a:pt x="123" y="71"/>
                  <a:pt x="123" y="71"/>
                  <a:pt x="122" y="70"/>
                </a:cubicBezTo>
                <a:cubicBezTo>
                  <a:pt x="121" y="70"/>
                  <a:pt x="121" y="70"/>
                  <a:pt x="121" y="70"/>
                </a:cubicBezTo>
                <a:cubicBezTo>
                  <a:pt x="121" y="70"/>
                  <a:pt x="121" y="70"/>
                  <a:pt x="121" y="70"/>
                </a:cubicBezTo>
                <a:cubicBezTo>
                  <a:pt x="119" y="69"/>
                  <a:pt x="119" y="69"/>
                  <a:pt x="119" y="69"/>
                </a:cubicBezTo>
                <a:cubicBezTo>
                  <a:pt x="116" y="68"/>
                  <a:pt x="113" y="67"/>
                  <a:pt x="110" y="67"/>
                </a:cubicBezTo>
                <a:cubicBezTo>
                  <a:pt x="104" y="65"/>
                  <a:pt x="98" y="65"/>
                  <a:pt x="93" y="64"/>
                </a:cubicBezTo>
                <a:cubicBezTo>
                  <a:pt x="76" y="63"/>
                  <a:pt x="76" y="63"/>
                  <a:pt x="76" y="63"/>
                </a:cubicBezTo>
                <a:cubicBezTo>
                  <a:pt x="71" y="62"/>
                  <a:pt x="66" y="61"/>
                  <a:pt x="61" y="60"/>
                </a:cubicBezTo>
                <a:cubicBezTo>
                  <a:pt x="56" y="60"/>
                  <a:pt x="51" y="58"/>
                  <a:pt x="47" y="57"/>
                </a:cubicBezTo>
                <a:cubicBezTo>
                  <a:pt x="42" y="55"/>
                  <a:pt x="39" y="54"/>
                  <a:pt x="35" y="51"/>
                </a:cubicBezTo>
                <a:cubicBezTo>
                  <a:pt x="32" y="49"/>
                  <a:pt x="30" y="46"/>
                  <a:pt x="29" y="44"/>
                </a:cubicBezTo>
                <a:cubicBezTo>
                  <a:pt x="29" y="43"/>
                  <a:pt x="29" y="42"/>
                  <a:pt x="29" y="41"/>
                </a:cubicBezTo>
                <a:cubicBezTo>
                  <a:pt x="29" y="41"/>
                  <a:pt x="29" y="40"/>
                  <a:pt x="29" y="39"/>
                </a:cubicBezTo>
                <a:cubicBezTo>
                  <a:pt x="30" y="38"/>
                  <a:pt x="31" y="36"/>
                  <a:pt x="34" y="34"/>
                </a:cubicBezTo>
                <a:cubicBezTo>
                  <a:pt x="35" y="33"/>
                  <a:pt x="36" y="33"/>
                  <a:pt x="37" y="33"/>
                </a:cubicBezTo>
                <a:cubicBezTo>
                  <a:pt x="37" y="33"/>
                  <a:pt x="37" y="33"/>
                  <a:pt x="37" y="33"/>
                </a:cubicBezTo>
                <a:cubicBezTo>
                  <a:pt x="37" y="33"/>
                  <a:pt x="38" y="33"/>
                  <a:pt x="38" y="33"/>
                </a:cubicBezTo>
                <a:cubicBezTo>
                  <a:pt x="38" y="33"/>
                  <a:pt x="39" y="34"/>
                  <a:pt x="40" y="34"/>
                </a:cubicBezTo>
                <a:cubicBezTo>
                  <a:pt x="40" y="35"/>
                  <a:pt x="41" y="35"/>
                  <a:pt x="41" y="36"/>
                </a:cubicBezTo>
                <a:cubicBezTo>
                  <a:pt x="42" y="36"/>
                  <a:pt x="42" y="36"/>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5" y="42"/>
                  <a:pt x="60" y="44"/>
                  <a:pt x="63" y="42"/>
                </a:cubicBezTo>
                <a:cubicBezTo>
                  <a:pt x="70" y="37"/>
                  <a:pt x="72" y="27"/>
                  <a:pt x="67" y="19"/>
                </a:cubicBezTo>
                <a:cubicBezTo>
                  <a:pt x="67" y="19"/>
                  <a:pt x="67" y="19"/>
                  <a:pt x="67" y="19"/>
                </a:cubicBezTo>
                <a:cubicBezTo>
                  <a:pt x="67" y="18"/>
                  <a:pt x="67" y="18"/>
                  <a:pt x="67" y="18"/>
                </a:cubicBezTo>
                <a:cubicBezTo>
                  <a:pt x="66" y="17"/>
                  <a:pt x="66" y="17"/>
                  <a:pt x="66" y="17"/>
                </a:cubicBezTo>
                <a:cubicBezTo>
                  <a:pt x="66" y="17"/>
                  <a:pt x="65" y="16"/>
                  <a:pt x="65" y="16"/>
                </a:cubicBezTo>
                <a:cubicBezTo>
                  <a:pt x="64" y="15"/>
                  <a:pt x="64" y="14"/>
                  <a:pt x="63" y="13"/>
                </a:cubicBezTo>
                <a:cubicBezTo>
                  <a:pt x="62" y="11"/>
                  <a:pt x="60" y="10"/>
                  <a:pt x="58" y="8"/>
                </a:cubicBezTo>
                <a:cubicBezTo>
                  <a:pt x="55" y="5"/>
                  <a:pt x="51" y="2"/>
                  <a:pt x="46" y="1"/>
                </a:cubicBezTo>
                <a:cubicBezTo>
                  <a:pt x="43" y="0"/>
                  <a:pt x="40" y="0"/>
                  <a:pt x="37" y="0"/>
                </a:cubicBezTo>
                <a:cubicBezTo>
                  <a:pt x="35" y="0"/>
                  <a:pt x="33" y="0"/>
                  <a:pt x="31" y="0"/>
                </a:cubicBezTo>
                <a:cubicBezTo>
                  <a:pt x="26" y="1"/>
                  <a:pt x="22" y="3"/>
                  <a:pt x="19" y="6"/>
                </a:cubicBezTo>
                <a:cubicBezTo>
                  <a:pt x="15" y="8"/>
                  <a:pt x="12" y="11"/>
                  <a:pt x="9" y="15"/>
                </a:cubicBezTo>
                <a:cubicBezTo>
                  <a:pt x="6" y="18"/>
                  <a:pt x="4" y="23"/>
                  <a:pt x="2" y="28"/>
                </a:cubicBezTo>
                <a:cubicBezTo>
                  <a:pt x="1" y="33"/>
                  <a:pt x="0" y="38"/>
                  <a:pt x="0" y="44"/>
                </a:cubicBezTo>
                <a:cubicBezTo>
                  <a:pt x="1" y="49"/>
                  <a:pt x="2" y="54"/>
                  <a:pt x="5" y="58"/>
                </a:cubicBezTo>
                <a:cubicBezTo>
                  <a:pt x="7" y="63"/>
                  <a:pt x="9" y="66"/>
                  <a:pt x="12" y="69"/>
                </a:cubicBezTo>
                <a:cubicBezTo>
                  <a:pt x="15" y="72"/>
                  <a:pt x="18" y="75"/>
                  <a:pt x="21" y="77"/>
                </a:cubicBezTo>
                <a:cubicBezTo>
                  <a:pt x="27" y="81"/>
                  <a:pt x="34" y="84"/>
                  <a:pt x="40" y="85"/>
                </a:cubicBezTo>
                <a:cubicBezTo>
                  <a:pt x="46" y="87"/>
                  <a:pt x="52" y="88"/>
                  <a:pt x="58" y="89"/>
                </a:cubicBezTo>
                <a:cubicBezTo>
                  <a:pt x="63" y="90"/>
                  <a:pt x="69" y="90"/>
                  <a:pt x="74" y="91"/>
                </a:cubicBezTo>
                <a:cubicBezTo>
                  <a:pt x="91" y="92"/>
                  <a:pt x="91" y="92"/>
                  <a:pt x="91" y="92"/>
                </a:cubicBezTo>
                <a:cubicBezTo>
                  <a:pt x="96" y="92"/>
                  <a:pt x="101" y="92"/>
                  <a:pt x="106" y="93"/>
                </a:cubicBezTo>
                <a:cubicBezTo>
                  <a:pt x="108" y="94"/>
                  <a:pt x="110" y="94"/>
                  <a:pt x="112"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4" y="95"/>
                </a:cubicBezTo>
                <a:cubicBezTo>
                  <a:pt x="114" y="95"/>
                  <a:pt x="114" y="95"/>
                  <a:pt x="114" y="95"/>
                </a:cubicBezTo>
                <a:cubicBezTo>
                  <a:pt x="115" y="96"/>
                  <a:pt x="116" y="96"/>
                  <a:pt x="116" y="97"/>
                </a:cubicBezTo>
                <a:cubicBezTo>
                  <a:pt x="119" y="98"/>
                  <a:pt x="121" y="101"/>
                  <a:pt x="122" y="104"/>
                </a:cubicBezTo>
                <a:cubicBezTo>
                  <a:pt x="123" y="107"/>
                  <a:pt x="123" y="111"/>
                  <a:pt x="122" y="113"/>
                </a:cubicBezTo>
                <a:cubicBezTo>
                  <a:pt x="122" y="114"/>
                  <a:pt x="121" y="115"/>
                  <a:pt x="121" y="116"/>
                </a:cubicBezTo>
                <a:cubicBezTo>
                  <a:pt x="120" y="117"/>
                  <a:pt x="119" y="118"/>
                  <a:pt x="117" y="119"/>
                </a:cubicBezTo>
                <a:cubicBezTo>
                  <a:pt x="116" y="120"/>
                  <a:pt x="116" y="120"/>
                  <a:pt x="115" y="120"/>
                </a:cubicBezTo>
                <a:cubicBezTo>
                  <a:pt x="114" y="121"/>
                  <a:pt x="114" y="121"/>
                  <a:pt x="114" y="121"/>
                </a:cubicBezTo>
                <a:cubicBezTo>
                  <a:pt x="113" y="121"/>
                  <a:pt x="113" y="121"/>
                  <a:pt x="113" y="121"/>
                </a:cubicBezTo>
                <a:cubicBezTo>
                  <a:pt x="111" y="122"/>
                  <a:pt x="111" y="122"/>
                  <a:pt x="111" y="122"/>
                </a:cubicBezTo>
                <a:cubicBezTo>
                  <a:pt x="109" y="122"/>
                  <a:pt x="106" y="123"/>
                  <a:pt x="104" y="124"/>
                </a:cubicBezTo>
                <a:cubicBezTo>
                  <a:pt x="102" y="125"/>
                  <a:pt x="99" y="125"/>
                  <a:pt x="97" y="126"/>
                </a:cubicBezTo>
                <a:cubicBezTo>
                  <a:pt x="97" y="124"/>
                  <a:pt x="97" y="121"/>
                  <a:pt x="97" y="119"/>
                </a:cubicBezTo>
                <a:cubicBezTo>
                  <a:pt x="98" y="111"/>
                  <a:pt x="98" y="103"/>
                  <a:pt x="99" y="94"/>
                </a:cubicBezTo>
                <a:cubicBezTo>
                  <a:pt x="96" y="94"/>
                  <a:pt x="93" y="94"/>
                  <a:pt x="91" y="94"/>
                </a:cubicBezTo>
                <a:cubicBezTo>
                  <a:pt x="91" y="94"/>
                  <a:pt x="91" y="94"/>
                  <a:pt x="91" y="94"/>
                </a:cubicBezTo>
                <a:cubicBezTo>
                  <a:pt x="74" y="93"/>
                  <a:pt x="74" y="93"/>
                  <a:pt x="74" y="93"/>
                </a:cubicBezTo>
                <a:cubicBezTo>
                  <a:pt x="74" y="93"/>
                  <a:pt x="74" y="93"/>
                  <a:pt x="74" y="93"/>
                </a:cubicBezTo>
                <a:cubicBezTo>
                  <a:pt x="74" y="93"/>
                  <a:pt x="74" y="93"/>
                  <a:pt x="74" y="93"/>
                </a:cubicBezTo>
                <a:cubicBezTo>
                  <a:pt x="75" y="101"/>
                  <a:pt x="75" y="110"/>
                  <a:pt x="76" y="119"/>
                </a:cubicBezTo>
                <a:cubicBezTo>
                  <a:pt x="76" y="120"/>
                  <a:pt x="76" y="122"/>
                  <a:pt x="76" y="124"/>
                </a:cubicBezTo>
                <a:cubicBezTo>
                  <a:pt x="79" y="125"/>
                  <a:pt x="82" y="125"/>
                  <a:pt x="85" y="126"/>
                </a:cubicBezTo>
                <a:cubicBezTo>
                  <a:pt x="87" y="127"/>
                  <a:pt x="89" y="127"/>
                  <a:pt x="91" y="128"/>
                </a:cubicBezTo>
                <a:cubicBezTo>
                  <a:pt x="91" y="128"/>
                  <a:pt x="91" y="128"/>
                  <a:pt x="91" y="128"/>
                </a:cubicBezTo>
                <a:cubicBezTo>
                  <a:pt x="93" y="129"/>
                  <a:pt x="95" y="129"/>
                  <a:pt x="97" y="130"/>
                </a:cubicBezTo>
                <a:cubicBezTo>
                  <a:pt x="98" y="130"/>
                  <a:pt x="100" y="131"/>
                  <a:pt x="101" y="131"/>
                </a:cubicBezTo>
                <a:cubicBezTo>
                  <a:pt x="104" y="132"/>
                  <a:pt x="107" y="133"/>
                  <a:pt x="110" y="135"/>
                </a:cubicBezTo>
                <a:cubicBezTo>
                  <a:pt x="111" y="135"/>
                  <a:pt x="113" y="136"/>
                  <a:pt x="114" y="137"/>
                </a:cubicBezTo>
                <a:cubicBezTo>
                  <a:pt x="115" y="137"/>
                  <a:pt x="115" y="137"/>
                  <a:pt x="116" y="138"/>
                </a:cubicBezTo>
                <a:cubicBezTo>
                  <a:pt x="117" y="138"/>
                  <a:pt x="117" y="138"/>
                  <a:pt x="117" y="138"/>
                </a:cubicBezTo>
                <a:cubicBezTo>
                  <a:pt x="117" y="139"/>
                  <a:pt x="117" y="139"/>
                  <a:pt x="117" y="139"/>
                </a:cubicBezTo>
                <a:cubicBezTo>
                  <a:pt x="118" y="139"/>
                  <a:pt x="118" y="139"/>
                  <a:pt x="118" y="139"/>
                </a:cubicBezTo>
                <a:cubicBezTo>
                  <a:pt x="119" y="139"/>
                  <a:pt x="119" y="139"/>
                  <a:pt x="119" y="139"/>
                </a:cubicBezTo>
                <a:cubicBezTo>
                  <a:pt x="120" y="140"/>
                  <a:pt x="121" y="141"/>
                  <a:pt x="123" y="142"/>
                </a:cubicBezTo>
                <a:cubicBezTo>
                  <a:pt x="124" y="142"/>
                  <a:pt x="125" y="141"/>
                  <a:pt x="127" y="141"/>
                </a:cubicBezTo>
                <a:cubicBezTo>
                  <a:pt x="130" y="139"/>
                  <a:pt x="133" y="136"/>
                  <a:pt x="136" y="133"/>
                </a:cubicBezTo>
                <a:cubicBezTo>
                  <a:pt x="139" y="130"/>
                  <a:pt x="141" y="126"/>
                  <a:pt x="143" y="122"/>
                </a:cubicBezTo>
                <a:cubicBezTo>
                  <a:pt x="145" y="117"/>
                  <a:pt x="145" y="113"/>
                  <a:pt x="145" y="108"/>
                </a:cubicBezTo>
                <a:cubicBezTo>
                  <a:pt x="145" y="104"/>
                  <a:pt x="145" y="100"/>
                  <a:pt x="143" y="95"/>
                </a:cubicBezTo>
                <a:cubicBezTo>
                  <a:pt x="141" y="87"/>
                  <a:pt x="136" y="80"/>
                  <a:pt x="130" y="75"/>
                </a:cubicBezTo>
                <a:close/>
                <a:moveTo>
                  <a:pt x="53" y="17"/>
                </a:moveTo>
                <a:cubicBezTo>
                  <a:pt x="54" y="16"/>
                  <a:pt x="59" y="19"/>
                  <a:pt x="60" y="20"/>
                </a:cubicBezTo>
                <a:cubicBezTo>
                  <a:pt x="61" y="21"/>
                  <a:pt x="61" y="23"/>
                  <a:pt x="60" y="24"/>
                </a:cubicBezTo>
                <a:cubicBezTo>
                  <a:pt x="59" y="25"/>
                  <a:pt x="58" y="25"/>
                  <a:pt x="57" y="24"/>
                </a:cubicBezTo>
                <a:cubicBezTo>
                  <a:pt x="56" y="23"/>
                  <a:pt x="52" y="18"/>
                  <a:pt x="53"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4" name="Freeform 33">
            <a:extLst>
              <a:ext uri="{FF2B5EF4-FFF2-40B4-BE49-F238E27FC236}">
                <a16:creationId xmlns:a16="http://schemas.microsoft.com/office/drawing/2014/main" id="{00000000-0008-0000-0100-000022000000}"/>
              </a:ext>
            </a:extLst>
          </xdr:cNvPr>
          <xdr:cNvSpPr>
            <a:spLocks noEditPoints="1"/>
          </xdr:cNvSpPr>
        </xdr:nvSpPr>
        <xdr:spPr bwMode="auto">
          <a:xfrm>
            <a:off x="2709863" y="2154238"/>
            <a:ext cx="280988" cy="554038"/>
          </a:xfrm>
          <a:custGeom>
            <a:avLst/>
            <a:gdLst>
              <a:gd name="T0" fmla="*/ 101 w 120"/>
              <a:gd name="T1" fmla="*/ 158 h 235"/>
              <a:gd name="T2" fmla="*/ 83 w 120"/>
              <a:gd name="T3" fmla="*/ 152 h 235"/>
              <a:gd name="T4" fmla="*/ 62 w 120"/>
              <a:gd name="T5" fmla="*/ 160 h 235"/>
              <a:gd name="T6" fmla="*/ 55 w 120"/>
              <a:gd name="T7" fmla="*/ 168 h 235"/>
              <a:gd name="T8" fmla="*/ 53 w 120"/>
              <a:gd name="T9" fmla="*/ 170 h 235"/>
              <a:gd name="T10" fmla="*/ 53 w 120"/>
              <a:gd name="T11" fmla="*/ 171 h 235"/>
              <a:gd name="T12" fmla="*/ 78 w 120"/>
              <a:gd name="T13" fmla="*/ 189 h 235"/>
              <a:gd name="T14" fmla="*/ 78 w 120"/>
              <a:gd name="T15" fmla="*/ 189 h 235"/>
              <a:gd name="T16" fmla="*/ 78 w 120"/>
              <a:gd name="T17" fmla="*/ 189 h 235"/>
              <a:gd name="T18" fmla="*/ 79 w 120"/>
              <a:gd name="T19" fmla="*/ 188 h 235"/>
              <a:gd name="T20" fmla="*/ 82 w 120"/>
              <a:gd name="T21" fmla="*/ 185 h 235"/>
              <a:gd name="T22" fmla="*/ 83 w 120"/>
              <a:gd name="T23" fmla="*/ 185 h 235"/>
              <a:gd name="T24" fmla="*/ 91 w 120"/>
              <a:gd name="T25" fmla="*/ 191 h 235"/>
              <a:gd name="T26" fmla="*/ 91 w 120"/>
              <a:gd name="T27" fmla="*/ 196 h 235"/>
              <a:gd name="T28" fmla="*/ 73 w 120"/>
              <a:gd name="T29" fmla="*/ 209 h 235"/>
              <a:gd name="T30" fmla="*/ 47 w 120"/>
              <a:gd name="T31" fmla="*/ 214 h 235"/>
              <a:gd name="T32" fmla="*/ 48 w 120"/>
              <a:gd name="T33" fmla="*/ 192 h 235"/>
              <a:gd name="T34" fmla="*/ 47 w 120"/>
              <a:gd name="T35" fmla="*/ 162 h 235"/>
              <a:gd name="T36" fmla="*/ 47 w 120"/>
              <a:gd name="T37" fmla="*/ 139 h 235"/>
              <a:gd name="T38" fmla="*/ 52 w 120"/>
              <a:gd name="T39" fmla="*/ 116 h 235"/>
              <a:gd name="T40" fmla="*/ 53 w 120"/>
              <a:gd name="T41" fmla="*/ 105 h 235"/>
              <a:gd name="T42" fmla="*/ 45 w 120"/>
              <a:gd name="T43" fmla="*/ 85 h 235"/>
              <a:gd name="T44" fmla="*/ 48 w 120"/>
              <a:gd name="T45" fmla="*/ 73 h 235"/>
              <a:gd name="T46" fmla="*/ 51 w 120"/>
              <a:gd name="T47" fmla="*/ 69 h 235"/>
              <a:gd name="T48" fmla="*/ 62 w 120"/>
              <a:gd name="T49" fmla="*/ 54 h 235"/>
              <a:gd name="T50" fmla="*/ 67 w 120"/>
              <a:gd name="T51" fmla="*/ 34 h 235"/>
              <a:gd name="T52" fmla="*/ 0 w 120"/>
              <a:gd name="T53" fmla="*/ 34 h 235"/>
              <a:gd name="T54" fmla="*/ 5 w 120"/>
              <a:gd name="T55" fmla="*/ 54 h 235"/>
              <a:gd name="T56" fmla="*/ 16 w 120"/>
              <a:gd name="T57" fmla="*/ 69 h 235"/>
              <a:gd name="T58" fmla="*/ 19 w 120"/>
              <a:gd name="T59" fmla="*/ 73 h 235"/>
              <a:gd name="T60" fmla="*/ 22 w 120"/>
              <a:gd name="T61" fmla="*/ 85 h 235"/>
              <a:gd name="T62" fmla="*/ 14 w 120"/>
              <a:gd name="T63" fmla="*/ 105 h 235"/>
              <a:gd name="T64" fmla="*/ 15 w 120"/>
              <a:gd name="T65" fmla="*/ 116 h 235"/>
              <a:gd name="T66" fmla="*/ 20 w 120"/>
              <a:gd name="T67" fmla="*/ 139 h 235"/>
              <a:gd name="T68" fmla="*/ 20 w 120"/>
              <a:gd name="T69" fmla="*/ 162 h 235"/>
              <a:gd name="T70" fmla="*/ 19 w 120"/>
              <a:gd name="T71" fmla="*/ 192 h 235"/>
              <a:gd name="T72" fmla="*/ 20 w 120"/>
              <a:gd name="T73" fmla="*/ 212 h 235"/>
              <a:gd name="T74" fmla="*/ 24 w 120"/>
              <a:gd name="T75" fmla="*/ 213 h 235"/>
              <a:gd name="T76" fmla="*/ 40 w 120"/>
              <a:gd name="T77" fmla="*/ 214 h 235"/>
              <a:gd name="T78" fmla="*/ 47 w 120"/>
              <a:gd name="T79" fmla="*/ 215 h 235"/>
              <a:gd name="T80" fmla="*/ 67 w 120"/>
              <a:gd name="T81" fmla="*/ 219 h 235"/>
              <a:gd name="T82" fmla="*/ 68 w 120"/>
              <a:gd name="T83" fmla="*/ 220 h 235"/>
              <a:gd name="T84" fmla="*/ 69 w 120"/>
              <a:gd name="T85" fmla="*/ 220 h 235"/>
              <a:gd name="T86" fmla="*/ 71 w 120"/>
              <a:gd name="T87" fmla="*/ 221 h 235"/>
              <a:gd name="T88" fmla="*/ 78 w 120"/>
              <a:gd name="T89" fmla="*/ 225 h 235"/>
              <a:gd name="T90" fmla="*/ 99 w 120"/>
              <a:gd name="T91" fmla="*/ 229 h 235"/>
              <a:gd name="T92" fmla="*/ 116 w 120"/>
              <a:gd name="T93" fmla="*/ 210 h 235"/>
              <a:gd name="T94" fmla="*/ 118 w 120"/>
              <a:gd name="T95" fmla="*/ 180 h 235"/>
              <a:gd name="T96" fmla="*/ 64 w 120"/>
              <a:gd name="T97" fmla="*/ 176 h 235"/>
              <a:gd name="T98" fmla="*/ 60 w 120"/>
              <a:gd name="T99" fmla="*/ 172 h 235"/>
              <a:gd name="T100" fmla="*/ 64 w 120"/>
              <a:gd name="T101" fmla="*/ 17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120" h="235">
                <a:moveTo>
                  <a:pt x="111" y="167"/>
                </a:moveTo>
                <a:cubicBezTo>
                  <a:pt x="108" y="163"/>
                  <a:pt x="105" y="160"/>
                  <a:pt x="101" y="158"/>
                </a:cubicBezTo>
                <a:cubicBezTo>
                  <a:pt x="98" y="155"/>
                  <a:pt x="94" y="153"/>
                  <a:pt x="89" y="152"/>
                </a:cubicBezTo>
                <a:cubicBezTo>
                  <a:pt x="87" y="152"/>
                  <a:pt x="85" y="152"/>
                  <a:pt x="83" y="152"/>
                </a:cubicBezTo>
                <a:cubicBezTo>
                  <a:pt x="80" y="152"/>
                  <a:pt x="77" y="152"/>
                  <a:pt x="74" y="153"/>
                </a:cubicBezTo>
                <a:cubicBezTo>
                  <a:pt x="69" y="154"/>
                  <a:pt x="65" y="157"/>
                  <a:pt x="62" y="160"/>
                </a:cubicBezTo>
                <a:cubicBezTo>
                  <a:pt x="60" y="162"/>
                  <a:pt x="58" y="163"/>
                  <a:pt x="57" y="165"/>
                </a:cubicBezTo>
                <a:cubicBezTo>
                  <a:pt x="56" y="166"/>
                  <a:pt x="56" y="167"/>
                  <a:pt x="55" y="168"/>
                </a:cubicBezTo>
                <a:cubicBezTo>
                  <a:pt x="55" y="168"/>
                  <a:pt x="54" y="169"/>
                  <a:pt x="54" y="169"/>
                </a:cubicBezTo>
                <a:cubicBezTo>
                  <a:pt x="53" y="170"/>
                  <a:pt x="53" y="170"/>
                  <a:pt x="53" y="170"/>
                </a:cubicBezTo>
                <a:cubicBezTo>
                  <a:pt x="53" y="171"/>
                  <a:pt x="53" y="171"/>
                  <a:pt x="53" y="171"/>
                </a:cubicBezTo>
                <a:cubicBezTo>
                  <a:pt x="53" y="171"/>
                  <a:pt x="53" y="171"/>
                  <a:pt x="53" y="171"/>
                </a:cubicBezTo>
                <a:cubicBezTo>
                  <a:pt x="48" y="179"/>
                  <a:pt x="50" y="189"/>
                  <a:pt x="57" y="194"/>
                </a:cubicBezTo>
                <a:cubicBezTo>
                  <a:pt x="60" y="196"/>
                  <a:pt x="75" y="194"/>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8"/>
                  <a:pt x="78" y="188"/>
                  <a:pt x="79" y="188"/>
                </a:cubicBezTo>
                <a:cubicBezTo>
                  <a:pt x="79" y="187"/>
                  <a:pt x="80" y="187"/>
                  <a:pt x="80" y="186"/>
                </a:cubicBezTo>
                <a:cubicBezTo>
                  <a:pt x="81" y="186"/>
                  <a:pt x="82" y="185"/>
                  <a:pt x="82" y="185"/>
                </a:cubicBezTo>
                <a:cubicBezTo>
                  <a:pt x="82" y="185"/>
                  <a:pt x="83" y="185"/>
                  <a:pt x="83" y="185"/>
                </a:cubicBezTo>
                <a:cubicBezTo>
                  <a:pt x="83" y="185"/>
                  <a:pt x="83" y="185"/>
                  <a:pt x="83" y="185"/>
                </a:cubicBezTo>
                <a:cubicBezTo>
                  <a:pt x="84" y="185"/>
                  <a:pt x="85" y="185"/>
                  <a:pt x="86" y="186"/>
                </a:cubicBezTo>
                <a:cubicBezTo>
                  <a:pt x="89" y="188"/>
                  <a:pt x="90" y="190"/>
                  <a:pt x="91" y="191"/>
                </a:cubicBezTo>
                <a:cubicBezTo>
                  <a:pt x="91" y="192"/>
                  <a:pt x="91" y="193"/>
                  <a:pt x="91" y="193"/>
                </a:cubicBezTo>
                <a:cubicBezTo>
                  <a:pt x="91" y="194"/>
                  <a:pt x="91" y="195"/>
                  <a:pt x="91" y="196"/>
                </a:cubicBezTo>
                <a:cubicBezTo>
                  <a:pt x="90" y="198"/>
                  <a:pt x="88" y="201"/>
                  <a:pt x="85" y="203"/>
                </a:cubicBezTo>
                <a:cubicBezTo>
                  <a:pt x="82" y="206"/>
                  <a:pt x="78" y="207"/>
                  <a:pt x="73" y="209"/>
                </a:cubicBezTo>
                <a:cubicBezTo>
                  <a:pt x="69" y="210"/>
                  <a:pt x="64" y="212"/>
                  <a:pt x="59" y="212"/>
                </a:cubicBezTo>
                <a:cubicBezTo>
                  <a:pt x="55" y="213"/>
                  <a:pt x="51" y="214"/>
                  <a:pt x="47" y="214"/>
                </a:cubicBezTo>
                <a:cubicBezTo>
                  <a:pt x="47" y="212"/>
                  <a:pt x="47" y="209"/>
                  <a:pt x="47" y="207"/>
                </a:cubicBezTo>
                <a:cubicBezTo>
                  <a:pt x="48" y="202"/>
                  <a:pt x="48" y="197"/>
                  <a:pt x="48" y="192"/>
                </a:cubicBezTo>
                <a:cubicBezTo>
                  <a:pt x="48" y="187"/>
                  <a:pt x="48" y="182"/>
                  <a:pt x="48" y="177"/>
                </a:cubicBezTo>
                <a:cubicBezTo>
                  <a:pt x="47" y="162"/>
                  <a:pt x="47" y="162"/>
                  <a:pt x="47" y="162"/>
                </a:cubicBezTo>
                <a:cubicBezTo>
                  <a:pt x="47" y="157"/>
                  <a:pt x="46" y="152"/>
                  <a:pt x="47" y="147"/>
                </a:cubicBezTo>
                <a:cubicBezTo>
                  <a:pt x="47" y="144"/>
                  <a:pt x="47" y="142"/>
                  <a:pt x="47" y="139"/>
                </a:cubicBezTo>
                <a:cubicBezTo>
                  <a:pt x="48" y="137"/>
                  <a:pt x="48" y="134"/>
                  <a:pt x="49" y="132"/>
                </a:cubicBezTo>
                <a:cubicBezTo>
                  <a:pt x="50" y="126"/>
                  <a:pt x="51" y="121"/>
                  <a:pt x="52" y="116"/>
                </a:cubicBezTo>
                <a:cubicBezTo>
                  <a:pt x="52" y="114"/>
                  <a:pt x="53" y="111"/>
                  <a:pt x="53" y="108"/>
                </a:cubicBezTo>
                <a:cubicBezTo>
                  <a:pt x="53" y="107"/>
                  <a:pt x="53" y="106"/>
                  <a:pt x="53" y="105"/>
                </a:cubicBezTo>
                <a:cubicBezTo>
                  <a:pt x="53" y="103"/>
                  <a:pt x="52" y="102"/>
                  <a:pt x="52" y="101"/>
                </a:cubicBezTo>
                <a:cubicBezTo>
                  <a:pt x="50" y="96"/>
                  <a:pt x="46" y="90"/>
                  <a:pt x="45" y="85"/>
                </a:cubicBezTo>
                <a:cubicBezTo>
                  <a:pt x="44" y="83"/>
                  <a:pt x="45" y="80"/>
                  <a:pt x="46" y="77"/>
                </a:cubicBezTo>
                <a:cubicBezTo>
                  <a:pt x="46" y="76"/>
                  <a:pt x="47" y="75"/>
                  <a:pt x="48" y="73"/>
                </a:cubicBezTo>
                <a:cubicBezTo>
                  <a:pt x="48" y="73"/>
                  <a:pt x="49" y="72"/>
                  <a:pt x="49" y="71"/>
                </a:cubicBezTo>
                <a:cubicBezTo>
                  <a:pt x="50" y="71"/>
                  <a:pt x="50" y="70"/>
                  <a:pt x="51" y="69"/>
                </a:cubicBezTo>
                <a:cubicBezTo>
                  <a:pt x="53" y="67"/>
                  <a:pt x="56" y="64"/>
                  <a:pt x="58" y="62"/>
                </a:cubicBezTo>
                <a:cubicBezTo>
                  <a:pt x="60" y="59"/>
                  <a:pt x="62" y="56"/>
                  <a:pt x="62" y="54"/>
                </a:cubicBezTo>
                <a:cubicBezTo>
                  <a:pt x="63" y="53"/>
                  <a:pt x="63" y="51"/>
                  <a:pt x="63" y="50"/>
                </a:cubicBezTo>
                <a:cubicBezTo>
                  <a:pt x="66" y="45"/>
                  <a:pt x="67" y="40"/>
                  <a:pt x="67" y="34"/>
                </a:cubicBezTo>
                <a:cubicBezTo>
                  <a:pt x="67" y="15"/>
                  <a:pt x="52" y="0"/>
                  <a:pt x="34" y="0"/>
                </a:cubicBezTo>
                <a:cubicBezTo>
                  <a:pt x="15" y="0"/>
                  <a:pt x="0" y="15"/>
                  <a:pt x="0" y="34"/>
                </a:cubicBezTo>
                <a:cubicBezTo>
                  <a:pt x="0" y="40"/>
                  <a:pt x="1" y="45"/>
                  <a:pt x="4" y="50"/>
                </a:cubicBezTo>
                <a:cubicBezTo>
                  <a:pt x="4" y="51"/>
                  <a:pt x="4" y="53"/>
                  <a:pt x="5" y="54"/>
                </a:cubicBezTo>
                <a:cubicBezTo>
                  <a:pt x="5" y="56"/>
                  <a:pt x="7" y="59"/>
                  <a:pt x="9" y="62"/>
                </a:cubicBezTo>
                <a:cubicBezTo>
                  <a:pt x="11" y="64"/>
                  <a:pt x="14" y="67"/>
                  <a:pt x="16" y="69"/>
                </a:cubicBezTo>
                <a:cubicBezTo>
                  <a:pt x="17" y="70"/>
                  <a:pt x="17" y="71"/>
                  <a:pt x="18" y="71"/>
                </a:cubicBezTo>
                <a:cubicBezTo>
                  <a:pt x="18" y="72"/>
                  <a:pt x="19" y="73"/>
                  <a:pt x="19" y="73"/>
                </a:cubicBezTo>
                <a:cubicBezTo>
                  <a:pt x="20" y="75"/>
                  <a:pt x="21" y="76"/>
                  <a:pt x="21" y="77"/>
                </a:cubicBezTo>
                <a:cubicBezTo>
                  <a:pt x="22" y="80"/>
                  <a:pt x="22" y="83"/>
                  <a:pt x="22" y="85"/>
                </a:cubicBezTo>
                <a:cubicBezTo>
                  <a:pt x="21" y="90"/>
                  <a:pt x="17" y="96"/>
                  <a:pt x="15" y="101"/>
                </a:cubicBezTo>
                <a:cubicBezTo>
                  <a:pt x="15" y="102"/>
                  <a:pt x="14" y="103"/>
                  <a:pt x="14" y="105"/>
                </a:cubicBezTo>
                <a:cubicBezTo>
                  <a:pt x="14" y="106"/>
                  <a:pt x="14" y="107"/>
                  <a:pt x="14" y="108"/>
                </a:cubicBezTo>
                <a:cubicBezTo>
                  <a:pt x="14" y="111"/>
                  <a:pt x="15" y="114"/>
                  <a:pt x="15" y="116"/>
                </a:cubicBezTo>
                <a:cubicBezTo>
                  <a:pt x="16" y="121"/>
                  <a:pt x="17" y="126"/>
                  <a:pt x="18" y="132"/>
                </a:cubicBezTo>
                <a:cubicBezTo>
                  <a:pt x="19" y="134"/>
                  <a:pt x="19" y="137"/>
                  <a:pt x="20" y="139"/>
                </a:cubicBezTo>
                <a:cubicBezTo>
                  <a:pt x="20" y="142"/>
                  <a:pt x="20" y="144"/>
                  <a:pt x="20" y="147"/>
                </a:cubicBezTo>
                <a:cubicBezTo>
                  <a:pt x="21" y="152"/>
                  <a:pt x="20" y="157"/>
                  <a:pt x="20" y="162"/>
                </a:cubicBezTo>
                <a:cubicBezTo>
                  <a:pt x="19" y="177"/>
                  <a:pt x="19" y="177"/>
                  <a:pt x="19" y="177"/>
                </a:cubicBezTo>
                <a:cubicBezTo>
                  <a:pt x="19" y="182"/>
                  <a:pt x="19" y="187"/>
                  <a:pt x="19" y="192"/>
                </a:cubicBezTo>
                <a:cubicBezTo>
                  <a:pt x="19" y="197"/>
                  <a:pt x="19" y="202"/>
                  <a:pt x="19" y="207"/>
                </a:cubicBezTo>
                <a:cubicBezTo>
                  <a:pt x="20" y="209"/>
                  <a:pt x="20" y="211"/>
                  <a:pt x="20" y="212"/>
                </a:cubicBezTo>
                <a:cubicBezTo>
                  <a:pt x="21" y="212"/>
                  <a:pt x="22" y="213"/>
                  <a:pt x="24" y="213"/>
                </a:cubicBezTo>
                <a:cubicBezTo>
                  <a:pt x="24" y="213"/>
                  <a:pt x="24" y="213"/>
                  <a:pt x="24" y="213"/>
                </a:cubicBezTo>
                <a:cubicBezTo>
                  <a:pt x="40" y="214"/>
                  <a:pt x="40" y="214"/>
                  <a:pt x="40" y="214"/>
                </a:cubicBezTo>
                <a:cubicBezTo>
                  <a:pt x="40" y="214"/>
                  <a:pt x="40" y="214"/>
                  <a:pt x="40" y="214"/>
                </a:cubicBezTo>
                <a:cubicBezTo>
                  <a:pt x="42" y="214"/>
                  <a:pt x="45" y="215"/>
                  <a:pt x="47" y="215"/>
                </a:cubicBezTo>
                <a:cubicBezTo>
                  <a:pt x="47" y="215"/>
                  <a:pt x="47" y="215"/>
                  <a:pt x="47" y="215"/>
                </a:cubicBezTo>
                <a:cubicBezTo>
                  <a:pt x="50" y="215"/>
                  <a:pt x="54" y="216"/>
                  <a:pt x="57" y="217"/>
                </a:cubicBezTo>
                <a:cubicBezTo>
                  <a:pt x="60" y="217"/>
                  <a:pt x="63" y="218"/>
                  <a:pt x="67" y="219"/>
                </a:cubicBezTo>
                <a:cubicBezTo>
                  <a:pt x="68" y="220"/>
                  <a:pt x="68" y="220"/>
                  <a:pt x="68" y="220"/>
                </a:cubicBezTo>
                <a:cubicBezTo>
                  <a:pt x="68" y="220"/>
                  <a:pt x="68" y="220"/>
                  <a:pt x="68" y="220"/>
                </a:cubicBezTo>
                <a:cubicBezTo>
                  <a:pt x="68" y="220"/>
                  <a:pt x="68" y="220"/>
                  <a:pt x="68" y="220"/>
                </a:cubicBezTo>
                <a:cubicBezTo>
                  <a:pt x="69" y="220"/>
                  <a:pt x="69" y="220"/>
                  <a:pt x="69" y="220"/>
                </a:cubicBezTo>
                <a:cubicBezTo>
                  <a:pt x="70" y="220"/>
                  <a:pt x="70" y="220"/>
                  <a:pt x="70" y="220"/>
                </a:cubicBezTo>
                <a:cubicBezTo>
                  <a:pt x="70" y="221"/>
                  <a:pt x="71" y="221"/>
                  <a:pt x="71" y="221"/>
                </a:cubicBezTo>
                <a:cubicBezTo>
                  <a:pt x="72" y="221"/>
                  <a:pt x="72" y="222"/>
                  <a:pt x="73" y="222"/>
                </a:cubicBezTo>
                <a:cubicBezTo>
                  <a:pt x="74" y="223"/>
                  <a:pt x="76" y="224"/>
                  <a:pt x="78" y="225"/>
                </a:cubicBezTo>
                <a:cubicBezTo>
                  <a:pt x="81" y="228"/>
                  <a:pt x="84" y="231"/>
                  <a:pt x="87" y="235"/>
                </a:cubicBezTo>
                <a:cubicBezTo>
                  <a:pt x="91" y="234"/>
                  <a:pt x="95" y="232"/>
                  <a:pt x="99" y="229"/>
                </a:cubicBezTo>
                <a:cubicBezTo>
                  <a:pt x="102" y="227"/>
                  <a:pt x="105" y="224"/>
                  <a:pt x="108" y="221"/>
                </a:cubicBezTo>
                <a:cubicBezTo>
                  <a:pt x="111" y="218"/>
                  <a:pt x="113" y="215"/>
                  <a:pt x="116" y="210"/>
                </a:cubicBezTo>
                <a:cubicBezTo>
                  <a:pt x="118" y="206"/>
                  <a:pt x="119" y="201"/>
                  <a:pt x="120" y="196"/>
                </a:cubicBezTo>
                <a:cubicBezTo>
                  <a:pt x="120" y="190"/>
                  <a:pt x="119" y="185"/>
                  <a:pt x="118" y="180"/>
                </a:cubicBezTo>
                <a:cubicBezTo>
                  <a:pt x="116" y="175"/>
                  <a:pt x="114" y="170"/>
                  <a:pt x="111" y="167"/>
                </a:cubicBezTo>
                <a:close/>
                <a:moveTo>
                  <a:pt x="64" y="176"/>
                </a:moveTo>
                <a:cubicBezTo>
                  <a:pt x="63" y="177"/>
                  <a:pt x="61" y="177"/>
                  <a:pt x="60" y="176"/>
                </a:cubicBezTo>
                <a:cubicBezTo>
                  <a:pt x="59" y="175"/>
                  <a:pt x="59" y="173"/>
                  <a:pt x="60" y="172"/>
                </a:cubicBezTo>
                <a:cubicBezTo>
                  <a:pt x="61" y="171"/>
                  <a:pt x="66" y="168"/>
                  <a:pt x="67" y="169"/>
                </a:cubicBezTo>
                <a:cubicBezTo>
                  <a:pt x="68" y="170"/>
                  <a:pt x="65" y="175"/>
                  <a:pt x="64" y="17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5" name="Freeform 34">
            <a:extLst>
              <a:ext uri="{FF2B5EF4-FFF2-40B4-BE49-F238E27FC236}">
                <a16:creationId xmlns:a16="http://schemas.microsoft.com/office/drawing/2014/main" id="{00000000-0008-0000-0100-000023000000}"/>
              </a:ext>
            </a:extLst>
          </xdr:cNvPr>
          <xdr:cNvSpPr>
            <a:spLocks/>
          </xdr:cNvSpPr>
        </xdr:nvSpPr>
        <xdr:spPr bwMode="auto">
          <a:xfrm>
            <a:off x="2651125" y="2714625"/>
            <a:ext cx="241300" cy="473075"/>
          </a:xfrm>
          <a:custGeom>
            <a:avLst/>
            <a:gdLst>
              <a:gd name="T0" fmla="*/ 88 w 103"/>
              <a:gd name="T1" fmla="*/ 54 h 201"/>
              <a:gd name="T2" fmla="*/ 57 w 103"/>
              <a:gd name="T3" fmla="*/ 42 h 201"/>
              <a:gd name="T4" fmla="*/ 30 w 103"/>
              <a:gd name="T5" fmla="*/ 34 h 201"/>
              <a:gd name="T6" fmla="*/ 29 w 103"/>
              <a:gd name="T7" fmla="*/ 11 h 201"/>
              <a:gd name="T8" fmla="*/ 32 w 103"/>
              <a:gd name="T9" fmla="*/ 9 h 201"/>
              <a:gd name="T10" fmla="*/ 33 w 103"/>
              <a:gd name="T11" fmla="*/ 9 h 201"/>
              <a:gd name="T12" fmla="*/ 6 w 103"/>
              <a:gd name="T13" fmla="*/ 0 h 201"/>
              <a:gd name="T14" fmla="*/ 19 w 103"/>
              <a:gd name="T15" fmla="*/ 55 h 201"/>
              <a:gd name="T16" fmla="*/ 36 w 103"/>
              <a:gd name="T17" fmla="*/ 60 h 201"/>
              <a:gd name="T18" fmla="*/ 79 w 103"/>
              <a:gd name="T19" fmla="*/ 72 h 201"/>
              <a:gd name="T20" fmla="*/ 79 w 103"/>
              <a:gd name="T21" fmla="*/ 73 h 201"/>
              <a:gd name="T22" fmla="*/ 79 w 103"/>
              <a:gd name="T23" fmla="*/ 88 h 201"/>
              <a:gd name="T24" fmla="*/ 67 w 103"/>
              <a:gd name="T25" fmla="*/ 70 h 201"/>
              <a:gd name="T26" fmla="*/ 52 w 103"/>
              <a:gd name="T27" fmla="*/ 66 h 201"/>
              <a:gd name="T28" fmla="*/ 28 w 103"/>
              <a:gd name="T29" fmla="*/ 60 h 201"/>
              <a:gd name="T30" fmla="*/ 19 w 103"/>
              <a:gd name="T31" fmla="*/ 64 h 201"/>
              <a:gd name="T32" fmla="*/ 31 w 103"/>
              <a:gd name="T33" fmla="*/ 106 h 201"/>
              <a:gd name="T34" fmla="*/ 65 w 103"/>
              <a:gd name="T35" fmla="*/ 114 h 201"/>
              <a:gd name="T36" fmla="*/ 73 w 103"/>
              <a:gd name="T37" fmla="*/ 133 h 201"/>
              <a:gd name="T38" fmla="*/ 65 w 103"/>
              <a:gd name="T39" fmla="*/ 116 h 201"/>
              <a:gd name="T40" fmla="*/ 41 w 103"/>
              <a:gd name="T41" fmla="*/ 111 h 201"/>
              <a:gd name="T42" fmla="*/ 27 w 103"/>
              <a:gd name="T43" fmla="*/ 133 h 201"/>
              <a:gd name="T44" fmla="*/ 43 w 103"/>
              <a:gd name="T45" fmla="*/ 148 h 201"/>
              <a:gd name="T46" fmla="*/ 68 w 103"/>
              <a:gd name="T47" fmla="*/ 158 h 201"/>
              <a:gd name="T48" fmla="*/ 72 w 103"/>
              <a:gd name="T49" fmla="*/ 168 h 201"/>
              <a:gd name="T50" fmla="*/ 58 w 103"/>
              <a:gd name="T51" fmla="*/ 154 h 201"/>
              <a:gd name="T52" fmla="*/ 55 w 103"/>
              <a:gd name="T53" fmla="*/ 154 h 201"/>
              <a:gd name="T54" fmla="*/ 52 w 103"/>
              <a:gd name="T55" fmla="*/ 153 h 201"/>
              <a:gd name="T56" fmla="*/ 39 w 103"/>
              <a:gd name="T57" fmla="*/ 151 h 201"/>
              <a:gd name="T58" fmla="*/ 58 w 103"/>
              <a:gd name="T59" fmla="*/ 188 h 201"/>
              <a:gd name="T60" fmla="*/ 85 w 103"/>
              <a:gd name="T61" fmla="*/ 196 h 201"/>
              <a:gd name="T62" fmla="*/ 61 w 103"/>
              <a:gd name="T63" fmla="*/ 180 h 201"/>
              <a:gd name="T64" fmla="*/ 48 w 103"/>
              <a:gd name="T65" fmla="*/ 159 h 201"/>
              <a:gd name="T66" fmla="*/ 53 w 103"/>
              <a:gd name="T67" fmla="*/ 155 h 201"/>
              <a:gd name="T68" fmla="*/ 62 w 103"/>
              <a:gd name="T69" fmla="*/ 178 h 201"/>
              <a:gd name="T70" fmla="*/ 62 w 103"/>
              <a:gd name="T71" fmla="*/ 178 h 201"/>
              <a:gd name="T72" fmla="*/ 83 w 103"/>
              <a:gd name="T73" fmla="*/ 167 h 201"/>
              <a:gd name="T74" fmla="*/ 76 w 103"/>
              <a:gd name="T75" fmla="*/ 149 h 201"/>
              <a:gd name="T76" fmla="*/ 48 w 103"/>
              <a:gd name="T77" fmla="*/ 135 h 201"/>
              <a:gd name="T78" fmla="*/ 40 w 103"/>
              <a:gd name="T79" fmla="*/ 128 h 201"/>
              <a:gd name="T80" fmla="*/ 55 w 103"/>
              <a:gd name="T81" fmla="*/ 136 h 201"/>
              <a:gd name="T82" fmla="*/ 76 w 103"/>
              <a:gd name="T83" fmla="*/ 146 h 201"/>
              <a:gd name="T84" fmla="*/ 83 w 103"/>
              <a:gd name="T85" fmla="*/ 143 h 201"/>
              <a:gd name="T86" fmla="*/ 82 w 103"/>
              <a:gd name="T87" fmla="*/ 104 h 201"/>
              <a:gd name="T88" fmla="*/ 78 w 103"/>
              <a:gd name="T89" fmla="*/ 102 h 201"/>
              <a:gd name="T90" fmla="*/ 38 w 103"/>
              <a:gd name="T91" fmla="*/ 89 h 201"/>
              <a:gd name="T92" fmla="*/ 37 w 103"/>
              <a:gd name="T93" fmla="*/ 73 h 201"/>
              <a:gd name="T94" fmla="*/ 38 w 103"/>
              <a:gd name="T95" fmla="*/ 72 h 201"/>
              <a:gd name="T96" fmla="*/ 51 w 103"/>
              <a:gd name="T97" fmla="*/ 91 h 201"/>
              <a:gd name="T98" fmla="*/ 66 w 103"/>
              <a:gd name="T99" fmla="*/ 95 h 201"/>
              <a:gd name="T100" fmla="*/ 82 w 103"/>
              <a:gd name="T101" fmla="*/ 102 h 201"/>
              <a:gd name="T102" fmla="*/ 86 w 103"/>
              <a:gd name="T103" fmla="*/ 106 h 201"/>
              <a:gd name="T104" fmla="*/ 98 w 103"/>
              <a:gd name="T105" fmla="*/ 64 h 20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03" h="201">
                <a:moveTo>
                  <a:pt x="98" y="64"/>
                </a:moveTo>
                <a:cubicBezTo>
                  <a:pt x="96" y="60"/>
                  <a:pt x="93" y="57"/>
                  <a:pt x="90" y="55"/>
                </a:cubicBezTo>
                <a:cubicBezTo>
                  <a:pt x="89" y="55"/>
                  <a:pt x="89" y="55"/>
                  <a:pt x="89" y="55"/>
                </a:cubicBezTo>
                <a:cubicBezTo>
                  <a:pt x="88" y="54"/>
                  <a:pt x="88" y="54"/>
                  <a:pt x="88" y="54"/>
                </a:cubicBezTo>
                <a:cubicBezTo>
                  <a:pt x="88" y="54"/>
                  <a:pt x="88" y="54"/>
                  <a:pt x="88" y="54"/>
                </a:cubicBezTo>
                <a:cubicBezTo>
                  <a:pt x="87" y="54"/>
                  <a:pt x="87" y="54"/>
                  <a:pt x="87" y="54"/>
                </a:cubicBezTo>
                <a:cubicBezTo>
                  <a:pt x="87" y="53"/>
                  <a:pt x="86" y="53"/>
                  <a:pt x="85" y="53"/>
                </a:cubicBezTo>
                <a:cubicBezTo>
                  <a:pt x="84" y="52"/>
                  <a:pt x="82" y="51"/>
                  <a:pt x="81" y="50"/>
                </a:cubicBezTo>
                <a:cubicBezTo>
                  <a:pt x="78" y="49"/>
                  <a:pt x="75" y="48"/>
                  <a:pt x="73" y="47"/>
                </a:cubicBezTo>
                <a:cubicBezTo>
                  <a:pt x="67" y="45"/>
                  <a:pt x="62" y="44"/>
                  <a:pt x="57" y="42"/>
                </a:cubicBezTo>
                <a:cubicBezTo>
                  <a:pt x="51" y="41"/>
                  <a:pt x="46" y="39"/>
                  <a:pt x="41" y="38"/>
                </a:cubicBezTo>
                <a:cubicBezTo>
                  <a:pt x="39" y="37"/>
                  <a:pt x="36" y="36"/>
                  <a:pt x="34" y="36"/>
                </a:cubicBezTo>
                <a:cubicBezTo>
                  <a:pt x="32" y="35"/>
                  <a:pt x="32" y="35"/>
                  <a:pt x="32" y="35"/>
                </a:cubicBezTo>
                <a:cubicBezTo>
                  <a:pt x="31" y="35"/>
                  <a:pt x="31" y="35"/>
                  <a:pt x="31" y="35"/>
                </a:cubicBezTo>
                <a:cubicBezTo>
                  <a:pt x="30" y="34"/>
                  <a:pt x="30" y="34"/>
                  <a:pt x="30" y="34"/>
                </a:cubicBezTo>
                <a:cubicBezTo>
                  <a:pt x="30" y="34"/>
                  <a:pt x="29" y="34"/>
                  <a:pt x="28" y="33"/>
                </a:cubicBezTo>
                <a:cubicBezTo>
                  <a:pt x="27" y="32"/>
                  <a:pt x="25" y="31"/>
                  <a:pt x="25" y="30"/>
                </a:cubicBezTo>
                <a:cubicBezTo>
                  <a:pt x="24" y="29"/>
                  <a:pt x="23" y="28"/>
                  <a:pt x="23" y="27"/>
                </a:cubicBezTo>
                <a:cubicBezTo>
                  <a:pt x="22" y="25"/>
                  <a:pt x="22" y="21"/>
                  <a:pt x="23" y="18"/>
                </a:cubicBezTo>
                <a:cubicBezTo>
                  <a:pt x="24" y="15"/>
                  <a:pt x="26" y="12"/>
                  <a:pt x="29" y="11"/>
                </a:cubicBezTo>
                <a:cubicBezTo>
                  <a:pt x="30" y="10"/>
                  <a:pt x="30" y="10"/>
                  <a:pt x="31" y="9"/>
                </a:cubicBezTo>
                <a:cubicBezTo>
                  <a:pt x="31" y="9"/>
                  <a:pt x="31" y="9"/>
                  <a:pt x="31"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3" y="9"/>
                  <a:pt x="33" y="9"/>
                  <a:pt x="33" y="9"/>
                </a:cubicBezTo>
                <a:cubicBezTo>
                  <a:pt x="33" y="9"/>
                  <a:pt x="33" y="9"/>
                  <a:pt x="33" y="9"/>
                </a:cubicBezTo>
                <a:cubicBezTo>
                  <a:pt x="35" y="8"/>
                  <a:pt x="37" y="8"/>
                  <a:pt x="39" y="7"/>
                </a:cubicBezTo>
                <a:cubicBezTo>
                  <a:pt x="41" y="7"/>
                  <a:pt x="42" y="7"/>
                  <a:pt x="44" y="7"/>
                </a:cubicBezTo>
                <a:cubicBezTo>
                  <a:pt x="39" y="6"/>
                  <a:pt x="34" y="6"/>
                  <a:pt x="29" y="5"/>
                </a:cubicBezTo>
                <a:cubicBezTo>
                  <a:pt x="22" y="4"/>
                  <a:pt x="17" y="3"/>
                  <a:pt x="11" y="1"/>
                </a:cubicBezTo>
                <a:cubicBezTo>
                  <a:pt x="10" y="1"/>
                  <a:pt x="8" y="0"/>
                  <a:pt x="6" y="0"/>
                </a:cubicBezTo>
                <a:cubicBezTo>
                  <a:pt x="4" y="3"/>
                  <a:pt x="3" y="6"/>
                  <a:pt x="2" y="9"/>
                </a:cubicBezTo>
                <a:cubicBezTo>
                  <a:pt x="0" y="14"/>
                  <a:pt x="0" y="18"/>
                  <a:pt x="0" y="22"/>
                </a:cubicBezTo>
                <a:cubicBezTo>
                  <a:pt x="0" y="27"/>
                  <a:pt x="0" y="31"/>
                  <a:pt x="2" y="36"/>
                </a:cubicBezTo>
                <a:cubicBezTo>
                  <a:pt x="4" y="40"/>
                  <a:pt x="6" y="44"/>
                  <a:pt x="9" y="47"/>
                </a:cubicBezTo>
                <a:cubicBezTo>
                  <a:pt x="12" y="50"/>
                  <a:pt x="15" y="53"/>
                  <a:pt x="19" y="55"/>
                </a:cubicBezTo>
                <a:cubicBezTo>
                  <a:pt x="20" y="56"/>
                  <a:pt x="22" y="56"/>
                  <a:pt x="24" y="57"/>
                </a:cubicBezTo>
                <a:cubicBezTo>
                  <a:pt x="24" y="57"/>
                  <a:pt x="25" y="57"/>
                  <a:pt x="25" y="57"/>
                </a:cubicBezTo>
                <a:cubicBezTo>
                  <a:pt x="26" y="58"/>
                  <a:pt x="26" y="58"/>
                  <a:pt x="26" y="58"/>
                </a:cubicBezTo>
                <a:cubicBezTo>
                  <a:pt x="28" y="58"/>
                  <a:pt x="28" y="58"/>
                  <a:pt x="28" y="58"/>
                </a:cubicBezTo>
                <a:cubicBezTo>
                  <a:pt x="31" y="59"/>
                  <a:pt x="33" y="60"/>
                  <a:pt x="36" y="60"/>
                </a:cubicBezTo>
                <a:cubicBezTo>
                  <a:pt x="42" y="62"/>
                  <a:pt x="47" y="63"/>
                  <a:pt x="52" y="64"/>
                </a:cubicBezTo>
                <a:cubicBezTo>
                  <a:pt x="57" y="65"/>
                  <a:pt x="62" y="67"/>
                  <a:pt x="67" y="68"/>
                </a:cubicBezTo>
                <a:cubicBezTo>
                  <a:pt x="70" y="69"/>
                  <a:pt x="72" y="69"/>
                  <a:pt x="74" y="70"/>
                </a:cubicBezTo>
                <a:cubicBezTo>
                  <a:pt x="75" y="71"/>
                  <a:pt x="76" y="71"/>
                  <a:pt x="77" y="72"/>
                </a:cubicBezTo>
                <a:cubicBezTo>
                  <a:pt x="78" y="72"/>
                  <a:pt x="78" y="72"/>
                  <a:pt x="79" y="72"/>
                </a:cubicBezTo>
                <a:cubicBezTo>
                  <a:pt x="79" y="72"/>
                  <a:pt x="79" y="72"/>
                  <a:pt x="79" y="72"/>
                </a:cubicBezTo>
                <a:cubicBezTo>
                  <a:pt x="79" y="73"/>
                  <a:pt x="79" y="73"/>
                  <a:pt x="79" y="73"/>
                </a:cubicBezTo>
                <a:cubicBezTo>
                  <a:pt x="79" y="73"/>
                  <a:pt x="79" y="73"/>
                  <a:pt x="79" y="73"/>
                </a:cubicBezTo>
                <a:cubicBezTo>
                  <a:pt x="79" y="73"/>
                  <a:pt x="79" y="73"/>
                  <a:pt x="79" y="73"/>
                </a:cubicBezTo>
                <a:cubicBezTo>
                  <a:pt x="79" y="73"/>
                  <a:pt x="79" y="73"/>
                  <a:pt x="79" y="73"/>
                </a:cubicBezTo>
                <a:cubicBezTo>
                  <a:pt x="80" y="73"/>
                  <a:pt x="80" y="73"/>
                  <a:pt x="80" y="73"/>
                </a:cubicBezTo>
                <a:cubicBezTo>
                  <a:pt x="83" y="75"/>
                  <a:pt x="84" y="77"/>
                  <a:pt x="85" y="79"/>
                </a:cubicBezTo>
                <a:cubicBezTo>
                  <a:pt x="85" y="82"/>
                  <a:pt x="84" y="84"/>
                  <a:pt x="82" y="86"/>
                </a:cubicBezTo>
                <a:cubicBezTo>
                  <a:pt x="82" y="87"/>
                  <a:pt x="81" y="87"/>
                  <a:pt x="80" y="88"/>
                </a:cubicBezTo>
                <a:cubicBezTo>
                  <a:pt x="80" y="88"/>
                  <a:pt x="80" y="88"/>
                  <a:pt x="79" y="88"/>
                </a:cubicBezTo>
                <a:cubicBezTo>
                  <a:pt x="79" y="89"/>
                  <a:pt x="79" y="89"/>
                  <a:pt x="79" y="89"/>
                </a:cubicBezTo>
                <a:cubicBezTo>
                  <a:pt x="78" y="89"/>
                  <a:pt x="78" y="89"/>
                  <a:pt x="78" y="89"/>
                </a:cubicBezTo>
                <a:cubicBezTo>
                  <a:pt x="76" y="90"/>
                  <a:pt x="74" y="91"/>
                  <a:pt x="71" y="91"/>
                </a:cubicBezTo>
                <a:cubicBezTo>
                  <a:pt x="70" y="92"/>
                  <a:pt x="68" y="92"/>
                  <a:pt x="66" y="93"/>
                </a:cubicBezTo>
                <a:cubicBezTo>
                  <a:pt x="67" y="85"/>
                  <a:pt x="67" y="78"/>
                  <a:pt x="67" y="70"/>
                </a:cubicBezTo>
                <a:cubicBezTo>
                  <a:pt x="67" y="70"/>
                  <a:pt x="67" y="70"/>
                  <a:pt x="67" y="70"/>
                </a:cubicBezTo>
                <a:cubicBezTo>
                  <a:pt x="63" y="69"/>
                  <a:pt x="59" y="68"/>
                  <a:pt x="54" y="67"/>
                </a:cubicBezTo>
                <a:cubicBezTo>
                  <a:pt x="54" y="67"/>
                  <a:pt x="54" y="67"/>
                  <a:pt x="54" y="67"/>
                </a:cubicBezTo>
                <a:cubicBezTo>
                  <a:pt x="54" y="67"/>
                  <a:pt x="53" y="67"/>
                  <a:pt x="53" y="67"/>
                </a:cubicBezTo>
                <a:cubicBezTo>
                  <a:pt x="52" y="66"/>
                  <a:pt x="52" y="66"/>
                  <a:pt x="52" y="66"/>
                </a:cubicBezTo>
                <a:cubicBezTo>
                  <a:pt x="52" y="66"/>
                  <a:pt x="52" y="66"/>
                  <a:pt x="52" y="66"/>
                </a:cubicBezTo>
                <a:cubicBezTo>
                  <a:pt x="51" y="66"/>
                  <a:pt x="50" y="66"/>
                  <a:pt x="49" y="66"/>
                </a:cubicBezTo>
                <a:cubicBezTo>
                  <a:pt x="49" y="66"/>
                  <a:pt x="49" y="66"/>
                  <a:pt x="49" y="66"/>
                </a:cubicBezTo>
                <a:cubicBezTo>
                  <a:pt x="45" y="65"/>
                  <a:pt x="40" y="64"/>
                  <a:pt x="36" y="62"/>
                </a:cubicBezTo>
                <a:cubicBezTo>
                  <a:pt x="33" y="62"/>
                  <a:pt x="30" y="61"/>
                  <a:pt x="28" y="60"/>
                </a:cubicBezTo>
                <a:cubicBezTo>
                  <a:pt x="26" y="60"/>
                  <a:pt x="26" y="60"/>
                  <a:pt x="26" y="60"/>
                </a:cubicBezTo>
                <a:cubicBezTo>
                  <a:pt x="24" y="59"/>
                  <a:pt x="24" y="59"/>
                  <a:pt x="24" y="59"/>
                </a:cubicBezTo>
                <a:cubicBezTo>
                  <a:pt x="24" y="59"/>
                  <a:pt x="24" y="59"/>
                  <a:pt x="23" y="59"/>
                </a:cubicBezTo>
                <a:cubicBezTo>
                  <a:pt x="23" y="59"/>
                  <a:pt x="23" y="59"/>
                  <a:pt x="23" y="59"/>
                </a:cubicBezTo>
                <a:cubicBezTo>
                  <a:pt x="21" y="60"/>
                  <a:pt x="20" y="62"/>
                  <a:pt x="19" y="64"/>
                </a:cubicBezTo>
                <a:cubicBezTo>
                  <a:pt x="17" y="68"/>
                  <a:pt x="15" y="72"/>
                  <a:pt x="14" y="77"/>
                </a:cubicBezTo>
                <a:cubicBezTo>
                  <a:pt x="14" y="81"/>
                  <a:pt x="14" y="86"/>
                  <a:pt x="16" y="90"/>
                </a:cubicBezTo>
                <a:cubicBezTo>
                  <a:pt x="18" y="95"/>
                  <a:pt x="21" y="98"/>
                  <a:pt x="24" y="101"/>
                </a:cubicBezTo>
                <a:cubicBezTo>
                  <a:pt x="25" y="102"/>
                  <a:pt x="27" y="103"/>
                  <a:pt x="28" y="104"/>
                </a:cubicBezTo>
                <a:cubicBezTo>
                  <a:pt x="29" y="105"/>
                  <a:pt x="30" y="105"/>
                  <a:pt x="31" y="106"/>
                </a:cubicBezTo>
                <a:cubicBezTo>
                  <a:pt x="31" y="106"/>
                  <a:pt x="32" y="106"/>
                  <a:pt x="32" y="106"/>
                </a:cubicBezTo>
                <a:cubicBezTo>
                  <a:pt x="33" y="107"/>
                  <a:pt x="33" y="107"/>
                  <a:pt x="33" y="107"/>
                </a:cubicBezTo>
                <a:cubicBezTo>
                  <a:pt x="36" y="108"/>
                  <a:pt x="39" y="108"/>
                  <a:pt x="42" y="109"/>
                </a:cubicBezTo>
                <a:cubicBezTo>
                  <a:pt x="47" y="110"/>
                  <a:pt x="53" y="111"/>
                  <a:pt x="58" y="112"/>
                </a:cubicBezTo>
                <a:cubicBezTo>
                  <a:pt x="60" y="113"/>
                  <a:pt x="63" y="113"/>
                  <a:pt x="65" y="114"/>
                </a:cubicBezTo>
                <a:cubicBezTo>
                  <a:pt x="67" y="115"/>
                  <a:pt x="69" y="115"/>
                  <a:pt x="71" y="116"/>
                </a:cubicBezTo>
                <a:cubicBezTo>
                  <a:pt x="74" y="118"/>
                  <a:pt x="76" y="121"/>
                  <a:pt x="77" y="124"/>
                </a:cubicBezTo>
                <a:cubicBezTo>
                  <a:pt x="77" y="125"/>
                  <a:pt x="77" y="126"/>
                  <a:pt x="77" y="128"/>
                </a:cubicBezTo>
                <a:cubicBezTo>
                  <a:pt x="76" y="129"/>
                  <a:pt x="76" y="131"/>
                  <a:pt x="74" y="132"/>
                </a:cubicBezTo>
                <a:cubicBezTo>
                  <a:pt x="74" y="132"/>
                  <a:pt x="74" y="132"/>
                  <a:pt x="73" y="133"/>
                </a:cubicBezTo>
                <a:cubicBezTo>
                  <a:pt x="73" y="133"/>
                  <a:pt x="73" y="133"/>
                  <a:pt x="73" y="133"/>
                </a:cubicBezTo>
                <a:cubicBezTo>
                  <a:pt x="72" y="134"/>
                  <a:pt x="72" y="134"/>
                  <a:pt x="72" y="134"/>
                </a:cubicBezTo>
                <a:cubicBezTo>
                  <a:pt x="71" y="134"/>
                  <a:pt x="70" y="135"/>
                  <a:pt x="70" y="135"/>
                </a:cubicBezTo>
                <a:cubicBezTo>
                  <a:pt x="68" y="136"/>
                  <a:pt x="66" y="137"/>
                  <a:pt x="64" y="137"/>
                </a:cubicBezTo>
                <a:cubicBezTo>
                  <a:pt x="65" y="116"/>
                  <a:pt x="65" y="116"/>
                  <a:pt x="65" y="116"/>
                </a:cubicBezTo>
                <a:cubicBezTo>
                  <a:pt x="65" y="116"/>
                  <a:pt x="65" y="116"/>
                  <a:pt x="64" y="116"/>
                </a:cubicBezTo>
                <a:cubicBezTo>
                  <a:pt x="62" y="115"/>
                  <a:pt x="60" y="115"/>
                  <a:pt x="57" y="114"/>
                </a:cubicBezTo>
                <a:cubicBezTo>
                  <a:pt x="55" y="114"/>
                  <a:pt x="54" y="114"/>
                  <a:pt x="52" y="113"/>
                </a:cubicBezTo>
                <a:cubicBezTo>
                  <a:pt x="52" y="113"/>
                  <a:pt x="52" y="113"/>
                  <a:pt x="52" y="113"/>
                </a:cubicBezTo>
                <a:cubicBezTo>
                  <a:pt x="48" y="113"/>
                  <a:pt x="45" y="112"/>
                  <a:pt x="41" y="111"/>
                </a:cubicBezTo>
                <a:cubicBezTo>
                  <a:pt x="39" y="111"/>
                  <a:pt x="36" y="110"/>
                  <a:pt x="32" y="108"/>
                </a:cubicBezTo>
                <a:cubicBezTo>
                  <a:pt x="32" y="108"/>
                  <a:pt x="32" y="108"/>
                  <a:pt x="32" y="108"/>
                </a:cubicBezTo>
                <a:cubicBezTo>
                  <a:pt x="31" y="108"/>
                  <a:pt x="31" y="109"/>
                  <a:pt x="31" y="109"/>
                </a:cubicBezTo>
                <a:cubicBezTo>
                  <a:pt x="28" y="112"/>
                  <a:pt x="27" y="116"/>
                  <a:pt x="26" y="120"/>
                </a:cubicBezTo>
                <a:cubicBezTo>
                  <a:pt x="25" y="125"/>
                  <a:pt x="26" y="129"/>
                  <a:pt x="27" y="133"/>
                </a:cubicBezTo>
                <a:cubicBezTo>
                  <a:pt x="29" y="137"/>
                  <a:pt x="31" y="140"/>
                  <a:pt x="34" y="143"/>
                </a:cubicBezTo>
                <a:cubicBezTo>
                  <a:pt x="35" y="144"/>
                  <a:pt x="35" y="144"/>
                  <a:pt x="36" y="145"/>
                </a:cubicBezTo>
                <a:cubicBezTo>
                  <a:pt x="37" y="145"/>
                  <a:pt x="37" y="145"/>
                  <a:pt x="37" y="145"/>
                </a:cubicBezTo>
                <a:cubicBezTo>
                  <a:pt x="37" y="146"/>
                  <a:pt x="38" y="146"/>
                  <a:pt x="38" y="146"/>
                </a:cubicBezTo>
                <a:cubicBezTo>
                  <a:pt x="40" y="147"/>
                  <a:pt x="41" y="148"/>
                  <a:pt x="43" y="148"/>
                </a:cubicBezTo>
                <a:cubicBezTo>
                  <a:pt x="46" y="150"/>
                  <a:pt x="49" y="150"/>
                  <a:pt x="51" y="151"/>
                </a:cubicBezTo>
                <a:cubicBezTo>
                  <a:pt x="54" y="151"/>
                  <a:pt x="56" y="152"/>
                  <a:pt x="59" y="152"/>
                </a:cubicBezTo>
                <a:cubicBezTo>
                  <a:pt x="61" y="153"/>
                  <a:pt x="63" y="154"/>
                  <a:pt x="64" y="155"/>
                </a:cubicBezTo>
                <a:cubicBezTo>
                  <a:pt x="65" y="156"/>
                  <a:pt x="66" y="156"/>
                  <a:pt x="67" y="157"/>
                </a:cubicBezTo>
                <a:cubicBezTo>
                  <a:pt x="68" y="157"/>
                  <a:pt x="68" y="158"/>
                  <a:pt x="68" y="158"/>
                </a:cubicBezTo>
                <a:cubicBezTo>
                  <a:pt x="69" y="158"/>
                  <a:pt x="69" y="158"/>
                  <a:pt x="69" y="158"/>
                </a:cubicBezTo>
                <a:cubicBezTo>
                  <a:pt x="69" y="159"/>
                  <a:pt x="69" y="159"/>
                  <a:pt x="69" y="159"/>
                </a:cubicBezTo>
                <a:cubicBezTo>
                  <a:pt x="69" y="159"/>
                  <a:pt x="69" y="159"/>
                  <a:pt x="70" y="159"/>
                </a:cubicBezTo>
                <a:cubicBezTo>
                  <a:pt x="71" y="161"/>
                  <a:pt x="72" y="162"/>
                  <a:pt x="72" y="164"/>
                </a:cubicBezTo>
                <a:cubicBezTo>
                  <a:pt x="73" y="166"/>
                  <a:pt x="73" y="167"/>
                  <a:pt x="72" y="168"/>
                </a:cubicBezTo>
                <a:cubicBezTo>
                  <a:pt x="72" y="170"/>
                  <a:pt x="70" y="171"/>
                  <a:pt x="69" y="172"/>
                </a:cubicBezTo>
                <a:cubicBezTo>
                  <a:pt x="67" y="174"/>
                  <a:pt x="65" y="175"/>
                  <a:pt x="62" y="176"/>
                </a:cubicBezTo>
                <a:cubicBezTo>
                  <a:pt x="63" y="157"/>
                  <a:pt x="63" y="157"/>
                  <a:pt x="63" y="157"/>
                </a:cubicBezTo>
                <a:cubicBezTo>
                  <a:pt x="63" y="157"/>
                  <a:pt x="63" y="157"/>
                  <a:pt x="63" y="157"/>
                </a:cubicBezTo>
                <a:cubicBezTo>
                  <a:pt x="62" y="156"/>
                  <a:pt x="60" y="155"/>
                  <a:pt x="58" y="154"/>
                </a:cubicBezTo>
                <a:cubicBezTo>
                  <a:pt x="58" y="154"/>
                  <a:pt x="58" y="154"/>
                  <a:pt x="58" y="154"/>
                </a:cubicBezTo>
                <a:cubicBezTo>
                  <a:pt x="58" y="154"/>
                  <a:pt x="58" y="154"/>
                  <a:pt x="58" y="154"/>
                </a:cubicBezTo>
                <a:cubicBezTo>
                  <a:pt x="57" y="154"/>
                  <a:pt x="56" y="154"/>
                  <a:pt x="55" y="154"/>
                </a:cubicBezTo>
                <a:cubicBezTo>
                  <a:pt x="55" y="154"/>
                  <a:pt x="55" y="154"/>
                  <a:pt x="55" y="154"/>
                </a:cubicBezTo>
                <a:cubicBezTo>
                  <a:pt x="55" y="154"/>
                  <a:pt x="55" y="154"/>
                  <a:pt x="55" y="154"/>
                </a:cubicBezTo>
                <a:cubicBezTo>
                  <a:pt x="55" y="154"/>
                  <a:pt x="54" y="153"/>
                  <a:pt x="54" y="153"/>
                </a:cubicBezTo>
                <a:cubicBezTo>
                  <a:pt x="54" y="153"/>
                  <a:pt x="54" y="153"/>
                  <a:pt x="54" y="153"/>
                </a:cubicBezTo>
                <a:cubicBezTo>
                  <a:pt x="53" y="153"/>
                  <a:pt x="53" y="153"/>
                  <a:pt x="53" y="153"/>
                </a:cubicBezTo>
                <a:cubicBezTo>
                  <a:pt x="53" y="153"/>
                  <a:pt x="53" y="153"/>
                  <a:pt x="53" y="153"/>
                </a:cubicBezTo>
                <a:cubicBezTo>
                  <a:pt x="53" y="153"/>
                  <a:pt x="52" y="153"/>
                  <a:pt x="52" y="153"/>
                </a:cubicBezTo>
                <a:cubicBezTo>
                  <a:pt x="51" y="153"/>
                  <a:pt x="51" y="153"/>
                  <a:pt x="51" y="153"/>
                </a:cubicBezTo>
                <a:cubicBezTo>
                  <a:pt x="48" y="152"/>
                  <a:pt x="45" y="152"/>
                  <a:pt x="42" y="150"/>
                </a:cubicBezTo>
                <a:cubicBezTo>
                  <a:pt x="42" y="150"/>
                  <a:pt x="41" y="150"/>
                  <a:pt x="41" y="150"/>
                </a:cubicBezTo>
                <a:cubicBezTo>
                  <a:pt x="40" y="150"/>
                  <a:pt x="40" y="150"/>
                  <a:pt x="40" y="150"/>
                </a:cubicBezTo>
                <a:cubicBezTo>
                  <a:pt x="40" y="150"/>
                  <a:pt x="40" y="151"/>
                  <a:pt x="39" y="151"/>
                </a:cubicBezTo>
                <a:cubicBezTo>
                  <a:pt x="37" y="154"/>
                  <a:pt x="35" y="157"/>
                  <a:pt x="34" y="161"/>
                </a:cubicBezTo>
                <a:cubicBezTo>
                  <a:pt x="34" y="163"/>
                  <a:pt x="34" y="165"/>
                  <a:pt x="34" y="167"/>
                </a:cubicBezTo>
                <a:cubicBezTo>
                  <a:pt x="34" y="169"/>
                  <a:pt x="35" y="171"/>
                  <a:pt x="36" y="173"/>
                </a:cubicBezTo>
                <a:cubicBezTo>
                  <a:pt x="38" y="177"/>
                  <a:pt x="40" y="180"/>
                  <a:pt x="43" y="181"/>
                </a:cubicBezTo>
                <a:cubicBezTo>
                  <a:pt x="48" y="184"/>
                  <a:pt x="53" y="186"/>
                  <a:pt x="58" y="188"/>
                </a:cubicBezTo>
                <a:cubicBezTo>
                  <a:pt x="64" y="190"/>
                  <a:pt x="69" y="191"/>
                  <a:pt x="74" y="192"/>
                </a:cubicBezTo>
                <a:cubicBezTo>
                  <a:pt x="76" y="193"/>
                  <a:pt x="79" y="194"/>
                  <a:pt x="81" y="195"/>
                </a:cubicBezTo>
                <a:cubicBezTo>
                  <a:pt x="82" y="196"/>
                  <a:pt x="83" y="196"/>
                  <a:pt x="84" y="197"/>
                </a:cubicBezTo>
                <a:cubicBezTo>
                  <a:pt x="84" y="198"/>
                  <a:pt x="85" y="199"/>
                  <a:pt x="86" y="201"/>
                </a:cubicBezTo>
                <a:cubicBezTo>
                  <a:pt x="86" y="199"/>
                  <a:pt x="86" y="198"/>
                  <a:pt x="85" y="196"/>
                </a:cubicBezTo>
                <a:cubicBezTo>
                  <a:pt x="84" y="195"/>
                  <a:pt x="84" y="193"/>
                  <a:pt x="83" y="192"/>
                </a:cubicBezTo>
                <a:cubicBezTo>
                  <a:pt x="80" y="190"/>
                  <a:pt x="78" y="189"/>
                  <a:pt x="76" y="187"/>
                </a:cubicBezTo>
                <a:cubicBezTo>
                  <a:pt x="74" y="186"/>
                  <a:pt x="73" y="186"/>
                  <a:pt x="71" y="185"/>
                </a:cubicBezTo>
                <a:cubicBezTo>
                  <a:pt x="71" y="185"/>
                  <a:pt x="71" y="185"/>
                  <a:pt x="71" y="185"/>
                </a:cubicBezTo>
                <a:cubicBezTo>
                  <a:pt x="68" y="183"/>
                  <a:pt x="64" y="181"/>
                  <a:pt x="61" y="180"/>
                </a:cubicBezTo>
                <a:cubicBezTo>
                  <a:pt x="57" y="178"/>
                  <a:pt x="52" y="175"/>
                  <a:pt x="48" y="172"/>
                </a:cubicBezTo>
                <a:cubicBezTo>
                  <a:pt x="47" y="171"/>
                  <a:pt x="45" y="170"/>
                  <a:pt x="45" y="168"/>
                </a:cubicBezTo>
                <a:cubicBezTo>
                  <a:pt x="44" y="167"/>
                  <a:pt x="44" y="166"/>
                  <a:pt x="45" y="164"/>
                </a:cubicBezTo>
                <a:cubicBezTo>
                  <a:pt x="45" y="162"/>
                  <a:pt x="46" y="161"/>
                  <a:pt x="48" y="159"/>
                </a:cubicBezTo>
                <a:cubicBezTo>
                  <a:pt x="48" y="159"/>
                  <a:pt x="48" y="159"/>
                  <a:pt x="48" y="159"/>
                </a:cubicBezTo>
                <a:cubicBezTo>
                  <a:pt x="48" y="158"/>
                  <a:pt x="48" y="158"/>
                  <a:pt x="48" y="158"/>
                </a:cubicBezTo>
                <a:cubicBezTo>
                  <a:pt x="49" y="158"/>
                  <a:pt x="49" y="158"/>
                  <a:pt x="49" y="158"/>
                </a:cubicBezTo>
                <a:cubicBezTo>
                  <a:pt x="49" y="158"/>
                  <a:pt x="49" y="157"/>
                  <a:pt x="50" y="157"/>
                </a:cubicBezTo>
                <a:cubicBezTo>
                  <a:pt x="51" y="156"/>
                  <a:pt x="52" y="156"/>
                  <a:pt x="53" y="155"/>
                </a:cubicBezTo>
                <a:cubicBezTo>
                  <a:pt x="53" y="155"/>
                  <a:pt x="53" y="155"/>
                  <a:pt x="53" y="155"/>
                </a:cubicBezTo>
                <a:cubicBezTo>
                  <a:pt x="53" y="157"/>
                  <a:pt x="53" y="157"/>
                  <a:pt x="53" y="157"/>
                </a:cubicBezTo>
                <a:cubicBezTo>
                  <a:pt x="54" y="174"/>
                  <a:pt x="54" y="174"/>
                  <a:pt x="54" y="174"/>
                </a:cubicBezTo>
                <a:cubicBezTo>
                  <a:pt x="56" y="175"/>
                  <a:pt x="58" y="176"/>
                  <a:pt x="61" y="177"/>
                </a:cubicBezTo>
                <a:cubicBezTo>
                  <a:pt x="61" y="177"/>
                  <a:pt x="61" y="177"/>
                  <a:pt x="61" y="177"/>
                </a:cubicBezTo>
                <a:cubicBezTo>
                  <a:pt x="61"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4" y="179"/>
                  <a:pt x="66" y="180"/>
                  <a:pt x="67" y="181"/>
                </a:cubicBezTo>
                <a:cubicBezTo>
                  <a:pt x="69" y="181"/>
                  <a:pt x="70" y="182"/>
                  <a:pt x="71" y="183"/>
                </a:cubicBezTo>
                <a:cubicBezTo>
                  <a:pt x="72" y="182"/>
                  <a:pt x="73" y="182"/>
                  <a:pt x="74" y="181"/>
                </a:cubicBezTo>
                <a:cubicBezTo>
                  <a:pt x="77" y="180"/>
                  <a:pt x="80" y="177"/>
                  <a:pt x="81" y="173"/>
                </a:cubicBezTo>
                <a:cubicBezTo>
                  <a:pt x="82" y="171"/>
                  <a:pt x="83" y="169"/>
                  <a:pt x="83" y="167"/>
                </a:cubicBezTo>
                <a:cubicBezTo>
                  <a:pt x="83" y="165"/>
                  <a:pt x="83" y="163"/>
                  <a:pt x="83" y="161"/>
                </a:cubicBezTo>
                <a:cubicBezTo>
                  <a:pt x="82" y="157"/>
                  <a:pt x="80" y="154"/>
                  <a:pt x="78" y="151"/>
                </a:cubicBezTo>
                <a:cubicBezTo>
                  <a:pt x="78" y="151"/>
                  <a:pt x="77" y="150"/>
                  <a:pt x="77" y="150"/>
                </a:cubicBezTo>
                <a:cubicBezTo>
                  <a:pt x="77" y="150"/>
                  <a:pt x="77" y="150"/>
                  <a:pt x="77" y="150"/>
                </a:cubicBezTo>
                <a:cubicBezTo>
                  <a:pt x="76" y="149"/>
                  <a:pt x="76" y="149"/>
                  <a:pt x="76" y="149"/>
                </a:cubicBezTo>
                <a:cubicBezTo>
                  <a:pt x="76" y="148"/>
                  <a:pt x="75" y="148"/>
                  <a:pt x="74" y="147"/>
                </a:cubicBezTo>
                <a:cubicBezTo>
                  <a:pt x="73" y="146"/>
                  <a:pt x="72" y="145"/>
                  <a:pt x="71" y="144"/>
                </a:cubicBezTo>
                <a:cubicBezTo>
                  <a:pt x="68" y="143"/>
                  <a:pt x="65" y="141"/>
                  <a:pt x="62" y="140"/>
                </a:cubicBezTo>
                <a:cubicBezTo>
                  <a:pt x="59" y="139"/>
                  <a:pt x="57" y="138"/>
                  <a:pt x="54" y="137"/>
                </a:cubicBezTo>
                <a:cubicBezTo>
                  <a:pt x="52" y="137"/>
                  <a:pt x="49" y="136"/>
                  <a:pt x="48" y="135"/>
                </a:cubicBezTo>
                <a:cubicBezTo>
                  <a:pt x="47" y="135"/>
                  <a:pt x="46" y="134"/>
                  <a:pt x="45" y="134"/>
                </a:cubicBezTo>
                <a:cubicBezTo>
                  <a:pt x="44" y="133"/>
                  <a:pt x="44" y="133"/>
                  <a:pt x="44" y="133"/>
                </a:cubicBezTo>
                <a:cubicBezTo>
                  <a:pt x="44" y="133"/>
                  <a:pt x="44" y="133"/>
                  <a:pt x="44" y="133"/>
                </a:cubicBezTo>
                <a:cubicBezTo>
                  <a:pt x="43" y="132"/>
                  <a:pt x="43" y="132"/>
                  <a:pt x="43" y="132"/>
                </a:cubicBezTo>
                <a:cubicBezTo>
                  <a:pt x="42" y="131"/>
                  <a:pt x="41" y="129"/>
                  <a:pt x="40" y="128"/>
                </a:cubicBezTo>
                <a:cubicBezTo>
                  <a:pt x="40" y="126"/>
                  <a:pt x="40" y="125"/>
                  <a:pt x="40" y="124"/>
                </a:cubicBezTo>
                <a:cubicBezTo>
                  <a:pt x="41" y="121"/>
                  <a:pt x="43" y="118"/>
                  <a:pt x="46" y="116"/>
                </a:cubicBezTo>
                <a:cubicBezTo>
                  <a:pt x="48" y="116"/>
                  <a:pt x="50" y="115"/>
                  <a:pt x="52" y="114"/>
                </a:cubicBezTo>
                <a:cubicBezTo>
                  <a:pt x="53" y="135"/>
                  <a:pt x="53" y="135"/>
                  <a:pt x="53" y="135"/>
                </a:cubicBezTo>
                <a:cubicBezTo>
                  <a:pt x="53" y="135"/>
                  <a:pt x="54" y="135"/>
                  <a:pt x="55" y="136"/>
                </a:cubicBezTo>
                <a:cubicBezTo>
                  <a:pt x="55" y="136"/>
                  <a:pt x="55" y="136"/>
                  <a:pt x="55" y="136"/>
                </a:cubicBezTo>
                <a:cubicBezTo>
                  <a:pt x="57" y="136"/>
                  <a:pt x="60" y="137"/>
                  <a:pt x="63" y="138"/>
                </a:cubicBezTo>
                <a:cubicBezTo>
                  <a:pt x="63" y="138"/>
                  <a:pt x="63" y="138"/>
                  <a:pt x="63" y="138"/>
                </a:cubicBezTo>
                <a:cubicBezTo>
                  <a:pt x="66" y="139"/>
                  <a:pt x="69" y="141"/>
                  <a:pt x="72" y="143"/>
                </a:cubicBezTo>
                <a:cubicBezTo>
                  <a:pt x="73" y="144"/>
                  <a:pt x="74" y="145"/>
                  <a:pt x="76" y="146"/>
                </a:cubicBezTo>
                <a:cubicBezTo>
                  <a:pt x="76" y="146"/>
                  <a:pt x="76" y="147"/>
                  <a:pt x="77" y="147"/>
                </a:cubicBezTo>
                <a:cubicBezTo>
                  <a:pt x="78" y="147"/>
                  <a:pt x="78" y="146"/>
                  <a:pt x="79" y="146"/>
                </a:cubicBezTo>
                <a:cubicBezTo>
                  <a:pt x="79" y="146"/>
                  <a:pt x="80" y="146"/>
                  <a:pt x="80" y="145"/>
                </a:cubicBezTo>
                <a:cubicBezTo>
                  <a:pt x="81" y="145"/>
                  <a:pt x="81" y="145"/>
                  <a:pt x="81" y="145"/>
                </a:cubicBezTo>
                <a:cubicBezTo>
                  <a:pt x="82" y="144"/>
                  <a:pt x="82" y="144"/>
                  <a:pt x="83" y="143"/>
                </a:cubicBezTo>
                <a:cubicBezTo>
                  <a:pt x="86" y="140"/>
                  <a:pt x="88" y="137"/>
                  <a:pt x="90" y="133"/>
                </a:cubicBezTo>
                <a:cubicBezTo>
                  <a:pt x="91" y="129"/>
                  <a:pt x="92" y="125"/>
                  <a:pt x="91" y="120"/>
                </a:cubicBezTo>
                <a:cubicBezTo>
                  <a:pt x="90" y="116"/>
                  <a:pt x="89" y="112"/>
                  <a:pt x="86" y="109"/>
                </a:cubicBezTo>
                <a:cubicBezTo>
                  <a:pt x="85" y="108"/>
                  <a:pt x="84" y="106"/>
                  <a:pt x="82" y="105"/>
                </a:cubicBezTo>
                <a:cubicBezTo>
                  <a:pt x="82" y="104"/>
                  <a:pt x="82" y="104"/>
                  <a:pt x="82" y="104"/>
                </a:cubicBezTo>
                <a:cubicBezTo>
                  <a:pt x="81" y="104"/>
                  <a:pt x="81" y="104"/>
                  <a:pt x="81" y="104"/>
                </a:cubicBezTo>
                <a:cubicBezTo>
                  <a:pt x="81" y="104"/>
                  <a:pt x="81" y="104"/>
                  <a:pt x="81" y="104"/>
                </a:cubicBezTo>
                <a:cubicBezTo>
                  <a:pt x="81" y="104"/>
                  <a:pt x="81" y="104"/>
                  <a:pt x="81" y="104"/>
                </a:cubicBezTo>
                <a:cubicBezTo>
                  <a:pt x="80" y="103"/>
                  <a:pt x="80" y="103"/>
                  <a:pt x="80" y="103"/>
                </a:cubicBezTo>
                <a:cubicBezTo>
                  <a:pt x="80" y="103"/>
                  <a:pt x="79" y="102"/>
                  <a:pt x="78" y="102"/>
                </a:cubicBezTo>
                <a:cubicBezTo>
                  <a:pt x="75" y="100"/>
                  <a:pt x="72" y="99"/>
                  <a:pt x="69" y="98"/>
                </a:cubicBezTo>
                <a:cubicBezTo>
                  <a:pt x="66" y="97"/>
                  <a:pt x="64" y="96"/>
                  <a:pt x="61" y="95"/>
                </a:cubicBezTo>
                <a:cubicBezTo>
                  <a:pt x="56" y="94"/>
                  <a:pt x="50" y="93"/>
                  <a:pt x="46" y="91"/>
                </a:cubicBezTo>
                <a:cubicBezTo>
                  <a:pt x="43" y="91"/>
                  <a:pt x="41" y="90"/>
                  <a:pt x="39" y="89"/>
                </a:cubicBezTo>
                <a:cubicBezTo>
                  <a:pt x="38" y="89"/>
                  <a:pt x="38" y="89"/>
                  <a:pt x="38" y="89"/>
                </a:cubicBezTo>
                <a:cubicBezTo>
                  <a:pt x="38" y="89"/>
                  <a:pt x="38" y="89"/>
                  <a:pt x="38" y="88"/>
                </a:cubicBezTo>
                <a:cubicBezTo>
                  <a:pt x="37" y="88"/>
                  <a:pt x="37" y="88"/>
                  <a:pt x="37" y="88"/>
                </a:cubicBezTo>
                <a:cubicBezTo>
                  <a:pt x="36" y="87"/>
                  <a:pt x="35" y="87"/>
                  <a:pt x="35" y="86"/>
                </a:cubicBezTo>
                <a:cubicBezTo>
                  <a:pt x="33" y="84"/>
                  <a:pt x="32" y="82"/>
                  <a:pt x="32" y="79"/>
                </a:cubicBezTo>
                <a:cubicBezTo>
                  <a:pt x="33" y="77"/>
                  <a:pt x="34" y="75"/>
                  <a:pt x="37" y="73"/>
                </a:cubicBezTo>
                <a:cubicBezTo>
                  <a:pt x="38" y="73"/>
                  <a:pt x="38" y="73"/>
                  <a:pt x="38" y="73"/>
                </a:cubicBezTo>
                <a:cubicBezTo>
                  <a:pt x="38" y="73"/>
                  <a:pt x="38" y="73"/>
                  <a:pt x="38" y="73"/>
                </a:cubicBezTo>
                <a:cubicBezTo>
                  <a:pt x="38" y="73"/>
                  <a:pt x="38" y="73"/>
                  <a:pt x="38" y="73"/>
                </a:cubicBezTo>
                <a:cubicBezTo>
                  <a:pt x="38" y="73"/>
                  <a:pt x="38" y="73"/>
                  <a:pt x="38" y="73"/>
                </a:cubicBezTo>
                <a:cubicBezTo>
                  <a:pt x="38" y="72"/>
                  <a:pt x="38" y="72"/>
                  <a:pt x="38" y="72"/>
                </a:cubicBezTo>
                <a:cubicBezTo>
                  <a:pt x="38" y="72"/>
                  <a:pt x="38" y="72"/>
                  <a:pt x="38" y="72"/>
                </a:cubicBezTo>
                <a:cubicBezTo>
                  <a:pt x="39" y="72"/>
                  <a:pt x="39" y="72"/>
                  <a:pt x="40" y="72"/>
                </a:cubicBezTo>
                <a:cubicBezTo>
                  <a:pt x="41" y="71"/>
                  <a:pt x="42" y="71"/>
                  <a:pt x="43" y="70"/>
                </a:cubicBezTo>
                <a:cubicBezTo>
                  <a:pt x="45" y="70"/>
                  <a:pt x="47" y="69"/>
                  <a:pt x="50" y="68"/>
                </a:cubicBezTo>
                <a:cubicBezTo>
                  <a:pt x="50" y="76"/>
                  <a:pt x="50" y="83"/>
                  <a:pt x="51" y="91"/>
                </a:cubicBezTo>
                <a:cubicBezTo>
                  <a:pt x="54" y="91"/>
                  <a:pt x="58" y="92"/>
                  <a:pt x="61" y="93"/>
                </a:cubicBezTo>
                <a:cubicBezTo>
                  <a:pt x="62" y="93"/>
                  <a:pt x="63" y="94"/>
                  <a:pt x="64" y="94"/>
                </a:cubicBezTo>
                <a:cubicBezTo>
                  <a:pt x="64" y="94"/>
                  <a:pt x="64" y="94"/>
                  <a:pt x="64" y="94"/>
                </a:cubicBezTo>
                <a:cubicBezTo>
                  <a:pt x="65" y="94"/>
                  <a:pt x="65" y="94"/>
                  <a:pt x="66" y="95"/>
                </a:cubicBezTo>
                <a:cubicBezTo>
                  <a:pt x="66" y="95"/>
                  <a:pt x="66" y="95"/>
                  <a:pt x="66" y="95"/>
                </a:cubicBezTo>
                <a:cubicBezTo>
                  <a:pt x="67" y="95"/>
                  <a:pt x="69" y="95"/>
                  <a:pt x="70" y="96"/>
                </a:cubicBezTo>
                <a:cubicBezTo>
                  <a:pt x="72" y="97"/>
                  <a:pt x="76" y="98"/>
                  <a:pt x="79" y="100"/>
                </a:cubicBezTo>
                <a:cubicBezTo>
                  <a:pt x="80" y="100"/>
                  <a:pt x="81" y="101"/>
                  <a:pt x="81" y="101"/>
                </a:cubicBezTo>
                <a:cubicBezTo>
                  <a:pt x="82" y="102"/>
                  <a:pt x="82" y="102"/>
                  <a:pt x="82" y="102"/>
                </a:cubicBezTo>
                <a:cubicBezTo>
                  <a:pt x="82" y="102"/>
                  <a:pt x="82" y="102"/>
                  <a:pt x="82" y="102"/>
                </a:cubicBezTo>
                <a:cubicBezTo>
                  <a:pt x="83" y="102"/>
                  <a:pt x="83" y="102"/>
                  <a:pt x="83" y="102"/>
                </a:cubicBezTo>
                <a:cubicBezTo>
                  <a:pt x="83" y="103"/>
                  <a:pt x="83" y="103"/>
                  <a:pt x="83" y="103"/>
                </a:cubicBezTo>
                <a:cubicBezTo>
                  <a:pt x="84" y="103"/>
                  <a:pt x="84" y="103"/>
                  <a:pt x="84" y="103"/>
                </a:cubicBezTo>
                <a:cubicBezTo>
                  <a:pt x="85" y="104"/>
                  <a:pt x="85" y="105"/>
                  <a:pt x="86" y="106"/>
                </a:cubicBezTo>
                <a:cubicBezTo>
                  <a:pt x="86" y="106"/>
                  <a:pt x="86" y="106"/>
                  <a:pt x="86" y="106"/>
                </a:cubicBezTo>
                <a:cubicBezTo>
                  <a:pt x="87" y="105"/>
                  <a:pt x="88" y="105"/>
                  <a:pt x="89" y="104"/>
                </a:cubicBezTo>
                <a:cubicBezTo>
                  <a:pt x="90" y="103"/>
                  <a:pt x="92" y="102"/>
                  <a:pt x="94" y="101"/>
                </a:cubicBezTo>
                <a:cubicBezTo>
                  <a:pt x="97" y="98"/>
                  <a:pt x="99" y="95"/>
                  <a:pt x="101" y="90"/>
                </a:cubicBezTo>
                <a:cubicBezTo>
                  <a:pt x="103" y="86"/>
                  <a:pt x="103" y="81"/>
                  <a:pt x="103" y="77"/>
                </a:cubicBezTo>
                <a:cubicBezTo>
                  <a:pt x="102" y="72"/>
                  <a:pt x="101" y="68"/>
                  <a:pt x="98" y="6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35">
            <a:extLst>
              <a:ext uri="{FF2B5EF4-FFF2-40B4-BE49-F238E27FC236}">
                <a16:creationId xmlns:a16="http://schemas.microsoft.com/office/drawing/2014/main" id="{00000000-0008-0000-0100-000024000000}"/>
              </a:ext>
            </a:extLst>
          </xdr:cNvPr>
          <xdr:cNvSpPr>
            <a:spLocks/>
          </xdr:cNvSpPr>
        </xdr:nvSpPr>
        <xdr:spPr bwMode="auto">
          <a:xfrm>
            <a:off x="2724150" y="3149600"/>
            <a:ext cx="73025" cy="146050"/>
          </a:xfrm>
          <a:custGeom>
            <a:avLst/>
            <a:gdLst>
              <a:gd name="T0" fmla="*/ 27 w 31"/>
              <a:gd name="T1" fmla="*/ 5 h 62"/>
              <a:gd name="T2" fmla="*/ 24 w 31"/>
              <a:gd name="T3" fmla="*/ 4 h 62"/>
              <a:gd name="T4" fmla="*/ 24 w 31"/>
              <a:gd name="T5" fmla="*/ 4 h 62"/>
              <a:gd name="T6" fmla="*/ 15 w 31"/>
              <a:gd name="T7" fmla="*/ 0 h 62"/>
              <a:gd name="T8" fmla="*/ 10 w 31"/>
              <a:gd name="T9" fmla="*/ 2 h 62"/>
              <a:gd name="T10" fmla="*/ 4 w 31"/>
              <a:gd name="T11" fmla="*/ 7 h 62"/>
              <a:gd name="T12" fmla="*/ 1 w 31"/>
              <a:gd name="T13" fmla="*/ 11 h 62"/>
              <a:gd name="T14" fmla="*/ 0 w 31"/>
              <a:gd name="T15" fmla="*/ 16 h 62"/>
              <a:gd name="T16" fmla="*/ 2 w 31"/>
              <a:gd name="T17" fmla="*/ 12 h 62"/>
              <a:gd name="T18" fmla="*/ 5 w 31"/>
              <a:gd name="T19" fmla="*/ 10 h 62"/>
              <a:gd name="T20" fmla="*/ 12 w 31"/>
              <a:gd name="T21" fmla="*/ 7 h 62"/>
              <a:gd name="T22" fmla="*/ 24 w 31"/>
              <a:gd name="T23" fmla="*/ 4 h 62"/>
              <a:gd name="T24" fmla="*/ 25 w 31"/>
              <a:gd name="T25" fmla="*/ 22 h 62"/>
              <a:gd name="T26" fmla="*/ 27 w 31"/>
              <a:gd name="T27" fmla="*/ 62 h 62"/>
              <a:gd name="T28" fmla="*/ 30 w 31"/>
              <a:gd name="T29" fmla="*/ 22 h 62"/>
              <a:gd name="T30" fmla="*/ 31 w 31"/>
              <a:gd name="T31" fmla="*/ 6 h 62"/>
              <a:gd name="T32" fmla="*/ 27 w 31"/>
              <a:gd name="T33" fmla="*/ 5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31" h="62">
                <a:moveTo>
                  <a:pt x="27" y="5"/>
                </a:moveTo>
                <a:cubicBezTo>
                  <a:pt x="26" y="5"/>
                  <a:pt x="25" y="5"/>
                  <a:pt x="24" y="4"/>
                </a:cubicBezTo>
                <a:cubicBezTo>
                  <a:pt x="24" y="4"/>
                  <a:pt x="24" y="4"/>
                  <a:pt x="24" y="4"/>
                </a:cubicBezTo>
                <a:cubicBezTo>
                  <a:pt x="21" y="3"/>
                  <a:pt x="18" y="2"/>
                  <a:pt x="15" y="0"/>
                </a:cubicBezTo>
                <a:cubicBezTo>
                  <a:pt x="13" y="1"/>
                  <a:pt x="12" y="1"/>
                  <a:pt x="10" y="2"/>
                </a:cubicBezTo>
                <a:cubicBezTo>
                  <a:pt x="8" y="4"/>
                  <a:pt x="6" y="5"/>
                  <a:pt x="4" y="7"/>
                </a:cubicBezTo>
                <a:cubicBezTo>
                  <a:pt x="3" y="8"/>
                  <a:pt x="2" y="10"/>
                  <a:pt x="1" y="11"/>
                </a:cubicBezTo>
                <a:cubicBezTo>
                  <a:pt x="1" y="13"/>
                  <a:pt x="0" y="14"/>
                  <a:pt x="0" y="16"/>
                </a:cubicBezTo>
                <a:cubicBezTo>
                  <a:pt x="1" y="14"/>
                  <a:pt x="2" y="13"/>
                  <a:pt x="2" y="12"/>
                </a:cubicBezTo>
                <a:cubicBezTo>
                  <a:pt x="3" y="11"/>
                  <a:pt x="4" y="11"/>
                  <a:pt x="5" y="10"/>
                </a:cubicBezTo>
                <a:cubicBezTo>
                  <a:pt x="8" y="9"/>
                  <a:pt x="10" y="8"/>
                  <a:pt x="12" y="7"/>
                </a:cubicBezTo>
                <a:cubicBezTo>
                  <a:pt x="16" y="6"/>
                  <a:pt x="20" y="5"/>
                  <a:pt x="24" y="4"/>
                </a:cubicBezTo>
                <a:cubicBezTo>
                  <a:pt x="25" y="22"/>
                  <a:pt x="25" y="22"/>
                  <a:pt x="25" y="22"/>
                </a:cubicBezTo>
                <a:cubicBezTo>
                  <a:pt x="27" y="62"/>
                  <a:pt x="27" y="62"/>
                  <a:pt x="27" y="62"/>
                </a:cubicBezTo>
                <a:cubicBezTo>
                  <a:pt x="30" y="22"/>
                  <a:pt x="30" y="22"/>
                  <a:pt x="30" y="22"/>
                </a:cubicBezTo>
                <a:cubicBezTo>
                  <a:pt x="31" y="6"/>
                  <a:pt x="31" y="6"/>
                  <a:pt x="31" y="6"/>
                </a:cubicBezTo>
                <a:cubicBezTo>
                  <a:pt x="29" y="6"/>
                  <a:pt x="28" y="6"/>
                  <a:pt x="27" y="5"/>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3</xdr:col>
      <xdr:colOff>175372</xdr:colOff>
      <xdr:row>13</xdr:row>
      <xdr:rowOff>62754</xdr:rowOff>
    </xdr:from>
    <xdr:to>
      <xdr:col>4</xdr:col>
      <xdr:colOff>157443</xdr:colOff>
      <xdr:row>14</xdr:row>
      <xdr:rowOff>50975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biLevel thresh="75000"/>
        </a:blip>
        <a:stretch>
          <a:fillRect/>
        </a:stretch>
      </xdr:blipFill>
      <xdr:spPr>
        <a:xfrm>
          <a:off x="2353796" y="3962401"/>
          <a:ext cx="295835" cy="185444"/>
        </a:xfrm>
        <a:prstGeom prst="rect">
          <a:avLst/>
        </a:prstGeom>
      </xdr:spPr>
    </xdr:pic>
    <xdr:clientData/>
  </xdr:twoCellAnchor>
  <xdr:twoCellAnchor>
    <xdr:from>
      <xdr:col>3</xdr:col>
      <xdr:colOff>237726</xdr:colOff>
      <xdr:row>14</xdr:row>
      <xdr:rowOff>162141</xdr:rowOff>
    </xdr:from>
    <xdr:to>
      <xdr:col>4</xdr:col>
      <xdr:colOff>154412</xdr:colOff>
      <xdr:row>16</xdr:row>
      <xdr:rowOff>26895</xdr:rowOff>
    </xdr:to>
    <xdr:sp macro="" textlink="">
      <xdr:nvSpPr>
        <xdr:cNvPr id="38" name="Freeform 37">
          <a:extLst>
            <a:ext uri="{FF2B5EF4-FFF2-40B4-BE49-F238E27FC236}">
              <a16:creationId xmlns:a16="http://schemas.microsoft.com/office/drawing/2014/main" id="{00000000-0008-0000-0100-000026000000}"/>
            </a:ext>
          </a:extLst>
        </xdr:cNvPr>
        <xdr:cNvSpPr>
          <a:spLocks noEditPoints="1"/>
        </xdr:cNvSpPr>
      </xdr:nvSpPr>
      <xdr:spPr bwMode="auto">
        <a:xfrm>
          <a:off x="2416150" y="4635529"/>
          <a:ext cx="230450" cy="241272"/>
        </a:xfrm>
        <a:custGeom>
          <a:avLst/>
          <a:gdLst>
            <a:gd name="T0" fmla="*/ 340 w 355"/>
            <a:gd name="T1" fmla="*/ 283 h 354"/>
            <a:gd name="T2" fmla="*/ 263 w 355"/>
            <a:gd name="T3" fmla="*/ 206 h 354"/>
            <a:gd name="T4" fmla="*/ 280 w 355"/>
            <a:gd name="T5" fmla="*/ 140 h 354"/>
            <a:gd name="T6" fmla="*/ 239 w 355"/>
            <a:gd name="T7" fmla="*/ 41 h 354"/>
            <a:gd name="T8" fmla="*/ 140 w 355"/>
            <a:gd name="T9" fmla="*/ 0 h 354"/>
            <a:gd name="T10" fmla="*/ 0 w 355"/>
            <a:gd name="T11" fmla="*/ 140 h 354"/>
            <a:gd name="T12" fmla="*/ 41 w 355"/>
            <a:gd name="T13" fmla="*/ 239 h 354"/>
            <a:gd name="T14" fmla="*/ 140 w 355"/>
            <a:gd name="T15" fmla="*/ 279 h 354"/>
            <a:gd name="T16" fmla="*/ 207 w 355"/>
            <a:gd name="T17" fmla="*/ 262 h 354"/>
            <a:gd name="T18" fmla="*/ 284 w 355"/>
            <a:gd name="T19" fmla="*/ 339 h 354"/>
            <a:gd name="T20" fmla="*/ 340 w 355"/>
            <a:gd name="T21" fmla="*/ 339 h 354"/>
            <a:gd name="T22" fmla="*/ 340 w 355"/>
            <a:gd name="T23" fmla="*/ 283 h 354"/>
            <a:gd name="T24" fmla="*/ 70 w 355"/>
            <a:gd name="T25" fmla="*/ 210 h 354"/>
            <a:gd name="T26" fmla="*/ 40 w 355"/>
            <a:gd name="T27" fmla="*/ 140 h 354"/>
            <a:gd name="T28" fmla="*/ 140 w 355"/>
            <a:gd name="T29" fmla="*/ 40 h 354"/>
            <a:gd name="T30" fmla="*/ 240 w 355"/>
            <a:gd name="T31" fmla="*/ 140 h 354"/>
            <a:gd name="T32" fmla="*/ 140 w 355"/>
            <a:gd name="T33" fmla="*/ 239 h 354"/>
            <a:gd name="T34" fmla="*/ 70 w 355"/>
            <a:gd name="T35" fmla="*/ 210 h 354"/>
            <a:gd name="T36" fmla="*/ 202 w 355"/>
            <a:gd name="T37" fmla="*/ 140 h 354"/>
            <a:gd name="T38" fmla="*/ 188 w 355"/>
            <a:gd name="T39" fmla="*/ 154 h 354"/>
            <a:gd name="T40" fmla="*/ 153 w 355"/>
            <a:gd name="T41" fmla="*/ 154 h 354"/>
            <a:gd name="T42" fmla="*/ 153 w 355"/>
            <a:gd name="T43" fmla="*/ 189 h 354"/>
            <a:gd name="T44" fmla="*/ 139 w 355"/>
            <a:gd name="T45" fmla="*/ 203 h 354"/>
            <a:gd name="T46" fmla="*/ 125 w 355"/>
            <a:gd name="T47" fmla="*/ 189 h 354"/>
            <a:gd name="T48" fmla="*/ 125 w 355"/>
            <a:gd name="T49" fmla="*/ 154 h 354"/>
            <a:gd name="T50" fmla="*/ 89 w 355"/>
            <a:gd name="T51" fmla="*/ 154 h 354"/>
            <a:gd name="T52" fmla="*/ 75 w 355"/>
            <a:gd name="T53" fmla="*/ 140 h 354"/>
            <a:gd name="T54" fmla="*/ 89 w 355"/>
            <a:gd name="T55" fmla="*/ 126 h 354"/>
            <a:gd name="T56" fmla="*/ 125 w 355"/>
            <a:gd name="T57" fmla="*/ 126 h 354"/>
            <a:gd name="T58" fmla="*/ 125 w 355"/>
            <a:gd name="T59" fmla="*/ 90 h 354"/>
            <a:gd name="T60" fmla="*/ 139 w 355"/>
            <a:gd name="T61" fmla="*/ 76 h 354"/>
            <a:gd name="T62" fmla="*/ 153 w 355"/>
            <a:gd name="T63" fmla="*/ 90 h 354"/>
            <a:gd name="T64" fmla="*/ 153 w 355"/>
            <a:gd name="T65" fmla="*/ 126 h 354"/>
            <a:gd name="T66" fmla="*/ 188 w 355"/>
            <a:gd name="T67" fmla="*/ 126 h 354"/>
            <a:gd name="T68" fmla="*/ 202 w 355"/>
            <a:gd name="T69" fmla="*/ 140 h 3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55" h="354">
              <a:moveTo>
                <a:pt x="340" y="283"/>
              </a:moveTo>
              <a:cubicBezTo>
                <a:pt x="263" y="206"/>
                <a:pt x="263" y="206"/>
                <a:pt x="263" y="206"/>
              </a:cubicBezTo>
              <a:cubicBezTo>
                <a:pt x="274" y="187"/>
                <a:pt x="280" y="164"/>
                <a:pt x="280" y="140"/>
              </a:cubicBezTo>
              <a:cubicBezTo>
                <a:pt x="280" y="102"/>
                <a:pt x="265" y="67"/>
                <a:pt x="239" y="41"/>
              </a:cubicBezTo>
              <a:cubicBezTo>
                <a:pt x="213" y="14"/>
                <a:pt x="178" y="0"/>
                <a:pt x="140" y="0"/>
              </a:cubicBezTo>
              <a:cubicBezTo>
                <a:pt x="63" y="0"/>
                <a:pt x="0" y="62"/>
                <a:pt x="0" y="140"/>
              </a:cubicBezTo>
              <a:cubicBezTo>
                <a:pt x="0" y="177"/>
                <a:pt x="15" y="212"/>
                <a:pt x="41" y="239"/>
              </a:cubicBezTo>
              <a:cubicBezTo>
                <a:pt x="68" y="265"/>
                <a:pt x="103" y="280"/>
                <a:pt x="140" y="279"/>
              </a:cubicBezTo>
              <a:cubicBezTo>
                <a:pt x="164" y="279"/>
                <a:pt x="187" y="273"/>
                <a:pt x="207" y="262"/>
              </a:cubicBezTo>
              <a:cubicBezTo>
                <a:pt x="284" y="339"/>
                <a:pt x="284" y="339"/>
                <a:pt x="284" y="339"/>
              </a:cubicBezTo>
              <a:cubicBezTo>
                <a:pt x="299" y="354"/>
                <a:pt x="324" y="354"/>
                <a:pt x="340" y="339"/>
              </a:cubicBezTo>
              <a:cubicBezTo>
                <a:pt x="355" y="324"/>
                <a:pt x="355" y="298"/>
                <a:pt x="340" y="283"/>
              </a:cubicBezTo>
              <a:close/>
              <a:moveTo>
                <a:pt x="70" y="210"/>
              </a:moveTo>
              <a:cubicBezTo>
                <a:pt x="51" y="191"/>
                <a:pt x="40" y="166"/>
                <a:pt x="40" y="140"/>
              </a:cubicBezTo>
              <a:cubicBezTo>
                <a:pt x="40" y="85"/>
                <a:pt x="85" y="40"/>
                <a:pt x="140" y="40"/>
              </a:cubicBezTo>
              <a:cubicBezTo>
                <a:pt x="195" y="40"/>
                <a:pt x="240" y="85"/>
                <a:pt x="240" y="140"/>
              </a:cubicBezTo>
              <a:cubicBezTo>
                <a:pt x="240" y="195"/>
                <a:pt x="195" y="239"/>
                <a:pt x="140" y="239"/>
              </a:cubicBezTo>
              <a:cubicBezTo>
                <a:pt x="114" y="239"/>
                <a:pt x="89" y="229"/>
                <a:pt x="70" y="210"/>
              </a:cubicBezTo>
              <a:close/>
              <a:moveTo>
                <a:pt x="202" y="140"/>
              </a:moveTo>
              <a:cubicBezTo>
                <a:pt x="202" y="147"/>
                <a:pt x="196" y="154"/>
                <a:pt x="188" y="154"/>
              </a:cubicBezTo>
              <a:cubicBezTo>
                <a:pt x="153" y="154"/>
                <a:pt x="153" y="154"/>
                <a:pt x="153" y="154"/>
              </a:cubicBezTo>
              <a:cubicBezTo>
                <a:pt x="153" y="189"/>
                <a:pt x="153" y="189"/>
                <a:pt x="153" y="189"/>
              </a:cubicBezTo>
              <a:cubicBezTo>
                <a:pt x="153" y="197"/>
                <a:pt x="146" y="203"/>
                <a:pt x="139" y="203"/>
              </a:cubicBezTo>
              <a:cubicBezTo>
                <a:pt x="131" y="203"/>
                <a:pt x="125" y="197"/>
                <a:pt x="125" y="189"/>
              </a:cubicBezTo>
              <a:cubicBezTo>
                <a:pt x="125" y="154"/>
                <a:pt x="125" y="154"/>
                <a:pt x="125" y="154"/>
              </a:cubicBezTo>
              <a:cubicBezTo>
                <a:pt x="89" y="154"/>
                <a:pt x="89" y="154"/>
                <a:pt x="89" y="154"/>
              </a:cubicBezTo>
              <a:cubicBezTo>
                <a:pt x="81" y="154"/>
                <a:pt x="75" y="147"/>
                <a:pt x="75" y="140"/>
              </a:cubicBezTo>
              <a:cubicBezTo>
                <a:pt x="75" y="132"/>
                <a:pt x="81" y="126"/>
                <a:pt x="89" y="126"/>
              </a:cubicBezTo>
              <a:cubicBezTo>
                <a:pt x="125" y="126"/>
                <a:pt x="125" y="126"/>
                <a:pt x="125" y="126"/>
              </a:cubicBezTo>
              <a:cubicBezTo>
                <a:pt x="125" y="90"/>
                <a:pt x="125" y="90"/>
                <a:pt x="125" y="90"/>
              </a:cubicBezTo>
              <a:cubicBezTo>
                <a:pt x="125" y="82"/>
                <a:pt x="131" y="76"/>
                <a:pt x="139" y="76"/>
              </a:cubicBezTo>
              <a:cubicBezTo>
                <a:pt x="146" y="76"/>
                <a:pt x="153" y="82"/>
                <a:pt x="153" y="90"/>
              </a:cubicBezTo>
              <a:cubicBezTo>
                <a:pt x="153" y="126"/>
                <a:pt x="153" y="126"/>
                <a:pt x="153" y="126"/>
              </a:cubicBezTo>
              <a:cubicBezTo>
                <a:pt x="188" y="126"/>
                <a:pt x="188" y="126"/>
                <a:pt x="188" y="126"/>
              </a:cubicBezTo>
              <a:cubicBezTo>
                <a:pt x="196" y="126"/>
                <a:pt x="202" y="132"/>
                <a:pt x="202" y="14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oneCellAnchor>
    <xdr:from>
      <xdr:col>1</xdr:col>
      <xdr:colOff>169333</xdr:colOff>
      <xdr:row>1</xdr:row>
      <xdr:rowOff>84666</xdr:rowOff>
    </xdr:from>
    <xdr:ext cx="1117600" cy="349087"/>
    <xdr:pic>
      <xdr:nvPicPr>
        <xdr:cNvPr id="39" name="Pictur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338666" y="186266"/>
          <a:ext cx="1117600" cy="3490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1323975</xdr:colOff>
          <xdr:row>33</xdr:row>
          <xdr:rowOff>28575</xdr:rowOff>
        </xdr:from>
        <xdr:to>
          <xdr:col>4</xdr:col>
          <xdr:colOff>1209675</xdr:colOff>
          <xdr:row>33</xdr:row>
          <xdr:rowOff>371475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4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oneCellAnchor>
    <xdr:from>
      <xdr:col>0</xdr:col>
      <xdr:colOff>214819</xdr:colOff>
      <xdr:row>1</xdr:row>
      <xdr:rowOff>38660</xdr:rowOff>
    </xdr:from>
    <xdr:ext cx="1337422" cy="417749"/>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214819" y="133910"/>
          <a:ext cx="1337422" cy="417749"/>
        </a:xfrm>
        <a:prstGeom prst="rect">
          <a:avLst/>
        </a:prstGeom>
      </xdr:spPr>
    </xdr:pic>
    <xdr:clientData/>
  </xdr:oneCellAnchor>
  <xdr:twoCellAnchor>
    <xdr:from>
      <xdr:col>3</xdr:col>
      <xdr:colOff>652931</xdr:colOff>
      <xdr:row>18</xdr:row>
      <xdr:rowOff>71718</xdr:rowOff>
    </xdr:from>
    <xdr:to>
      <xdr:col>5</xdr:col>
      <xdr:colOff>1075019</xdr:colOff>
      <xdr:row>22</xdr:row>
      <xdr:rowOff>140446</xdr:rowOff>
    </xdr:to>
    <xdr:sp macro="" textlink="">
      <xdr:nvSpPr>
        <xdr:cNvPr id="22" name="Rectangle 21">
          <a:extLst>
            <a:ext uri="{FF2B5EF4-FFF2-40B4-BE49-F238E27FC236}">
              <a16:creationId xmlns:a16="http://schemas.microsoft.com/office/drawing/2014/main" id="{00000000-0008-0000-0400-000016000000}"/>
            </a:ext>
          </a:extLst>
        </xdr:cNvPr>
        <xdr:cNvSpPr/>
      </xdr:nvSpPr>
      <xdr:spPr>
        <a:xfrm>
          <a:off x="5486402" y="4456953"/>
          <a:ext cx="3559735" cy="1039905"/>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0" baseline="0">
              <a:solidFill>
                <a:sysClr val="windowText" lastClr="000000"/>
              </a:solidFill>
            </a:rPr>
            <a:t>●  </a:t>
          </a:r>
          <a:r>
            <a:rPr lang="en-US" sz="1100" b="0" baseline="0">
              <a:solidFill>
                <a:sysClr val="windowText" lastClr="000000"/>
              </a:solidFill>
              <a:latin typeface="+mn-lt"/>
              <a:ea typeface="+mn-ea"/>
              <a:cs typeface="+mn-cs"/>
            </a:rPr>
            <a:t>Select</a:t>
          </a:r>
          <a:r>
            <a:rPr lang="en-US" sz="1100" b="0" baseline="0">
              <a:solidFill>
                <a:sysClr val="windowText" lastClr="000000"/>
              </a:solidFill>
            </a:rPr>
            <a:t> whether you are conducting a country forecast </a:t>
          </a:r>
        </a:p>
        <a:p>
          <a:pPr algn="l"/>
          <a:r>
            <a:rPr lang="en-US" sz="1100" b="0" baseline="0">
              <a:solidFill>
                <a:sysClr val="windowText" lastClr="000000"/>
              </a:solidFill>
            </a:rPr>
            <a:t>     or manual user-defined option. Select "Manual" for </a:t>
          </a:r>
        </a:p>
        <a:p>
          <a:pPr algn="l"/>
          <a:r>
            <a:rPr lang="en-US" sz="1100" b="0" baseline="0">
              <a:solidFill>
                <a:sysClr val="windowText" lastClr="000000"/>
              </a:solidFill>
            </a:rPr>
            <a:t>     sub-national or sub-population level forecasting</a:t>
          </a:r>
        </a:p>
        <a:p>
          <a:pPr algn="l"/>
          <a:r>
            <a:rPr lang="en-US" sz="1100" b="0" baseline="0">
              <a:solidFill>
                <a:sysClr val="windowText" lastClr="000000"/>
              </a:solidFill>
              <a:effectLst/>
              <a:latin typeface="+mn-lt"/>
              <a:ea typeface="+mn-ea"/>
              <a:cs typeface="+mn-cs"/>
            </a:rPr>
            <a:t>●  Next, s</a:t>
          </a:r>
          <a:r>
            <a:rPr lang="en-US" sz="1100" b="0" baseline="0">
              <a:solidFill>
                <a:sysClr val="windowText" lastClr="000000"/>
              </a:solidFill>
            </a:rPr>
            <a:t>elect Country/Territory from drop down menu </a:t>
          </a:r>
        </a:p>
        <a:p>
          <a:pPr algn="l"/>
          <a:r>
            <a:rPr lang="en-US" sz="1100" b="0" baseline="0">
              <a:solidFill>
                <a:sysClr val="windowText" lastClr="000000"/>
              </a:solidFill>
            </a:rPr>
            <a:t>     or enter your population size manually if applicable</a:t>
          </a:r>
          <a:endParaRPr lang="en-US" sz="1100" b="0">
            <a:solidFill>
              <a:sysClr val="windowText" lastClr="000000"/>
            </a:solidFill>
          </a:endParaRPr>
        </a:p>
      </xdr:txBody>
    </xdr:sp>
    <xdr:clientData/>
  </xdr:twoCellAnchor>
  <xdr:twoCellAnchor editAs="oneCell">
    <xdr:from>
      <xdr:col>1</xdr:col>
      <xdr:colOff>493067</xdr:colOff>
      <xdr:row>16</xdr:row>
      <xdr:rowOff>105681</xdr:rowOff>
    </xdr:from>
    <xdr:to>
      <xdr:col>1</xdr:col>
      <xdr:colOff>938194</xdr:colOff>
      <xdr:row>17</xdr:row>
      <xdr:rowOff>251834</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biLevel thresh="75000"/>
        </a:blip>
        <a:stretch>
          <a:fillRect/>
        </a:stretch>
      </xdr:blipFill>
      <xdr:spPr>
        <a:xfrm>
          <a:off x="708220" y="3377799"/>
          <a:ext cx="455287" cy="264113"/>
        </a:xfrm>
        <a:prstGeom prst="rect">
          <a:avLst/>
        </a:prstGeom>
      </xdr:spPr>
    </xdr:pic>
    <xdr:clientData/>
  </xdr:twoCellAnchor>
  <xdr:twoCellAnchor>
    <xdr:from>
      <xdr:col>3</xdr:col>
      <xdr:colOff>183777</xdr:colOff>
      <xdr:row>27</xdr:row>
      <xdr:rowOff>238125</xdr:rowOff>
    </xdr:from>
    <xdr:to>
      <xdr:col>6</xdr:col>
      <xdr:colOff>504264</xdr:colOff>
      <xdr:row>30</xdr:row>
      <xdr:rowOff>89647</xdr:rowOff>
    </xdr:to>
    <xdr:sp macro="" textlink="">
      <xdr:nvSpPr>
        <xdr:cNvPr id="12" name="Rectangle 11">
          <a:extLst>
            <a:ext uri="{FF2B5EF4-FFF2-40B4-BE49-F238E27FC236}">
              <a16:creationId xmlns:a16="http://schemas.microsoft.com/office/drawing/2014/main" id="{00000000-0008-0000-0400-00000C000000}"/>
            </a:ext>
          </a:extLst>
        </xdr:cNvPr>
        <xdr:cNvSpPr/>
      </xdr:nvSpPr>
      <xdr:spPr>
        <a:xfrm>
          <a:off x="4789395" y="6378949"/>
          <a:ext cx="4410634" cy="546286"/>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0" baseline="0">
              <a:solidFill>
                <a:sysClr val="windowText" lastClr="000000"/>
              </a:solidFill>
            </a:rPr>
            <a:t>●  Enter the diagnosed number of cumulative cases currently in-country</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baseline="0">
              <a:solidFill>
                <a:sysClr val="windowText" lastClr="000000"/>
              </a:solidFill>
              <a:effectLst/>
              <a:latin typeface="+mn-lt"/>
              <a:ea typeface="+mn-ea"/>
              <a:cs typeface="+mn-cs"/>
            </a:rPr>
            <a:t>●  Input value must be at least '1'</a:t>
          </a:r>
          <a:endParaRPr lang="en-US">
            <a:solidFill>
              <a:sysClr val="windowText" lastClr="000000"/>
            </a:solidFill>
            <a:effectLst/>
          </a:endParaRPr>
        </a:p>
      </xdr:txBody>
    </xdr:sp>
    <xdr:clientData/>
  </xdr:twoCellAnchor>
  <xdr:twoCellAnchor>
    <xdr:from>
      <xdr:col>1</xdr:col>
      <xdr:colOff>534333</xdr:colOff>
      <xdr:row>26</xdr:row>
      <xdr:rowOff>76200</xdr:rowOff>
    </xdr:from>
    <xdr:to>
      <xdr:col>1</xdr:col>
      <xdr:colOff>831130</xdr:colOff>
      <xdr:row>27</xdr:row>
      <xdr:rowOff>240255</xdr:rowOff>
    </xdr:to>
    <xdr:sp macro="" textlink="">
      <xdr:nvSpPr>
        <xdr:cNvPr id="10" name="Freeform 9">
          <a:extLst>
            <a:ext uri="{FF2B5EF4-FFF2-40B4-BE49-F238E27FC236}">
              <a16:creationId xmlns:a16="http://schemas.microsoft.com/office/drawing/2014/main" id="{00000000-0008-0000-0400-00000A000000}"/>
            </a:ext>
          </a:extLst>
        </xdr:cNvPr>
        <xdr:cNvSpPr>
          <a:spLocks noEditPoints="1"/>
        </xdr:cNvSpPr>
      </xdr:nvSpPr>
      <xdr:spPr bwMode="auto">
        <a:xfrm>
          <a:off x="749486" y="5535706"/>
          <a:ext cx="296797" cy="271631"/>
        </a:xfrm>
        <a:custGeom>
          <a:avLst/>
          <a:gdLst>
            <a:gd name="T0" fmla="*/ 340 w 355"/>
            <a:gd name="T1" fmla="*/ 283 h 354"/>
            <a:gd name="T2" fmla="*/ 263 w 355"/>
            <a:gd name="T3" fmla="*/ 206 h 354"/>
            <a:gd name="T4" fmla="*/ 280 w 355"/>
            <a:gd name="T5" fmla="*/ 140 h 354"/>
            <a:gd name="T6" fmla="*/ 239 w 355"/>
            <a:gd name="T7" fmla="*/ 41 h 354"/>
            <a:gd name="T8" fmla="*/ 140 w 355"/>
            <a:gd name="T9" fmla="*/ 0 h 354"/>
            <a:gd name="T10" fmla="*/ 0 w 355"/>
            <a:gd name="T11" fmla="*/ 140 h 354"/>
            <a:gd name="T12" fmla="*/ 41 w 355"/>
            <a:gd name="T13" fmla="*/ 239 h 354"/>
            <a:gd name="T14" fmla="*/ 140 w 355"/>
            <a:gd name="T15" fmla="*/ 279 h 354"/>
            <a:gd name="T16" fmla="*/ 207 w 355"/>
            <a:gd name="T17" fmla="*/ 262 h 354"/>
            <a:gd name="T18" fmla="*/ 284 w 355"/>
            <a:gd name="T19" fmla="*/ 339 h 354"/>
            <a:gd name="T20" fmla="*/ 340 w 355"/>
            <a:gd name="T21" fmla="*/ 339 h 354"/>
            <a:gd name="T22" fmla="*/ 340 w 355"/>
            <a:gd name="T23" fmla="*/ 283 h 354"/>
            <a:gd name="T24" fmla="*/ 70 w 355"/>
            <a:gd name="T25" fmla="*/ 210 h 354"/>
            <a:gd name="T26" fmla="*/ 40 w 355"/>
            <a:gd name="T27" fmla="*/ 140 h 354"/>
            <a:gd name="T28" fmla="*/ 140 w 355"/>
            <a:gd name="T29" fmla="*/ 40 h 354"/>
            <a:gd name="T30" fmla="*/ 240 w 355"/>
            <a:gd name="T31" fmla="*/ 140 h 354"/>
            <a:gd name="T32" fmla="*/ 140 w 355"/>
            <a:gd name="T33" fmla="*/ 239 h 354"/>
            <a:gd name="T34" fmla="*/ 70 w 355"/>
            <a:gd name="T35" fmla="*/ 210 h 354"/>
            <a:gd name="T36" fmla="*/ 202 w 355"/>
            <a:gd name="T37" fmla="*/ 140 h 354"/>
            <a:gd name="T38" fmla="*/ 188 w 355"/>
            <a:gd name="T39" fmla="*/ 154 h 354"/>
            <a:gd name="T40" fmla="*/ 153 w 355"/>
            <a:gd name="T41" fmla="*/ 154 h 354"/>
            <a:gd name="T42" fmla="*/ 153 w 355"/>
            <a:gd name="T43" fmla="*/ 189 h 354"/>
            <a:gd name="T44" fmla="*/ 139 w 355"/>
            <a:gd name="T45" fmla="*/ 203 h 354"/>
            <a:gd name="T46" fmla="*/ 125 w 355"/>
            <a:gd name="T47" fmla="*/ 189 h 354"/>
            <a:gd name="T48" fmla="*/ 125 w 355"/>
            <a:gd name="T49" fmla="*/ 154 h 354"/>
            <a:gd name="T50" fmla="*/ 89 w 355"/>
            <a:gd name="T51" fmla="*/ 154 h 354"/>
            <a:gd name="T52" fmla="*/ 75 w 355"/>
            <a:gd name="T53" fmla="*/ 140 h 354"/>
            <a:gd name="T54" fmla="*/ 89 w 355"/>
            <a:gd name="T55" fmla="*/ 126 h 354"/>
            <a:gd name="T56" fmla="*/ 125 w 355"/>
            <a:gd name="T57" fmla="*/ 126 h 354"/>
            <a:gd name="T58" fmla="*/ 125 w 355"/>
            <a:gd name="T59" fmla="*/ 90 h 354"/>
            <a:gd name="T60" fmla="*/ 139 w 355"/>
            <a:gd name="T61" fmla="*/ 76 h 354"/>
            <a:gd name="T62" fmla="*/ 153 w 355"/>
            <a:gd name="T63" fmla="*/ 90 h 354"/>
            <a:gd name="T64" fmla="*/ 153 w 355"/>
            <a:gd name="T65" fmla="*/ 126 h 354"/>
            <a:gd name="T66" fmla="*/ 188 w 355"/>
            <a:gd name="T67" fmla="*/ 126 h 354"/>
            <a:gd name="T68" fmla="*/ 202 w 355"/>
            <a:gd name="T69" fmla="*/ 140 h 3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Lst>
          <a:rect l="0" t="0" r="r" b="b"/>
          <a:pathLst>
            <a:path w="355" h="354">
              <a:moveTo>
                <a:pt x="340" y="283"/>
              </a:moveTo>
              <a:cubicBezTo>
                <a:pt x="263" y="206"/>
                <a:pt x="263" y="206"/>
                <a:pt x="263" y="206"/>
              </a:cubicBezTo>
              <a:cubicBezTo>
                <a:pt x="274" y="187"/>
                <a:pt x="280" y="164"/>
                <a:pt x="280" y="140"/>
              </a:cubicBezTo>
              <a:cubicBezTo>
                <a:pt x="280" y="102"/>
                <a:pt x="265" y="67"/>
                <a:pt x="239" y="41"/>
              </a:cubicBezTo>
              <a:cubicBezTo>
                <a:pt x="213" y="14"/>
                <a:pt x="178" y="0"/>
                <a:pt x="140" y="0"/>
              </a:cubicBezTo>
              <a:cubicBezTo>
                <a:pt x="63" y="0"/>
                <a:pt x="0" y="62"/>
                <a:pt x="0" y="140"/>
              </a:cubicBezTo>
              <a:cubicBezTo>
                <a:pt x="0" y="177"/>
                <a:pt x="15" y="212"/>
                <a:pt x="41" y="239"/>
              </a:cubicBezTo>
              <a:cubicBezTo>
                <a:pt x="68" y="265"/>
                <a:pt x="103" y="280"/>
                <a:pt x="140" y="279"/>
              </a:cubicBezTo>
              <a:cubicBezTo>
                <a:pt x="164" y="279"/>
                <a:pt x="187" y="273"/>
                <a:pt x="207" y="262"/>
              </a:cubicBezTo>
              <a:cubicBezTo>
                <a:pt x="284" y="339"/>
                <a:pt x="284" y="339"/>
                <a:pt x="284" y="339"/>
              </a:cubicBezTo>
              <a:cubicBezTo>
                <a:pt x="299" y="354"/>
                <a:pt x="324" y="354"/>
                <a:pt x="340" y="339"/>
              </a:cubicBezTo>
              <a:cubicBezTo>
                <a:pt x="355" y="324"/>
                <a:pt x="355" y="298"/>
                <a:pt x="340" y="283"/>
              </a:cubicBezTo>
              <a:close/>
              <a:moveTo>
                <a:pt x="70" y="210"/>
              </a:moveTo>
              <a:cubicBezTo>
                <a:pt x="51" y="191"/>
                <a:pt x="40" y="166"/>
                <a:pt x="40" y="140"/>
              </a:cubicBezTo>
              <a:cubicBezTo>
                <a:pt x="40" y="85"/>
                <a:pt x="85" y="40"/>
                <a:pt x="140" y="40"/>
              </a:cubicBezTo>
              <a:cubicBezTo>
                <a:pt x="195" y="40"/>
                <a:pt x="240" y="85"/>
                <a:pt x="240" y="140"/>
              </a:cubicBezTo>
              <a:cubicBezTo>
                <a:pt x="240" y="195"/>
                <a:pt x="195" y="239"/>
                <a:pt x="140" y="239"/>
              </a:cubicBezTo>
              <a:cubicBezTo>
                <a:pt x="114" y="239"/>
                <a:pt x="89" y="229"/>
                <a:pt x="70" y="210"/>
              </a:cubicBezTo>
              <a:close/>
              <a:moveTo>
                <a:pt x="202" y="140"/>
              </a:moveTo>
              <a:cubicBezTo>
                <a:pt x="202" y="147"/>
                <a:pt x="196" y="154"/>
                <a:pt x="188" y="154"/>
              </a:cubicBezTo>
              <a:cubicBezTo>
                <a:pt x="153" y="154"/>
                <a:pt x="153" y="154"/>
                <a:pt x="153" y="154"/>
              </a:cubicBezTo>
              <a:cubicBezTo>
                <a:pt x="153" y="189"/>
                <a:pt x="153" y="189"/>
                <a:pt x="153" y="189"/>
              </a:cubicBezTo>
              <a:cubicBezTo>
                <a:pt x="153" y="197"/>
                <a:pt x="146" y="203"/>
                <a:pt x="139" y="203"/>
              </a:cubicBezTo>
              <a:cubicBezTo>
                <a:pt x="131" y="203"/>
                <a:pt x="125" y="197"/>
                <a:pt x="125" y="189"/>
              </a:cubicBezTo>
              <a:cubicBezTo>
                <a:pt x="125" y="154"/>
                <a:pt x="125" y="154"/>
                <a:pt x="125" y="154"/>
              </a:cubicBezTo>
              <a:cubicBezTo>
                <a:pt x="89" y="154"/>
                <a:pt x="89" y="154"/>
                <a:pt x="89" y="154"/>
              </a:cubicBezTo>
              <a:cubicBezTo>
                <a:pt x="81" y="154"/>
                <a:pt x="75" y="147"/>
                <a:pt x="75" y="140"/>
              </a:cubicBezTo>
              <a:cubicBezTo>
                <a:pt x="75" y="132"/>
                <a:pt x="81" y="126"/>
                <a:pt x="89" y="126"/>
              </a:cubicBezTo>
              <a:cubicBezTo>
                <a:pt x="125" y="126"/>
                <a:pt x="125" y="126"/>
                <a:pt x="125" y="126"/>
              </a:cubicBezTo>
              <a:cubicBezTo>
                <a:pt x="125" y="90"/>
                <a:pt x="125" y="90"/>
                <a:pt x="125" y="90"/>
              </a:cubicBezTo>
              <a:cubicBezTo>
                <a:pt x="125" y="82"/>
                <a:pt x="131" y="76"/>
                <a:pt x="139" y="76"/>
              </a:cubicBezTo>
              <a:cubicBezTo>
                <a:pt x="146" y="76"/>
                <a:pt x="153" y="82"/>
                <a:pt x="153" y="90"/>
              </a:cubicBezTo>
              <a:cubicBezTo>
                <a:pt x="153" y="126"/>
                <a:pt x="153" y="126"/>
                <a:pt x="153" y="126"/>
              </a:cubicBezTo>
              <a:cubicBezTo>
                <a:pt x="188" y="126"/>
                <a:pt x="188" y="126"/>
                <a:pt x="188" y="126"/>
              </a:cubicBezTo>
              <a:cubicBezTo>
                <a:pt x="196" y="126"/>
                <a:pt x="202" y="132"/>
                <a:pt x="202" y="14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504827</xdr:colOff>
      <xdr:row>58</xdr:row>
      <xdr:rowOff>4761</xdr:rowOff>
    </xdr:from>
    <xdr:to>
      <xdr:col>1</xdr:col>
      <xdr:colOff>809625</xdr:colOff>
      <xdr:row>58</xdr:row>
      <xdr:rowOff>333374</xdr:rowOff>
    </xdr:to>
    <xdr:grpSp>
      <xdr:nvGrpSpPr>
        <xdr:cNvPr id="14" name="Group 13">
          <a:extLst>
            <a:ext uri="{FF2B5EF4-FFF2-40B4-BE49-F238E27FC236}">
              <a16:creationId xmlns:a16="http://schemas.microsoft.com/office/drawing/2014/main" id="{00000000-0008-0000-0400-00000E000000}"/>
            </a:ext>
          </a:extLst>
        </xdr:cNvPr>
        <xdr:cNvGrpSpPr/>
      </xdr:nvGrpSpPr>
      <xdr:grpSpPr>
        <a:xfrm>
          <a:off x="737660" y="12736511"/>
          <a:ext cx="304798" cy="328613"/>
          <a:chOff x="584200" y="2095500"/>
          <a:chExt cx="808038" cy="1063626"/>
        </a:xfrm>
        <a:solidFill>
          <a:schemeClr val="tx1"/>
        </a:solidFill>
      </xdr:grpSpPr>
      <xdr:sp macro="" textlink="">
        <xdr:nvSpPr>
          <xdr:cNvPr id="15" name="Freeform 14">
            <a:extLst>
              <a:ext uri="{FF2B5EF4-FFF2-40B4-BE49-F238E27FC236}">
                <a16:creationId xmlns:a16="http://schemas.microsoft.com/office/drawing/2014/main" id="{00000000-0008-0000-0400-00000F000000}"/>
              </a:ext>
            </a:extLst>
          </xdr:cNvPr>
          <xdr:cNvSpPr>
            <a:spLocks noEditPoints="1"/>
          </xdr:cNvSpPr>
        </xdr:nvSpPr>
        <xdr:spPr bwMode="auto">
          <a:xfrm>
            <a:off x="584200" y="2538413"/>
            <a:ext cx="808038" cy="620713"/>
          </a:xfrm>
          <a:custGeom>
            <a:avLst/>
            <a:gdLst>
              <a:gd name="T0" fmla="*/ 293 w 315"/>
              <a:gd name="T1" fmla="*/ 64 h 242"/>
              <a:gd name="T2" fmla="*/ 272 w 315"/>
              <a:gd name="T3" fmla="*/ 17 h 242"/>
              <a:gd name="T4" fmla="*/ 272 w 315"/>
              <a:gd name="T5" fmla="*/ 17 h 242"/>
              <a:gd name="T6" fmla="*/ 257 w 315"/>
              <a:gd name="T7" fmla="*/ 13 h 242"/>
              <a:gd name="T8" fmla="*/ 158 w 315"/>
              <a:gd name="T9" fmla="*/ 0 h 242"/>
              <a:gd name="T10" fmla="*/ 58 w 315"/>
              <a:gd name="T11" fmla="*/ 13 h 242"/>
              <a:gd name="T12" fmla="*/ 43 w 315"/>
              <a:gd name="T13" fmla="*/ 17 h 242"/>
              <a:gd name="T14" fmla="*/ 43 w 315"/>
              <a:gd name="T15" fmla="*/ 17 h 242"/>
              <a:gd name="T16" fmla="*/ 22 w 315"/>
              <a:gd name="T17" fmla="*/ 64 h 242"/>
              <a:gd name="T18" fmla="*/ 0 w 315"/>
              <a:gd name="T19" fmla="*/ 158 h 242"/>
              <a:gd name="T20" fmla="*/ 18 w 315"/>
              <a:gd name="T21" fmla="*/ 202 h 242"/>
              <a:gd name="T22" fmla="*/ 63 w 315"/>
              <a:gd name="T23" fmla="*/ 219 h 242"/>
              <a:gd name="T24" fmla="*/ 80 w 315"/>
              <a:gd name="T25" fmla="*/ 219 h 242"/>
              <a:gd name="T26" fmla="*/ 158 w 315"/>
              <a:gd name="T27" fmla="*/ 242 h 242"/>
              <a:gd name="T28" fmla="*/ 235 w 315"/>
              <a:gd name="T29" fmla="*/ 219 h 242"/>
              <a:gd name="T30" fmla="*/ 252 w 315"/>
              <a:gd name="T31" fmla="*/ 219 h 242"/>
              <a:gd name="T32" fmla="*/ 297 w 315"/>
              <a:gd name="T33" fmla="*/ 202 h 242"/>
              <a:gd name="T34" fmla="*/ 315 w 315"/>
              <a:gd name="T35" fmla="*/ 159 h 242"/>
              <a:gd name="T36" fmla="*/ 293 w 315"/>
              <a:gd name="T37" fmla="*/ 64 h 242"/>
              <a:gd name="T38" fmla="*/ 158 w 315"/>
              <a:gd name="T39" fmla="*/ 218 h 242"/>
              <a:gd name="T40" fmla="*/ 42 w 315"/>
              <a:gd name="T41" fmla="*/ 110 h 242"/>
              <a:gd name="T42" fmla="*/ 93 w 315"/>
              <a:gd name="T43" fmla="*/ 17 h 242"/>
              <a:gd name="T44" fmla="*/ 229 w 315"/>
              <a:gd name="T45" fmla="*/ 76 h 242"/>
              <a:gd name="T46" fmla="*/ 270 w 315"/>
              <a:gd name="T47" fmla="*/ 67 h 242"/>
              <a:gd name="T48" fmla="*/ 274 w 315"/>
              <a:gd name="T49" fmla="*/ 102 h 242"/>
              <a:gd name="T50" fmla="*/ 158 w 315"/>
              <a:gd name="T51" fmla="*/ 218 h 242"/>
              <a:gd name="T52" fmla="*/ 113 w 315"/>
              <a:gd name="T53" fmla="*/ 87 h 242"/>
              <a:gd name="T54" fmla="*/ 93 w 315"/>
              <a:gd name="T55" fmla="*/ 107 h 242"/>
              <a:gd name="T56" fmla="*/ 113 w 315"/>
              <a:gd name="T57" fmla="*/ 127 h 242"/>
              <a:gd name="T58" fmla="*/ 133 w 315"/>
              <a:gd name="T59" fmla="*/ 107 h 242"/>
              <a:gd name="T60" fmla="*/ 113 w 315"/>
              <a:gd name="T61" fmla="*/ 87 h 242"/>
              <a:gd name="T62" fmla="*/ 202 w 315"/>
              <a:gd name="T63" fmla="*/ 87 h 242"/>
              <a:gd name="T64" fmla="*/ 182 w 315"/>
              <a:gd name="T65" fmla="*/ 107 h 242"/>
              <a:gd name="T66" fmla="*/ 202 w 315"/>
              <a:gd name="T67" fmla="*/ 127 h 242"/>
              <a:gd name="T68" fmla="*/ 222 w 315"/>
              <a:gd name="T69" fmla="*/ 107 h 242"/>
              <a:gd name="T70" fmla="*/ 202 w 315"/>
              <a:gd name="T71" fmla="*/ 87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15" h="242">
                <a:moveTo>
                  <a:pt x="293" y="64"/>
                </a:moveTo>
                <a:cubicBezTo>
                  <a:pt x="288" y="47"/>
                  <a:pt x="281" y="31"/>
                  <a:pt x="272" y="17"/>
                </a:cubicBezTo>
                <a:cubicBezTo>
                  <a:pt x="272" y="17"/>
                  <a:pt x="272" y="17"/>
                  <a:pt x="272" y="17"/>
                </a:cubicBezTo>
                <a:cubicBezTo>
                  <a:pt x="257" y="13"/>
                  <a:pt x="257" y="13"/>
                  <a:pt x="257" y="13"/>
                </a:cubicBezTo>
                <a:cubicBezTo>
                  <a:pt x="256" y="13"/>
                  <a:pt x="216" y="0"/>
                  <a:pt x="158" y="0"/>
                </a:cubicBezTo>
                <a:cubicBezTo>
                  <a:pt x="99" y="0"/>
                  <a:pt x="59" y="13"/>
                  <a:pt x="58" y="13"/>
                </a:cubicBezTo>
                <a:cubicBezTo>
                  <a:pt x="43" y="17"/>
                  <a:pt x="43" y="17"/>
                  <a:pt x="43" y="17"/>
                </a:cubicBezTo>
                <a:cubicBezTo>
                  <a:pt x="43" y="17"/>
                  <a:pt x="43" y="17"/>
                  <a:pt x="43" y="17"/>
                </a:cubicBezTo>
                <a:cubicBezTo>
                  <a:pt x="34" y="31"/>
                  <a:pt x="27" y="47"/>
                  <a:pt x="22" y="64"/>
                </a:cubicBezTo>
                <a:cubicBezTo>
                  <a:pt x="18" y="80"/>
                  <a:pt x="0" y="140"/>
                  <a:pt x="0" y="158"/>
                </a:cubicBezTo>
                <a:cubicBezTo>
                  <a:pt x="0" y="175"/>
                  <a:pt x="6" y="191"/>
                  <a:pt x="18" y="202"/>
                </a:cubicBezTo>
                <a:cubicBezTo>
                  <a:pt x="29" y="213"/>
                  <a:pt x="45" y="219"/>
                  <a:pt x="63" y="219"/>
                </a:cubicBezTo>
                <a:cubicBezTo>
                  <a:pt x="80" y="219"/>
                  <a:pt x="80" y="219"/>
                  <a:pt x="80" y="219"/>
                </a:cubicBezTo>
                <a:cubicBezTo>
                  <a:pt x="103" y="233"/>
                  <a:pt x="129" y="242"/>
                  <a:pt x="158" y="242"/>
                </a:cubicBezTo>
                <a:cubicBezTo>
                  <a:pt x="186" y="242"/>
                  <a:pt x="212" y="233"/>
                  <a:pt x="235" y="219"/>
                </a:cubicBezTo>
                <a:cubicBezTo>
                  <a:pt x="252" y="219"/>
                  <a:pt x="252" y="219"/>
                  <a:pt x="252" y="219"/>
                </a:cubicBezTo>
                <a:cubicBezTo>
                  <a:pt x="270" y="219"/>
                  <a:pt x="286" y="213"/>
                  <a:pt x="297" y="202"/>
                </a:cubicBezTo>
                <a:cubicBezTo>
                  <a:pt x="309" y="191"/>
                  <a:pt x="315" y="175"/>
                  <a:pt x="315" y="159"/>
                </a:cubicBezTo>
                <a:cubicBezTo>
                  <a:pt x="315" y="140"/>
                  <a:pt x="297" y="81"/>
                  <a:pt x="293" y="64"/>
                </a:cubicBezTo>
                <a:close/>
                <a:moveTo>
                  <a:pt x="158" y="218"/>
                </a:moveTo>
                <a:cubicBezTo>
                  <a:pt x="96" y="218"/>
                  <a:pt x="46" y="170"/>
                  <a:pt x="42" y="110"/>
                </a:cubicBezTo>
                <a:cubicBezTo>
                  <a:pt x="68" y="84"/>
                  <a:pt x="87" y="55"/>
                  <a:pt x="93" y="17"/>
                </a:cubicBezTo>
                <a:cubicBezTo>
                  <a:pt x="126" y="57"/>
                  <a:pt x="173" y="76"/>
                  <a:pt x="229" y="76"/>
                </a:cubicBezTo>
                <a:cubicBezTo>
                  <a:pt x="246" y="76"/>
                  <a:pt x="260" y="72"/>
                  <a:pt x="270" y="67"/>
                </a:cubicBezTo>
                <a:cubicBezTo>
                  <a:pt x="272" y="76"/>
                  <a:pt x="274" y="92"/>
                  <a:pt x="274" y="102"/>
                </a:cubicBezTo>
                <a:cubicBezTo>
                  <a:pt x="274" y="166"/>
                  <a:pt x="222" y="218"/>
                  <a:pt x="158" y="218"/>
                </a:cubicBezTo>
                <a:close/>
                <a:moveTo>
                  <a:pt x="113" y="87"/>
                </a:moveTo>
                <a:cubicBezTo>
                  <a:pt x="102" y="87"/>
                  <a:pt x="93" y="96"/>
                  <a:pt x="93" y="107"/>
                </a:cubicBezTo>
                <a:cubicBezTo>
                  <a:pt x="93" y="118"/>
                  <a:pt x="102" y="127"/>
                  <a:pt x="113" y="127"/>
                </a:cubicBezTo>
                <a:cubicBezTo>
                  <a:pt x="124" y="127"/>
                  <a:pt x="133" y="118"/>
                  <a:pt x="133" y="107"/>
                </a:cubicBezTo>
                <a:cubicBezTo>
                  <a:pt x="133" y="96"/>
                  <a:pt x="124" y="87"/>
                  <a:pt x="113" y="87"/>
                </a:cubicBezTo>
                <a:close/>
                <a:moveTo>
                  <a:pt x="202" y="87"/>
                </a:moveTo>
                <a:cubicBezTo>
                  <a:pt x="191" y="87"/>
                  <a:pt x="182" y="96"/>
                  <a:pt x="182" y="107"/>
                </a:cubicBezTo>
                <a:cubicBezTo>
                  <a:pt x="182" y="118"/>
                  <a:pt x="191" y="127"/>
                  <a:pt x="202" y="127"/>
                </a:cubicBezTo>
                <a:cubicBezTo>
                  <a:pt x="213" y="127"/>
                  <a:pt x="222" y="118"/>
                  <a:pt x="222" y="107"/>
                </a:cubicBezTo>
                <a:cubicBezTo>
                  <a:pt x="222" y="96"/>
                  <a:pt x="213" y="87"/>
                  <a:pt x="202" y="8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15">
            <a:extLst>
              <a:ext uri="{FF2B5EF4-FFF2-40B4-BE49-F238E27FC236}">
                <a16:creationId xmlns:a16="http://schemas.microsoft.com/office/drawing/2014/main" id="{00000000-0008-0000-0400-000010000000}"/>
              </a:ext>
            </a:extLst>
          </xdr:cNvPr>
          <xdr:cNvSpPr>
            <a:spLocks noEditPoints="1"/>
          </xdr:cNvSpPr>
        </xdr:nvSpPr>
        <xdr:spPr bwMode="auto">
          <a:xfrm>
            <a:off x="593725" y="2095500"/>
            <a:ext cx="787400" cy="430213"/>
          </a:xfrm>
          <a:custGeom>
            <a:avLst/>
            <a:gdLst>
              <a:gd name="T0" fmla="*/ 153 w 307"/>
              <a:gd name="T1" fmla="*/ 0 h 167"/>
              <a:gd name="T2" fmla="*/ 0 w 307"/>
              <a:gd name="T3" fmla="*/ 74 h 167"/>
              <a:gd name="T4" fmla="*/ 49 w 307"/>
              <a:gd name="T5" fmla="*/ 167 h 167"/>
              <a:gd name="T6" fmla="*/ 154 w 307"/>
              <a:gd name="T7" fmla="*/ 152 h 167"/>
              <a:gd name="T8" fmla="*/ 258 w 307"/>
              <a:gd name="T9" fmla="*/ 167 h 167"/>
              <a:gd name="T10" fmla="*/ 307 w 307"/>
              <a:gd name="T11" fmla="*/ 74 h 167"/>
              <a:gd name="T12" fmla="*/ 153 w 307"/>
              <a:gd name="T13" fmla="*/ 0 h 167"/>
              <a:gd name="T14" fmla="*/ 249 w 307"/>
              <a:gd name="T15" fmla="*/ 145 h 167"/>
              <a:gd name="T16" fmla="*/ 153 w 307"/>
              <a:gd name="T17" fmla="*/ 134 h 167"/>
              <a:gd name="T18" fmla="*/ 58 w 307"/>
              <a:gd name="T19" fmla="*/ 145 h 167"/>
              <a:gd name="T20" fmla="*/ 22 w 307"/>
              <a:gd name="T21" fmla="*/ 77 h 167"/>
              <a:gd name="T22" fmla="*/ 153 w 307"/>
              <a:gd name="T23" fmla="*/ 18 h 167"/>
              <a:gd name="T24" fmla="*/ 285 w 307"/>
              <a:gd name="T25" fmla="*/ 77 h 167"/>
              <a:gd name="T26" fmla="*/ 249 w 307"/>
              <a:gd name="T27" fmla="*/ 145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7" h="167">
                <a:moveTo>
                  <a:pt x="153" y="0"/>
                </a:moveTo>
                <a:cubicBezTo>
                  <a:pt x="91" y="0"/>
                  <a:pt x="36" y="29"/>
                  <a:pt x="0" y="74"/>
                </a:cubicBezTo>
                <a:cubicBezTo>
                  <a:pt x="3" y="80"/>
                  <a:pt x="49" y="167"/>
                  <a:pt x="49" y="167"/>
                </a:cubicBezTo>
                <a:cubicBezTo>
                  <a:pt x="49" y="167"/>
                  <a:pt x="91" y="152"/>
                  <a:pt x="154" y="152"/>
                </a:cubicBezTo>
                <a:cubicBezTo>
                  <a:pt x="216" y="152"/>
                  <a:pt x="258" y="167"/>
                  <a:pt x="258" y="167"/>
                </a:cubicBezTo>
                <a:cubicBezTo>
                  <a:pt x="307" y="74"/>
                  <a:pt x="307" y="74"/>
                  <a:pt x="307" y="74"/>
                </a:cubicBezTo>
                <a:cubicBezTo>
                  <a:pt x="271" y="29"/>
                  <a:pt x="216" y="0"/>
                  <a:pt x="153" y="0"/>
                </a:cubicBezTo>
                <a:close/>
                <a:moveTo>
                  <a:pt x="249" y="145"/>
                </a:moveTo>
                <a:cubicBezTo>
                  <a:pt x="230" y="140"/>
                  <a:pt x="196" y="134"/>
                  <a:pt x="153" y="134"/>
                </a:cubicBezTo>
                <a:cubicBezTo>
                  <a:pt x="111" y="134"/>
                  <a:pt x="77" y="140"/>
                  <a:pt x="58" y="145"/>
                </a:cubicBezTo>
                <a:cubicBezTo>
                  <a:pt x="49" y="126"/>
                  <a:pt x="31" y="94"/>
                  <a:pt x="22" y="77"/>
                </a:cubicBezTo>
                <a:cubicBezTo>
                  <a:pt x="56" y="40"/>
                  <a:pt x="103" y="18"/>
                  <a:pt x="153" y="18"/>
                </a:cubicBezTo>
                <a:cubicBezTo>
                  <a:pt x="204" y="18"/>
                  <a:pt x="251" y="39"/>
                  <a:pt x="285" y="77"/>
                </a:cubicBezTo>
                <a:lnTo>
                  <a:pt x="249" y="14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8" name="Freeform 17">
            <a:extLst>
              <a:ext uri="{FF2B5EF4-FFF2-40B4-BE49-F238E27FC236}">
                <a16:creationId xmlns:a16="http://schemas.microsoft.com/office/drawing/2014/main" id="{00000000-0008-0000-0400-000012000000}"/>
              </a:ext>
            </a:extLst>
          </xdr:cNvPr>
          <xdr:cNvSpPr>
            <a:spLocks/>
          </xdr:cNvSpPr>
        </xdr:nvSpPr>
        <xdr:spPr bwMode="auto">
          <a:xfrm>
            <a:off x="881063" y="2182813"/>
            <a:ext cx="212725" cy="214313"/>
          </a:xfrm>
          <a:custGeom>
            <a:avLst/>
            <a:gdLst>
              <a:gd name="T0" fmla="*/ 134 w 134"/>
              <a:gd name="T1" fmla="*/ 88 h 135"/>
              <a:gd name="T2" fmla="*/ 87 w 134"/>
              <a:gd name="T3" fmla="*/ 88 h 135"/>
              <a:gd name="T4" fmla="*/ 87 w 134"/>
              <a:gd name="T5" fmla="*/ 135 h 135"/>
              <a:gd name="T6" fmla="*/ 47 w 134"/>
              <a:gd name="T7" fmla="*/ 135 h 135"/>
              <a:gd name="T8" fmla="*/ 47 w 134"/>
              <a:gd name="T9" fmla="*/ 88 h 135"/>
              <a:gd name="T10" fmla="*/ 0 w 134"/>
              <a:gd name="T11" fmla="*/ 88 h 135"/>
              <a:gd name="T12" fmla="*/ 0 w 134"/>
              <a:gd name="T13" fmla="*/ 47 h 135"/>
              <a:gd name="T14" fmla="*/ 47 w 134"/>
              <a:gd name="T15" fmla="*/ 47 h 135"/>
              <a:gd name="T16" fmla="*/ 47 w 134"/>
              <a:gd name="T17" fmla="*/ 0 h 135"/>
              <a:gd name="T18" fmla="*/ 87 w 134"/>
              <a:gd name="T19" fmla="*/ 0 h 135"/>
              <a:gd name="T20" fmla="*/ 87 w 134"/>
              <a:gd name="T21" fmla="*/ 47 h 135"/>
              <a:gd name="T22" fmla="*/ 134 w 134"/>
              <a:gd name="T23" fmla="*/ 47 h 135"/>
              <a:gd name="T24" fmla="*/ 134 w 134"/>
              <a:gd name="T25" fmla="*/ 88 h 1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34" h="135">
                <a:moveTo>
                  <a:pt x="134" y="88"/>
                </a:moveTo>
                <a:lnTo>
                  <a:pt x="87" y="88"/>
                </a:lnTo>
                <a:lnTo>
                  <a:pt x="87" y="135"/>
                </a:lnTo>
                <a:lnTo>
                  <a:pt x="47" y="135"/>
                </a:lnTo>
                <a:lnTo>
                  <a:pt x="47" y="88"/>
                </a:lnTo>
                <a:lnTo>
                  <a:pt x="0" y="88"/>
                </a:lnTo>
                <a:lnTo>
                  <a:pt x="0" y="47"/>
                </a:lnTo>
                <a:lnTo>
                  <a:pt x="47" y="47"/>
                </a:lnTo>
                <a:lnTo>
                  <a:pt x="47" y="0"/>
                </a:lnTo>
                <a:lnTo>
                  <a:pt x="87" y="0"/>
                </a:lnTo>
                <a:lnTo>
                  <a:pt x="87" y="47"/>
                </a:lnTo>
                <a:lnTo>
                  <a:pt x="134" y="47"/>
                </a:lnTo>
                <a:lnTo>
                  <a:pt x="134" y="8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881343</xdr:colOff>
      <xdr:row>93</xdr:row>
      <xdr:rowOff>142875</xdr:rowOff>
    </xdr:from>
    <xdr:to>
      <xdr:col>1</xdr:col>
      <xdr:colOff>1281393</xdr:colOff>
      <xdr:row>94</xdr:row>
      <xdr:rowOff>246380</xdr:rowOff>
    </xdr:to>
    <xdr:sp macro="" textlink="">
      <xdr:nvSpPr>
        <xdr:cNvPr id="32" name="Freeform 31">
          <a:extLst>
            <a:ext uri="{FF2B5EF4-FFF2-40B4-BE49-F238E27FC236}">
              <a16:creationId xmlns:a16="http://schemas.microsoft.com/office/drawing/2014/main" id="{00000000-0008-0000-0400-000020000000}"/>
            </a:ext>
          </a:extLst>
        </xdr:cNvPr>
        <xdr:cNvSpPr>
          <a:spLocks noEditPoints="1"/>
        </xdr:cNvSpPr>
      </xdr:nvSpPr>
      <xdr:spPr bwMode="auto">
        <a:xfrm>
          <a:off x="1096496" y="12352804"/>
          <a:ext cx="400050" cy="282800"/>
        </a:xfrm>
        <a:custGeom>
          <a:avLst/>
          <a:gdLst>
            <a:gd name="T0" fmla="*/ 187 w 443"/>
            <a:gd name="T1" fmla="*/ 315 h 315"/>
            <a:gd name="T2" fmla="*/ 137 w 443"/>
            <a:gd name="T3" fmla="*/ 305 h 315"/>
            <a:gd name="T4" fmla="*/ 431 w 443"/>
            <a:gd name="T5" fmla="*/ 244 h 315"/>
            <a:gd name="T6" fmla="*/ 443 w 443"/>
            <a:gd name="T7" fmla="*/ 130 h 315"/>
            <a:gd name="T8" fmla="*/ 330 w 443"/>
            <a:gd name="T9" fmla="*/ 118 h 315"/>
            <a:gd name="T10" fmla="*/ 318 w 443"/>
            <a:gd name="T11" fmla="*/ 231 h 315"/>
            <a:gd name="T12" fmla="*/ 371 w 443"/>
            <a:gd name="T13" fmla="*/ 244 h 315"/>
            <a:gd name="T14" fmla="*/ 295 w 443"/>
            <a:gd name="T15" fmla="*/ 299 h 315"/>
            <a:gd name="T16" fmla="*/ 314 w 443"/>
            <a:gd name="T17" fmla="*/ 65 h 315"/>
            <a:gd name="T18" fmla="*/ 276 w 443"/>
            <a:gd name="T19" fmla="*/ 7 h 315"/>
            <a:gd name="T20" fmla="*/ 61 w 443"/>
            <a:gd name="T21" fmla="*/ 0 h 315"/>
            <a:gd name="T22" fmla="*/ 3 w 443"/>
            <a:gd name="T23" fmla="*/ 57 h 315"/>
            <a:gd name="T24" fmla="*/ 26 w 443"/>
            <a:gd name="T25" fmla="*/ 65 h 315"/>
            <a:gd name="T26" fmla="*/ 12 w 443"/>
            <a:gd name="T27" fmla="*/ 299 h 315"/>
            <a:gd name="T28" fmla="*/ 9 w 443"/>
            <a:gd name="T29" fmla="*/ 315 h 315"/>
            <a:gd name="T30" fmla="*/ 133 w 443"/>
            <a:gd name="T31" fmla="*/ 203 h 315"/>
            <a:gd name="T32" fmla="*/ 182 w 443"/>
            <a:gd name="T33" fmla="*/ 193 h 315"/>
            <a:gd name="T34" fmla="*/ 192 w 443"/>
            <a:gd name="T35" fmla="*/ 315 h 315"/>
            <a:gd name="T36" fmla="*/ 443 w 443"/>
            <a:gd name="T37" fmla="*/ 302 h 315"/>
            <a:gd name="T38" fmla="*/ 390 w 443"/>
            <a:gd name="T39" fmla="*/ 299 h 315"/>
            <a:gd name="T40" fmla="*/ 431 w 443"/>
            <a:gd name="T41" fmla="*/ 244 h 315"/>
            <a:gd name="T42" fmla="*/ 98 w 443"/>
            <a:gd name="T43" fmla="*/ 257 h 315"/>
            <a:gd name="T44" fmla="*/ 56 w 443"/>
            <a:gd name="T45" fmla="*/ 249 h 315"/>
            <a:gd name="T46" fmla="*/ 64 w 443"/>
            <a:gd name="T47" fmla="*/ 194 h 315"/>
            <a:gd name="T48" fmla="*/ 107 w 443"/>
            <a:gd name="T49" fmla="*/ 202 h 315"/>
            <a:gd name="T50" fmla="*/ 107 w 443"/>
            <a:gd name="T51" fmla="*/ 152 h 315"/>
            <a:gd name="T52" fmla="*/ 64 w 443"/>
            <a:gd name="T53" fmla="*/ 161 h 315"/>
            <a:gd name="T54" fmla="*/ 56 w 443"/>
            <a:gd name="T55" fmla="*/ 106 h 315"/>
            <a:gd name="T56" fmla="*/ 98 w 443"/>
            <a:gd name="T57" fmla="*/ 97 h 315"/>
            <a:gd name="T58" fmla="*/ 107 w 443"/>
            <a:gd name="T59" fmla="*/ 152 h 315"/>
            <a:gd name="T60" fmla="*/ 180 w 443"/>
            <a:gd name="T61" fmla="*/ 161 h 315"/>
            <a:gd name="T62" fmla="*/ 137 w 443"/>
            <a:gd name="T63" fmla="*/ 152 h 315"/>
            <a:gd name="T64" fmla="*/ 145 w 443"/>
            <a:gd name="T65" fmla="*/ 97 h 315"/>
            <a:gd name="T66" fmla="*/ 188 w 443"/>
            <a:gd name="T67" fmla="*/ 106 h 315"/>
            <a:gd name="T68" fmla="*/ 269 w 443"/>
            <a:gd name="T69" fmla="*/ 249 h 315"/>
            <a:gd name="T70" fmla="*/ 227 w 443"/>
            <a:gd name="T71" fmla="*/ 257 h 315"/>
            <a:gd name="T72" fmla="*/ 218 w 443"/>
            <a:gd name="T73" fmla="*/ 202 h 315"/>
            <a:gd name="T74" fmla="*/ 261 w 443"/>
            <a:gd name="T75" fmla="*/ 194 h 315"/>
            <a:gd name="T76" fmla="*/ 269 w 443"/>
            <a:gd name="T77" fmla="*/ 249 h 315"/>
            <a:gd name="T78" fmla="*/ 261 w 443"/>
            <a:gd name="T79" fmla="*/ 161 h 315"/>
            <a:gd name="T80" fmla="*/ 218 w 443"/>
            <a:gd name="T81" fmla="*/ 152 h 315"/>
            <a:gd name="T82" fmla="*/ 227 w 443"/>
            <a:gd name="T83" fmla="*/ 97 h 315"/>
            <a:gd name="T84" fmla="*/ 269 w 443"/>
            <a:gd name="T85" fmla="*/ 106 h 315"/>
            <a:gd name="T86" fmla="*/ 369 w 443"/>
            <a:gd name="T87" fmla="*/ 224 h 315"/>
            <a:gd name="T88" fmla="*/ 365 w 443"/>
            <a:gd name="T89" fmla="*/ 199 h 315"/>
            <a:gd name="T90" fmla="*/ 341 w 443"/>
            <a:gd name="T91" fmla="*/ 196 h 315"/>
            <a:gd name="T92" fmla="*/ 337 w 443"/>
            <a:gd name="T93" fmla="*/ 169 h 315"/>
            <a:gd name="T94" fmla="*/ 362 w 443"/>
            <a:gd name="T95" fmla="*/ 166 h 315"/>
            <a:gd name="T96" fmla="*/ 365 w 443"/>
            <a:gd name="T97" fmla="*/ 141 h 315"/>
            <a:gd name="T98" fmla="*/ 392 w 443"/>
            <a:gd name="T99" fmla="*/ 137 h 315"/>
            <a:gd name="T100" fmla="*/ 396 w 443"/>
            <a:gd name="T101" fmla="*/ 162 h 315"/>
            <a:gd name="T102" fmla="*/ 420 w 443"/>
            <a:gd name="T103" fmla="*/ 166 h 315"/>
            <a:gd name="T104" fmla="*/ 424 w 443"/>
            <a:gd name="T105" fmla="*/ 192 h 315"/>
            <a:gd name="T106" fmla="*/ 399 w 443"/>
            <a:gd name="T107" fmla="*/ 196 h 315"/>
            <a:gd name="T108" fmla="*/ 396 w 443"/>
            <a:gd name="T109" fmla="*/ 220 h 315"/>
            <a:gd name="T110" fmla="*/ 369 w 443"/>
            <a:gd name="T111" fmla="*/ 224 h 3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443" h="315">
              <a:moveTo>
                <a:pt x="137" y="315"/>
              </a:moveTo>
              <a:cubicBezTo>
                <a:pt x="187" y="315"/>
                <a:pt x="187" y="315"/>
                <a:pt x="187" y="315"/>
              </a:cubicBezTo>
              <a:cubicBezTo>
                <a:pt x="187" y="305"/>
                <a:pt x="187" y="305"/>
                <a:pt x="187" y="305"/>
              </a:cubicBezTo>
              <a:cubicBezTo>
                <a:pt x="137" y="305"/>
                <a:pt x="137" y="305"/>
                <a:pt x="137" y="305"/>
              </a:cubicBezTo>
              <a:lnTo>
                <a:pt x="137" y="315"/>
              </a:lnTo>
              <a:close/>
              <a:moveTo>
                <a:pt x="431" y="244"/>
              </a:moveTo>
              <a:cubicBezTo>
                <a:pt x="438" y="244"/>
                <a:pt x="443" y="238"/>
                <a:pt x="443" y="231"/>
              </a:cubicBezTo>
              <a:cubicBezTo>
                <a:pt x="443" y="130"/>
                <a:pt x="443" y="130"/>
                <a:pt x="443" y="130"/>
              </a:cubicBezTo>
              <a:cubicBezTo>
                <a:pt x="443" y="123"/>
                <a:pt x="438" y="118"/>
                <a:pt x="431" y="118"/>
              </a:cubicBezTo>
              <a:cubicBezTo>
                <a:pt x="330" y="118"/>
                <a:pt x="330" y="118"/>
                <a:pt x="330" y="118"/>
              </a:cubicBezTo>
              <a:cubicBezTo>
                <a:pt x="323" y="118"/>
                <a:pt x="318" y="123"/>
                <a:pt x="318" y="130"/>
              </a:cubicBezTo>
              <a:cubicBezTo>
                <a:pt x="318" y="231"/>
                <a:pt x="318" y="231"/>
                <a:pt x="318" y="231"/>
              </a:cubicBezTo>
              <a:cubicBezTo>
                <a:pt x="318" y="238"/>
                <a:pt x="323" y="244"/>
                <a:pt x="330" y="244"/>
              </a:cubicBezTo>
              <a:cubicBezTo>
                <a:pt x="371" y="244"/>
                <a:pt x="371" y="244"/>
                <a:pt x="371" y="244"/>
              </a:cubicBezTo>
              <a:cubicBezTo>
                <a:pt x="371" y="299"/>
                <a:pt x="371" y="299"/>
                <a:pt x="371" y="299"/>
              </a:cubicBezTo>
              <a:cubicBezTo>
                <a:pt x="295" y="299"/>
                <a:pt x="295" y="299"/>
                <a:pt x="295" y="299"/>
              </a:cubicBezTo>
              <a:cubicBezTo>
                <a:pt x="295" y="65"/>
                <a:pt x="295" y="65"/>
                <a:pt x="295" y="65"/>
              </a:cubicBezTo>
              <a:cubicBezTo>
                <a:pt x="314" y="65"/>
                <a:pt x="314" y="65"/>
                <a:pt x="314" y="65"/>
              </a:cubicBezTo>
              <a:cubicBezTo>
                <a:pt x="320" y="65"/>
                <a:pt x="321" y="61"/>
                <a:pt x="318" y="57"/>
              </a:cubicBezTo>
              <a:cubicBezTo>
                <a:pt x="276" y="7"/>
                <a:pt x="276" y="7"/>
                <a:pt x="276" y="7"/>
              </a:cubicBezTo>
              <a:cubicBezTo>
                <a:pt x="272" y="3"/>
                <a:pt x="265" y="0"/>
                <a:pt x="259" y="0"/>
              </a:cubicBezTo>
              <a:cubicBezTo>
                <a:pt x="61" y="0"/>
                <a:pt x="61" y="0"/>
                <a:pt x="61" y="0"/>
              </a:cubicBezTo>
              <a:cubicBezTo>
                <a:pt x="56" y="0"/>
                <a:pt x="49" y="3"/>
                <a:pt x="45" y="7"/>
              </a:cubicBezTo>
              <a:cubicBezTo>
                <a:pt x="3" y="57"/>
                <a:pt x="3" y="57"/>
                <a:pt x="3" y="57"/>
              </a:cubicBezTo>
              <a:cubicBezTo>
                <a:pt x="0" y="61"/>
                <a:pt x="1" y="65"/>
                <a:pt x="7" y="65"/>
              </a:cubicBezTo>
              <a:cubicBezTo>
                <a:pt x="26" y="65"/>
                <a:pt x="26" y="65"/>
                <a:pt x="26" y="65"/>
              </a:cubicBezTo>
              <a:cubicBezTo>
                <a:pt x="26" y="299"/>
                <a:pt x="26" y="299"/>
                <a:pt x="26" y="299"/>
              </a:cubicBezTo>
              <a:cubicBezTo>
                <a:pt x="12" y="299"/>
                <a:pt x="12" y="299"/>
                <a:pt x="12" y="299"/>
              </a:cubicBezTo>
              <a:cubicBezTo>
                <a:pt x="10" y="299"/>
                <a:pt x="9" y="301"/>
                <a:pt x="9" y="302"/>
              </a:cubicBezTo>
              <a:cubicBezTo>
                <a:pt x="9" y="315"/>
                <a:pt x="9" y="315"/>
                <a:pt x="9" y="315"/>
              </a:cubicBezTo>
              <a:cubicBezTo>
                <a:pt x="133" y="315"/>
                <a:pt x="133" y="315"/>
                <a:pt x="133" y="315"/>
              </a:cubicBezTo>
              <a:cubicBezTo>
                <a:pt x="133" y="203"/>
                <a:pt x="133" y="203"/>
                <a:pt x="133" y="203"/>
              </a:cubicBezTo>
              <a:cubicBezTo>
                <a:pt x="133" y="198"/>
                <a:pt x="137" y="193"/>
                <a:pt x="143" y="193"/>
              </a:cubicBezTo>
              <a:cubicBezTo>
                <a:pt x="182" y="193"/>
                <a:pt x="182" y="193"/>
                <a:pt x="182" y="193"/>
              </a:cubicBezTo>
              <a:cubicBezTo>
                <a:pt x="187" y="193"/>
                <a:pt x="192" y="198"/>
                <a:pt x="192" y="203"/>
              </a:cubicBezTo>
              <a:cubicBezTo>
                <a:pt x="192" y="315"/>
                <a:pt x="192" y="315"/>
                <a:pt x="192" y="315"/>
              </a:cubicBezTo>
              <a:cubicBezTo>
                <a:pt x="443" y="315"/>
                <a:pt x="443" y="315"/>
                <a:pt x="443" y="315"/>
              </a:cubicBezTo>
              <a:cubicBezTo>
                <a:pt x="443" y="302"/>
                <a:pt x="443" y="302"/>
                <a:pt x="443" y="302"/>
              </a:cubicBezTo>
              <a:cubicBezTo>
                <a:pt x="443" y="301"/>
                <a:pt x="442" y="299"/>
                <a:pt x="440" y="299"/>
              </a:cubicBezTo>
              <a:cubicBezTo>
                <a:pt x="390" y="299"/>
                <a:pt x="390" y="299"/>
                <a:pt x="390" y="299"/>
              </a:cubicBezTo>
              <a:cubicBezTo>
                <a:pt x="390" y="244"/>
                <a:pt x="390" y="244"/>
                <a:pt x="390" y="244"/>
              </a:cubicBezTo>
              <a:lnTo>
                <a:pt x="431" y="244"/>
              </a:lnTo>
              <a:close/>
              <a:moveTo>
                <a:pt x="107" y="249"/>
              </a:moveTo>
              <a:cubicBezTo>
                <a:pt x="107" y="253"/>
                <a:pt x="103" y="257"/>
                <a:pt x="98" y="257"/>
              </a:cubicBezTo>
              <a:cubicBezTo>
                <a:pt x="64" y="257"/>
                <a:pt x="64" y="257"/>
                <a:pt x="64" y="257"/>
              </a:cubicBezTo>
              <a:cubicBezTo>
                <a:pt x="59" y="257"/>
                <a:pt x="56" y="253"/>
                <a:pt x="56" y="249"/>
              </a:cubicBezTo>
              <a:cubicBezTo>
                <a:pt x="56" y="202"/>
                <a:pt x="56" y="202"/>
                <a:pt x="56" y="202"/>
              </a:cubicBezTo>
              <a:cubicBezTo>
                <a:pt x="56" y="198"/>
                <a:pt x="59" y="194"/>
                <a:pt x="64" y="194"/>
              </a:cubicBezTo>
              <a:cubicBezTo>
                <a:pt x="98" y="194"/>
                <a:pt x="98" y="194"/>
                <a:pt x="98" y="194"/>
              </a:cubicBezTo>
              <a:cubicBezTo>
                <a:pt x="103" y="194"/>
                <a:pt x="107" y="198"/>
                <a:pt x="107" y="202"/>
              </a:cubicBezTo>
              <a:lnTo>
                <a:pt x="107" y="249"/>
              </a:lnTo>
              <a:close/>
              <a:moveTo>
                <a:pt x="107" y="152"/>
              </a:moveTo>
              <a:cubicBezTo>
                <a:pt x="107" y="157"/>
                <a:pt x="103" y="161"/>
                <a:pt x="98" y="161"/>
              </a:cubicBezTo>
              <a:cubicBezTo>
                <a:pt x="64" y="161"/>
                <a:pt x="64" y="161"/>
                <a:pt x="64" y="161"/>
              </a:cubicBezTo>
              <a:cubicBezTo>
                <a:pt x="59" y="161"/>
                <a:pt x="56" y="157"/>
                <a:pt x="56" y="152"/>
              </a:cubicBezTo>
              <a:cubicBezTo>
                <a:pt x="56" y="106"/>
                <a:pt x="56" y="106"/>
                <a:pt x="56" y="106"/>
              </a:cubicBezTo>
              <a:cubicBezTo>
                <a:pt x="56" y="101"/>
                <a:pt x="59" y="97"/>
                <a:pt x="64" y="97"/>
              </a:cubicBezTo>
              <a:cubicBezTo>
                <a:pt x="98" y="97"/>
                <a:pt x="98" y="97"/>
                <a:pt x="98" y="97"/>
              </a:cubicBezTo>
              <a:cubicBezTo>
                <a:pt x="103" y="97"/>
                <a:pt x="107" y="101"/>
                <a:pt x="107" y="106"/>
              </a:cubicBezTo>
              <a:lnTo>
                <a:pt x="107" y="152"/>
              </a:lnTo>
              <a:close/>
              <a:moveTo>
                <a:pt x="188" y="152"/>
              </a:moveTo>
              <a:cubicBezTo>
                <a:pt x="188" y="157"/>
                <a:pt x="184" y="161"/>
                <a:pt x="180" y="161"/>
              </a:cubicBezTo>
              <a:cubicBezTo>
                <a:pt x="145" y="161"/>
                <a:pt x="145" y="161"/>
                <a:pt x="145" y="161"/>
              </a:cubicBezTo>
              <a:cubicBezTo>
                <a:pt x="141" y="161"/>
                <a:pt x="137" y="157"/>
                <a:pt x="137" y="152"/>
              </a:cubicBezTo>
              <a:cubicBezTo>
                <a:pt x="137" y="106"/>
                <a:pt x="137" y="106"/>
                <a:pt x="137" y="106"/>
              </a:cubicBezTo>
              <a:cubicBezTo>
                <a:pt x="137" y="101"/>
                <a:pt x="141" y="97"/>
                <a:pt x="145" y="97"/>
              </a:cubicBezTo>
              <a:cubicBezTo>
                <a:pt x="180" y="97"/>
                <a:pt x="180" y="97"/>
                <a:pt x="180" y="97"/>
              </a:cubicBezTo>
              <a:cubicBezTo>
                <a:pt x="184" y="97"/>
                <a:pt x="188" y="101"/>
                <a:pt x="188" y="106"/>
              </a:cubicBezTo>
              <a:lnTo>
                <a:pt x="188" y="152"/>
              </a:lnTo>
              <a:close/>
              <a:moveTo>
                <a:pt x="269" y="249"/>
              </a:moveTo>
              <a:cubicBezTo>
                <a:pt x="269" y="253"/>
                <a:pt x="265" y="257"/>
                <a:pt x="261" y="257"/>
              </a:cubicBezTo>
              <a:cubicBezTo>
                <a:pt x="227" y="257"/>
                <a:pt x="227" y="257"/>
                <a:pt x="227" y="257"/>
              </a:cubicBezTo>
              <a:cubicBezTo>
                <a:pt x="222" y="257"/>
                <a:pt x="218" y="253"/>
                <a:pt x="218" y="249"/>
              </a:cubicBezTo>
              <a:cubicBezTo>
                <a:pt x="218" y="202"/>
                <a:pt x="218" y="202"/>
                <a:pt x="218" y="202"/>
              </a:cubicBezTo>
              <a:cubicBezTo>
                <a:pt x="218" y="198"/>
                <a:pt x="222" y="194"/>
                <a:pt x="227" y="194"/>
              </a:cubicBezTo>
              <a:cubicBezTo>
                <a:pt x="261" y="194"/>
                <a:pt x="261" y="194"/>
                <a:pt x="261" y="194"/>
              </a:cubicBezTo>
              <a:cubicBezTo>
                <a:pt x="265" y="194"/>
                <a:pt x="269" y="198"/>
                <a:pt x="269" y="202"/>
              </a:cubicBezTo>
              <a:lnTo>
                <a:pt x="269" y="249"/>
              </a:lnTo>
              <a:close/>
              <a:moveTo>
                <a:pt x="269" y="152"/>
              </a:moveTo>
              <a:cubicBezTo>
                <a:pt x="269" y="157"/>
                <a:pt x="265" y="161"/>
                <a:pt x="261" y="161"/>
              </a:cubicBezTo>
              <a:cubicBezTo>
                <a:pt x="227" y="161"/>
                <a:pt x="227" y="161"/>
                <a:pt x="227" y="161"/>
              </a:cubicBezTo>
              <a:cubicBezTo>
                <a:pt x="222" y="161"/>
                <a:pt x="218" y="157"/>
                <a:pt x="218" y="152"/>
              </a:cubicBezTo>
              <a:cubicBezTo>
                <a:pt x="218" y="106"/>
                <a:pt x="218" y="106"/>
                <a:pt x="218" y="106"/>
              </a:cubicBezTo>
              <a:cubicBezTo>
                <a:pt x="218" y="101"/>
                <a:pt x="222" y="97"/>
                <a:pt x="227" y="97"/>
              </a:cubicBezTo>
              <a:cubicBezTo>
                <a:pt x="261" y="97"/>
                <a:pt x="261" y="97"/>
                <a:pt x="261" y="97"/>
              </a:cubicBezTo>
              <a:cubicBezTo>
                <a:pt x="265" y="97"/>
                <a:pt x="269" y="101"/>
                <a:pt x="269" y="106"/>
              </a:cubicBezTo>
              <a:lnTo>
                <a:pt x="269" y="152"/>
              </a:lnTo>
              <a:close/>
              <a:moveTo>
                <a:pt x="369" y="224"/>
              </a:moveTo>
              <a:cubicBezTo>
                <a:pt x="367" y="224"/>
                <a:pt x="365" y="222"/>
                <a:pt x="365" y="220"/>
              </a:cubicBezTo>
              <a:cubicBezTo>
                <a:pt x="365" y="199"/>
                <a:pt x="365" y="199"/>
                <a:pt x="365" y="199"/>
              </a:cubicBezTo>
              <a:cubicBezTo>
                <a:pt x="365" y="197"/>
                <a:pt x="364" y="196"/>
                <a:pt x="362" y="196"/>
              </a:cubicBezTo>
              <a:cubicBezTo>
                <a:pt x="341" y="196"/>
                <a:pt x="341" y="196"/>
                <a:pt x="341" y="196"/>
              </a:cubicBezTo>
              <a:cubicBezTo>
                <a:pt x="339" y="196"/>
                <a:pt x="337" y="194"/>
                <a:pt x="337" y="192"/>
              </a:cubicBezTo>
              <a:cubicBezTo>
                <a:pt x="337" y="169"/>
                <a:pt x="337" y="169"/>
                <a:pt x="337" y="169"/>
              </a:cubicBezTo>
              <a:cubicBezTo>
                <a:pt x="337" y="167"/>
                <a:pt x="339" y="166"/>
                <a:pt x="341" y="166"/>
              </a:cubicBezTo>
              <a:cubicBezTo>
                <a:pt x="362" y="166"/>
                <a:pt x="362" y="166"/>
                <a:pt x="362" y="166"/>
              </a:cubicBezTo>
              <a:cubicBezTo>
                <a:pt x="364" y="166"/>
                <a:pt x="365" y="164"/>
                <a:pt x="365" y="162"/>
              </a:cubicBezTo>
              <a:cubicBezTo>
                <a:pt x="365" y="141"/>
                <a:pt x="365" y="141"/>
                <a:pt x="365" y="141"/>
              </a:cubicBezTo>
              <a:cubicBezTo>
                <a:pt x="365" y="139"/>
                <a:pt x="367" y="137"/>
                <a:pt x="369" y="137"/>
              </a:cubicBezTo>
              <a:cubicBezTo>
                <a:pt x="392" y="137"/>
                <a:pt x="392" y="137"/>
                <a:pt x="392" y="137"/>
              </a:cubicBezTo>
              <a:cubicBezTo>
                <a:pt x="394" y="137"/>
                <a:pt x="396" y="139"/>
                <a:pt x="396" y="141"/>
              </a:cubicBezTo>
              <a:cubicBezTo>
                <a:pt x="396" y="162"/>
                <a:pt x="396" y="162"/>
                <a:pt x="396" y="162"/>
              </a:cubicBezTo>
              <a:cubicBezTo>
                <a:pt x="396" y="164"/>
                <a:pt x="397" y="166"/>
                <a:pt x="399" y="166"/>
              </a:cubicBezTo>
              <a:cubicBezTo>
                <a:pt x="420" y="166"/>
                <a:pt x="420" y="166"/>
                <a:pt x="420" y="166"/>
              </a:cubicBezTo>
              <a:cubicBezTo>
                <a:pt x="422" y="166"/>
                <a:pt x="424" y="167"/>
                <a:pt x="424" y="169"/>
              </a:cubicBezTo>
              <a:cubicBezTo>
                <a:pt x="424" y="192"/>
                <a:pt x="424" y="192"/>
                <a:pt x="424" y="192"/>
              </a:cubicBezTo>
              <a:cubicBezTo>
                <a:pt x="424" y="194"/>
                <a:pt x="422" y="196"/>
                <a:pt x="420" y="196"/>
              </a:cubicBezTo>
              <a:cubicBezTo>
                <a:pt x="399" y="196"/>
                <a:pt x="399" y="196"/>
                <a:pt x="399" y="196"/>
              </a:cubicBezTo>
              <a:cubicBezTo>
                <a:pt x="397" y="196"/>
                <a:pt x="396" y="197"/>
                <a:pt x="396" y="199"/>
              </a:cubicBezTo>
              <a:cubicBezTo>
                <a:pt x="396" y="220"/>
                <a:pt x="396" y="220"/>
                <a:pt x="396" y="220"/>
              </a:cubicBezTo>
              <a:cubicBezTo>
                <a:pt x="396" y="222"/>
                <a:pt x="394" y="224"/>
                <a:pt x="392" y="224"/>
              </a:cubicBezTo>
              <a:lnTo>
                <a:pt x="369" y="224"/>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564777</xdr:colOff>
      <xdr:row>36</xdr:row>
      <xdr:rowOff>82372</xdr:rowOff>
    </xdr:from>
    <xdr:to>
      <xdr:col>1</xdr:col>
      <xdr:colOff>941295</xdr:colOff>
      <xdr:row>37</xdr:row>
      <xdr:rowOff>268100</xdr:rowOff>
    </xdr:to>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779930" y="12050254"/>
          <a:ext cx="376518" cy="311234"/>
        </a:xfrm>
        <a:custGeom>
          <a:avLst/>
          <a:gdLst>
            <a:gd name="T0" fmla="*/ 0 w 744"/>
            <a:gd name="T1" fmla="*/ 306 h 615"/>
            <a:gd name="T2" fmla="*/ 90 w 744"/>
            <a:gd name="T3" fmla="*/ 306 h 615"/>
            <a:gd name="T4" fmla="*/ 136 w 744"/>
            <a:gd name="T5" fmla="*/ 255 h 615"/>
            <a:gd name="T6" fmla="*/ 173 w 744"/>
            <a:gd name="T7" fmla="*/ 309 h 615"/>
            <a:gd name="T8" fmla="*/ 243 w 744"/>
            <a:gd name="T9" fmla="*/ 219 h 615"/>
            <a:gd name="T10" fmla="*/ 298 w 744"/>
            <a:gd name="T11" fmla="*/ 377 h 615"/>
            <a:gd name="T12" fmla="*/ 339 w 744"/>
            <a:gd name="T13" fmla="*/ 288 h 615"/>
            <a:gd name="T14" fmla="*/ 367 w 744"/>
            <a:gd name="T15" fmla="*/ 338 h 615"/>
            <a:gd name="T16" fmla="*/ 474 w 744"/>
            <a:gd name="T17" fmla="*/ 0 h 615"/>
            <a:gd name="T18" fmla="*/ 575 w 744"/>
            <a:gd name="T19" fmla="*/ 468 h 615"/>
            <a:gd name="T20" fmla="*/ 623 w 744"/>
            <a:gd name="T21" fmla="*/ 274 h 615"/>
            <a:gd name="T22" fmla="*/ 693 w 744"/>
            <a:gd name="T23" fmla="*/ 306 h 615"/>
            <a:gd name="T24" fmla="*/ 744 w 744"/>
            <a:gd name="T25" fmla="*/ 306 h 615"/>
            <a:gd name="T26" fmla="*/ 744 w 744"/>
            <a:gd name="T27" fmla="*/ 336 h 615"/>
            <a:gd name="T28" fmla="*/ 689 w 744"/>
            <a:gd name="T29" fmla="*/ 336 h 615"/>
            <a:gd name="T30" fmla="*/ 648 w 744"/>
            <a:gd name="T31" fmla="*/ 319 h 615"/>
            <a:gd name="T32" fmla="*/ 575 w 744"/>
            <a:gd name="T33" fmla="*/ 615 h 615"/>
            <a:gd name="T34" fmla="*/ 470 w 744"/>
            <a:gd name="T35" fmla="*/ 124 h 615"/>
            <a:gd name="T36" fmla="*/ 375 w 744"/>
            <a:gd name="T37" fmla="*/ 419 h 615"/>
            <a:gd name="T38" fmla="*/ 336 w 744"/>
            <a:gd name="T39" fmla="*/ 354 h 615"/>
            <a:gd name="T40" fmla="*/ 299 w 744"/>
            <a:gd name="T41" fmla="*/ 450 h 615"/>
            <a:gd name="T42" fmla="*/ 233 w 744"/>
            <a:gd name="T43" fmla="*/ 279 h 615"/>
            <a:gd name="T44" fmla="*/ 173 w 744"/>
            <a:gd name="T45" fmla="*/ 353 h 615"/>
            <a:gd name="T46" fmla="*/ 133 w 744"/>
            <a:gd name="T47" fmla="*/ 299 h 615"/>
            <a:gd name="T48" fmla="*/ 92 w 744"/>
            <a:gd name="T49" fmla="*/ 336 h 615"/>
            <a:gd name="T50" fmla="*/ 0 w 744"/>
            <a:gd name="T51" fmla="*/ 336 h 615"/>
            <a:gd name="T52" fmla="*/ 0 w 744"/>
            <a:gd name="T53" fmla="*/ 306 h 615"/>
            <a:gd name="T54" fmla="*/ 0 w 744"/>
            <a:gd name="T55" fmla="*/ 306 h 6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744" h="615">
              <a:moveTo>
                <a:pt x="0" y="306"/>
              </a:moveTo>
              <a:lnTo>
                <a:pt x="90" y="306"/>
              </a:lnTo>
              <a:lnTo>
                <a:pt x="136" y="255"/>
              </a:lnTo>
              <a:lnTo>
                <a:pt x="173" y="309"/>
              </a:lnTo>
              <a:lnTo>
                <a:pt x="243" y="219"/>
              </a:lnTo>
              <a:lnTo>
                <a:pt x="298" y="377"/>
              </a:lnTo>
              <a:lnTo>
                <a:pt x="339" y="288"/>
              </a:lnTo>
              <a:lnTo>
                <a:pt x="367" y="338"/>
              </a:lnTo>
              <a:lnTo>
                <a:pt x="474" y="0"/>
              </a:lnTo>
              <a:lnTo>
                <a:pt x="575" y="468"/>
              </a:lnTo>
              <a:lnTo>
                <a:pt x="623" y="274"/>
              </a:lnTo>
              <a:lnTo>
                <a:pt x="693" y="306"/>
              </a:lnTo>
              <a:lnTo>
                <a:pt x="744" y="306"/>
              </a:lnTo>
              <a:lnTo>
                <a:pt x="744" y="336"/>
              </a:lnTo>
              <a:lnTo>
                <a:pt x="689" y="336"/>
              </a:lnTo>
              <a:lnTo>
                <a:pt x="648" y="319"/>
              </a:lnTo>
              <a:lnTo>
                <a:pt x="575" y="615"/>
              </a:lnTo>
              <a:lnTo>
                <a:pt x="470" y="124"/>
              </a:lnTo>
              <a:lnTo>
                <a:pt x="375" y="419"/>
              </a:lnTo>
              <a:lnTo>
                <a:pt x="336" y="354"/>
              </a:lnTo>
              <a:lnTo>
                <a:pt x="299" y="450"/>
              </a:lnTo>
              <a:lnTo>
                <a:pt x="233" y="279"/>
              </a:lnTo>
              <a:lnTo>
                <a:pt x="173" y="353"/>
              </a:lnTo>
              <a:lnTo>
                <a:pt x="133" y="299"/>
              </a:lnTo>
              <a:lnTo>
                <a:pt x="92" y="336"/>
              </a:lnTo>
              <a:lnTo>
                <a:pt x="0" y="336"/>
              </a:lnTo>
              <a:lnTo>
                <a:pt x="0" y="306"/>
              </a:lnTo>
              <a:lnTo>
                <a:pt x="0" y="306"/>
              </a:ln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2790825</xdr:colOff>
          <xdr:row>18</xdr:row>
          <xdr:rowOff>152400</xdr:rowOff>
        </xdr:from>
        <xdr:to>
          <xdr:col>2</xdr:col>
          <xdr:colOff>695325</xdr:colOff>
          <xdr:row>20</xdr:row>
          <xdr:rowOff>9525</xdr:rowOff>
        </xdr:to>
        <xdr:sp macro="" textlink="">
          <xdr:nvSpPr>
            <xdr:cNvPr id="57360" name="Option Button 16" hidden="1">
              <a:extLst>
                <a:ext uri="{63B3BB69-23CF-44E3-9099-C40C66FF867C}">
                  <a14:compatExt spid="_x0000_s57360"/>
                </a:ext>
                <a:ext uri="{FF2B5EF4-FFF2-40B4-BE49-F238E27FC236}">
                  <a16:creationId xmlns:a16="http://schemas.microsoft.com/office/drawing/2014/main" id="{00000000-0008-0000-0400-00001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Country</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18</xdr:row>
          <xdr:rowOff>142875</xdr:rowOff>
        </xdr:from>
        <xdr:to>
          <xdr:col>3</xdr:col>
          <xdr:colOff>180975</xdr:colOff>
          <xdr:row>20</xdr:row>
          <xdr:rowOff>0</xdr:rowOff>
        </xdr:to>
        <xdr:sp macro="" textlink="">
          <xdr:nvSpPr>
            <xdr:cNvPr id="57361" name="Option Button 17" hidden="1">
              <a:extLst>
                <a:ext uri="{63B3BB69-23CF-44E3-9099-C40C66FF867C}">
                  <a14:compatExt spid="_x0000_s57361"/>
                </a:ext>
                <a:ext uri="{FF2B5EF4-FFF2-40B4-BE49-F238E27FC236}">
                  <a16:creationId xmlns:a16="http://schemas.microsoft.com/office/drawing/2014/main" id="{00000000-0008-0000-04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Manual Entry</a:t>
              </a:r>
            </a:p>
          </xdr:txBody>
        </xdr:sp>
        <xdr:clientData fLocksWithSheet="0"/>
      </xdr:twoCellAnchor>
    </mc:Choice>
    <mc:Fallback/>
  </mc:AlternateContent>
  <xdr:twoCellAnchor editAs="oneCell">
    <xdr:from>
      <xdr:col>1</xdr:col>
      <xdr:colOff>1262903</xdr:colOff>
      <xdr:row>176</xdr:row>
      <xdr:rowOff>98612</xdr:rowOff>
    </xdr:from>
    <xdr:to>
      <xdr:col>1</xdr:col>
      <xdr:colOff>1641960</xdr:colOff>
      <xdr:row>177</xdr:row>
      <xdr:rowOff>286940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1028" y="35731637"/>
          <a:ext cx="379057" cy="369304"/>
        </a:xfrm>
        <a:prstGeom prst="rect">
          <a:avLst/>
        </a:prstGeom>
      </xdr:spPr>
    </xdr:pic>
    <xdr:clientData/>
  </xdr:twoCellAnchor>
  <xdr:twoCellAnchor>
    <xdr:from>
      <xdr:col>1</xdr:col>
      <xdr:colOff>1105461</xdr:colOff>
      <xdr:row>185</xdr:row>
      <xdr:rowOff>98611</xdr:rowOff>
    </xdr:from>
    <xdr:to>
      <xdr:col>1</xdr:col>
      <xdr:colOff>1508873</xdr:colOff>
      <xdr:row>186</xdr:row>
      <xdr:rowOff>290228</xdr:rowOff>
    </xdr:to>
    <xdr:grpSp>
      <xdr:nvGrpSpPr>
        <xdr:cNvPr id="57" name="Group 56">
          <a:extLst>
            <a:ext uri="{FF2B5EF4-FFF2-40B4-BE49-F238E27FC236}">
              <a16:creationId xmlns:a16="http://schemas.microsoft.com/office/drawing/2014/main" id="{00000000-0008-0000-0400-000039000000}"/>
            </a:ext>
          </a:extLst>
        </xdr:cNvPr>
        <xdr:cNvGrpSpPr/>
      </xdr:nvGrpSpPr>
      <xdr:grpSpPr>
        <a:xfrm>
          <a:off x="1338294" y="36928611"/>
          <a:ext cx="403412" cy="371534"/>
          <a:chOff x="2168525" y="2154238"/>
          <a:chExt cx="1241425" cy="1141412"/>
        </a:xfrm>
        <a:solidFill>
          <a:schemeClr val="tx1"/>
        </a:solidFill>
      </xdr:grpSpPr>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2168525" y="2206625"/>
            <a:ext cx="571500" cy="190500"/>
          </a:xfrm>
          <a:custGeom>
            <a:avLst/>
            <a:gdLst>
              <a:gd name="T0" fmla="*/ 68 w 243"/>
              <a:gd name="T1" fmla="*/ 78 h 81"/>
              <a:gd name="T2" fmla="*/ 107 w 243"/>
              <a:gd name="T3" fmla="*/ 62 h 81"/>
              <a:gd name="T4" fmla="*/ 116 w 243"/>
              <a:gd name="T5" fmla="*/ 57 h 81"/>
              <a:gd name="T6" fmla="*/ 124 w 243"/>
              <a:gd name="T7" fmla="*/ 52 h 81"/>
              <a:gd name="T8" fmla="*/ 140 w 243"/>
              <a:gd name="T9" fmla="*/ 43 h 81"/>
              <a:gd name="T10" fmla="*/ 172 w 243"/>
              <a:gd name="T11" fmla="*/ 26 h 81"/>
              <a:gd name="T12" fmla="*/ 188 w 243"/>
              <a:gd name="T13" fmla="*/ 23 h 81"/>
              <a:gd name="T14" fmla="*/ 200 w 243"/>
              <a:gd name="T15" fmla="*/ 25 h 81"/>
              <a:gd name="T16" fmla="*/ 205 w 243"/>
              <a:gd name="T17" fmla="*/ 30 h 81"/>
              <a:gd name="T18" fmla="*/ 208 w 243"/>
              <a:gd name="T19" fmla="*/ 36 h 81"/>
              <a:gd name="T20" fmla="*/ 210 w 243"/>
              <a:gd name="T21" fmla="*/ 45 h 81"/>
              <a:gd name="T22" fmla="*/ 212 w 243"/>
              <a:gd name="T23" fmla="*/ 55 h 81"/>
              <a:gd name="T24" fmla="*/ 215 w 243"/>
              <a:gd name="T25" fmla="*/ 65 h 81"/>
              <a:gd name="T26" fmla="*/ 218 w 243"/>
              <a:gd name="T27" fmla="*/ 70 h 81"/>
              <a:gd name="T28" fmla="*/ 222 w 243"/>
              <a:gd name="T29" fmla="*/ 74 h 81"/>
              <a:gd name="T30" fmla="*/ 233 w 243"/>
              <a:gd name="T31" fmla="*/ 76 h 81"/>
              <a:gd name="T32" fmla="*/ 243 w 243"/>
              <a:gd name="T33" fmla="*/ 73 h 81"/>
              <a:gd name="T34" fmla="*/ 233 w 243"/>
              <a:gd name="T35" fmla="*/ 73 h 81"/>
              <a:gd name="T36" fmla="*/ 226 w 243"/>
              <a:gd name="T37" fmla="*/ 69 h 81"/>
              <a:gd name="T38" fmla="*/ 223 w 243"/>
              <a:gd name="T39" fmla="*/ 63 h 81"/>
              <a:gd name="T40" fmla="*/ 222 w 243"/>
              <a:gd name="T41" fmla="*/ 54 h 81"/>
              <a:gd name="T42" fmla="*/ 223 w 243"/>
              <a:gd name="T43" fmla="*/ 44 h 81"/>
              <a:gd name="T44" fmla="*/ 223 w 243"/>
              <a:gd name="T45" fmla="*/ 33 h 81"/>
              <a:gd name="T46" fmla="*/ 220 w 243"/>
              <a:gd name="T47" fmla="*/ 21 h 81"/>
              <a:gd name="T48" fmla="*/ 216 w 243"/>
              <a:gd name="T49" fmla="*/ 16 h 81"/>
              <a:gd name="T50" fmla="*/ 212 w 243"/>
              <a:gd name="T51" fmla="*/ 11 h 81"/>
              <a:gd name="T52" fmla="*/ 201 w 243"/>
              <a:gd name="T53" fmla="*/ 4 h 81"/>
              <a:gd name="T54" fmla="*/ 189 w 243"/>
              <a:gd name="T55" fmla="*/ 1 h 81"/>
              <a:gd name="T56" fmla="*/ 166 w 243"/>
              <a:gd name="T57" fmla="*/ 2 h 81"/>
              <a:gd name="T58" fmla="*/ 145 w 243"/>
              <a:gd name="T59" fmla="*/ 8 h 81"/>
              <a:gd name="T60" fmla="*/ 126 w 243"/>
              <a:gd name="T61" fmla="*/ 16 h 81"/>
              <a:gd name="T62" fmla="*/ 108 w 243"/>
              <a:gd name="T63" fmla="*/ 25 h 81"/>
              <a:gd name="T64" fmla="*/ 104 w 243"/>
              <a:gd name="T65" fmla="*/ 28 h 81"/>
              <a:gd name="T66" fmla="*/ 100 w 243"/>
              <a:gd name="T67" fmla="*/ 30 h 81"/>
              <a:gd name="T68" fmla="*/ 92 w 243"/>
              <a:gd name="T69" fmla="*/ 35 h 81"/>
              <a:gd name="T70" fmla="*/ 60 w 243"/>
              <a:gd name="T71" fmla="*/ 52 h 81"/>
              <a:gd name="T72" fmla="*/ 44 w 243"/>
              <a:gd name="T73" fmla="*/ 58 h 81"/>
              <a:gd name="T74" fmla="*/ 35 w 243"/>
              <a:gd name="T75" fmla="*/ 60 h 81"/>
              <a:gd name="T76" fmla="*/ 27 w 243"/>
              <a:gd name="T77" fmla="*/ 61 h 81"/>
              <a:gd name="T78" fmla="*/ 12 w 243"/>
              <a:gd name="T79" fmla="*/ 59 h 81"/>
              <a:gd name="T80" fmla="*/ 6 w 243"/>
              <a:gd name="T81" fmla="*/ 54 h 81"/>
              <a:gd name="T82" fmla="*/ 2 w 243"/>
              <a:gd name="T83" fmla="*/ 46 h 81"/>
              <a:gd name="T84" fmla="*/ 0 w 243"/>
              <a:gd name="T85" fmla="*/ 51 h 81"/>
              <a:gd name="T86" fmla="*/ 0 w 243"/>
              <a:gd name="T87" fmla="*/ 56 h 81"/>
              <a:gd name="T88" fmla="*/ 4 w 243"/>
              <a:gd name="T89" fmla="*/ 68 h 81"/>
              <a:gd name="T90" fmla="*/ 14 w 243"/>
              <a:gd name="T91" fmla="*/ 75 h 81"/>
              <a:gd name="T92" fmla="*/ 25 w 243"/>
              <a:gd name="T93" fmla="*/ 79 h 81"/>
              <a:gd name="T94" fmla="*/ 31 w 243"/>
              <a:gd name="T95" fmla="*/ 80 h 81"/>
              <a:gd name="T96" fmla="*/ 36 w 243"/>
              <a:gd name="T97" fmla="*/ 81 h 81"/>
              <a:gd name="T98" fmla="*/ 47 w 243"/>
              <a:gd name="T99" fmla="*/ 81 h 81"/>
              <a:gd name="T100" fmla="*/ 68 w 243"/>
              <a:gd name="T101" fmla="*/ 78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68" y="78"/>
                </a:moveTo>
                <a:cubicBezTo>
                  <a:pt x="82" y="74"/>
                  <a:pt x="95" y="69"/>
                  <a:pt x="107" y="62"/>
                </a:cubicBezTo>
                <a:cubicBezTo>
                  <a:pt x="110" y="61"/>
                  <a:pt x="113" y="59"/>
                  <a:pt x="116" y="57"/>
                </a:cubicBezTo>
                <a:cubicBezTo>
                  <a:pt x="124" y="52"/>
                  <a:pt x="124" y="52"/>
                  <a:pt x="124" y="52"/>
                </a:cubicBezTo>
                <a:cubicBezTo>
                  <a:pt x="130" y="49"/>
                  <a:pt x="135" y="46"/>
                  <a:pt x="140" y="43"/>
                </a:cubicBezTo>
                <a:cubicBezTo>
                  <a:pt x="151" y="36"/>
                  <a:pt x="162" y="30"/>
                  <a:pt x="172" y="26"/>
                </a:cubicBezTo>
                <a:cubicBezTo>
                  <a:pt x="178" y="24"/>
                  <a:pt x="183" y="23"/>
                  <a:pt x="188" y="23"/>
                </a:cubicBezTo>
                <a:cubicBezTo>
                  <a:pt x="192" y="22"/>
                  <a:pt x="196" y="23"/>
                  <a:pt x="200" y="25"/>
                </a:cubicBezTo>
                <a:cubicBezTo>
                  <a:pt x="202" y="27"/>
                  <a:pt x="204" y="28"/>
                  <a:pt x="205" y="30"/>
                </a:cubicBezTo>
                <a:cubicBezTo>
                  <a:pt x="207" y="31"/>
                  <a:pt x="208" y="33"/>
                  <a:pt x="208" y="36"/>
                </a:cubicBezTo>
                <a:cubicBezTo>
                  <a:pt x="209" y="38"/>
                  <a:pt x="210" y="41"/>
                  <a:pt x="210" y="45"/>
                </a:cubicBezTo>
                <a:cubicBezTo>
                  <a:pt x="211" y="48"/>
                  <a:pt x="211" y="51"/>
                  <a:pt x="212" y="55"/>
                </a:cubicBezTo>
                <a:cubicBezTo>
                  <a:pt x="213" y="58"/>
                  <a:pt x="214" y="61"/>
                  <a:pt x="215" y="65"/>
                </a:cubicBezTo>
                <a:cubicBezTo>
                  <a:pt x="216" y="66"/>
                  <a:pt x="217" y="68"/>
                  <a:pt x="218" y="70"/>
                </a:cubicBezTo>
                <a:cubicBezTo>
                  <a:pt x="219" y="71"/>
                  <a:pt x="221" y="73"/>
                  <a:pt x="222" y="74"/>
                </a:cubicBezTo>
                <a:cubicBezTo>
                  <a:pt x="226" y="76"/>
                  <a:pt x="229" y="76"/>
                  <a:pt x="233" y="76"/>
                </a:cubicBezTo>
                <a:cubicBezTo>
                  <a:pt x="236" y="76"/>
                  <a:pt x="240" y="75"/>
                  <a:pt x="243" y="73"/>
                </a:cubicBezTo>
                <a:cubicBezTo>
                  <a:pt x="239" y="74"/>
                  <a:pt x="236" y="74"/>
                  <a:pt x="233" y="73"/>
                </a:cubicBezTo>
                <a:cubicBezTo>
                  <a:pt x="230" y="73"/>
                  <a:pt x="227" y="71"/>
                  <a:pt x="226" y="69"/>
                </a:cubicBezTo>
                <a:cubicBezTo>
                  <a:pt x="224" y="68"/>
                  <a:pt x="223" y="65"/>
                  <a:pt x="223" y="63"/>
                </a:cubicBezTo>
                <a:cubicBezTo>
                  <a:pt x="222" y="60"/>
                  <a:pt x="222" y="57"/>
                  <a:pt x="222" y="54"/>
                </a:cubicBezTo>
                <a:cubicBezTo>
                  <a:pt x="222" y="50"/>
                  <a:pt x="223" y="47"/>
                  <a:pt x="223" y="44"/>
                </a:cubicBezTo>
                <a:cubicBezTo>
                  <a:pt x="223" y="41"/>
                  <a:pt x="223" y="37"/>
                  <a:pt x="223" y="33"/>
                </a:cubicBezTo>
                <a:cubicBezTo>
                  <a:pt x="223" y="30"/>
                  <a:pt x="222" y="25"/>
                  <a:pt x="220" y="21"/>
                </a:cubicBezTo>
                <a:cubicBezTo>
                  <a:pt x="219" y="19"/>
                  <a:pt x="218" y="17"/>
                  <a:pt x="216" y="16"/>
                </a:cubicBezTo>
                <a:cubicBezTo>
                  <a:pt x="215" y="14"/>
                  <a:pt x="214" y="12"/>
                  <a:pt x="212" y="11"/>
                </a:cubicBezTo>
                <a:cubicBezTo>
                  <a:pt x="209" y="8"/>
                  <a:pt x="205" y="6"/>
                  <a:pt x="201" y="4"/>
                </a:cubicBezTo>
                <a:cubicBezTo>
                  <a:pt x="197" y="2"/>
                  <a:pt x="193" y="1"/>
                  <a:pt x="189" y="1"/>
                </a:cubicBezTo>
                <a:cubicBezTo>
                  <a:pt x="181" y="0"/>
                  <a:pt x="173" y="0"/>
                  <a:pt x="166" y="2"/>
                </a:cubicBezTo>
                <a:cubicBezTo>
                  <a:pt x="158" y="3"/>
                  <a:pt x="152" y="5"/>
                  <a:pt x="145" y="8"/>
                </a:cubicBezTo>
                <a:cubicBezTo>
                  <a:pt x="138" y="10"/>
                  <a:pt x="132" y="13"/>
                  <a:pt x="126" y="16"/>
                </a:cubicBezTo>
                <a:cubicBezTo>
                  <a:pt x="120" y="19"/>
                  <a:pt x="114" y="22"/>
                  <a:pt x="108" y="25"/>
                </a:cubicBezTo>
                <a:cubicBezTo>
                  <a:pt x="104" y="28"/>
                  <a:pt x="104" y="28"/>
                  <a:pt x="104" y="28"/>
                </a:cubicBezTo>
                <a:cubicBezTo>
                  <a:pt x="100" y="30"/>
                  <a:pt x="100" y="30"/>
                  <a:pt x="100" y="30"/>
                </a:cubicBezTo>
                <a:cubicBezTo>
                  <a:pt x="97" y="32"/>
                  <a:pt x="95" y="34"/>
                  <a:pt x="92" y="35"/>
                </a:cubicBezTo>
                <a:cubicBezTo>
                  <a:pt x="81" y="41"/>
                  <a:pt x="71" y="47"/>
                  <a:pt x="60" y="52"/>
                </a:cubicBezTo>
                <a:cubicBezTo>
                  <a:pt x="55" y="54"/>
                  <a:pt x="49" y="57"/>
                  <a:pt x="44" y="58"/>
                </a:cubicBezTo>
                <a:cubicBezTo>
                  <a:pt x="41" y="59"/>
                  <a:pt x="38" y="59"/>
                  <a:pt x="35" y="60"/>
                </a:cubicBezTo>
                <a:cubicBezTo>
                  <a:pt x="32" y="60"/>
                  <a:pt x="30" y="61"/>
                  <a:pt x="27" y="61"/>
                </a:cubicBezTo>
                <a:cubicBezTo>
                  <a:pt x="21" y="61"/>
                  <a:pt x="16" y="61"/>
                  <a:pt x="12" y="59"/>
                </a:cubicBezTo>
                <a:cubicBezTo>
                  <a:pt x="10" y="58"/>
                  <a:pt x="8" y="57"/>
                  <a:pt x="6" y="54"/>
                </a:cubicBezTo>
                <a:cubicBezTo>
                  <a:pt x="4" y="52"/>
                  <a:pt x="3" y="49"/>
                  <a:pt x="2" y="46"/>
                </a:cubicBezTo>
                <a:cubicBezTo>
                  <a:pt x="1" y="47"/>
                  <a:pt x="0" y="49"/>
                  <a:pt x="0" y="51"/>
                </a:cubicBezTo>
                <a:cubicBezTo>
                  <a:pt x="0" y="53"/>
                  <a:pt x="0" y="54"/>
                  <a:pt x="0" y="56"/>
                </a:cubicBezTo>
                <a:cubicBezTo>
                  <a:pt x="0" y="60"/>
                  <a:pt x="2" y="64"/>
                  <a:pt x="4" y="68"/>
                </a:cubicBezTo>
                <a:cubicBezTo>
                  <a:pt x="7" y="71"/>
                  <a:pt x="10" y="74"/>
                  <a:pt x="14" y="75"/>
                </a:cubicBezTo>
                <a:cubicBezTo>
                  <a:pt x="18" y="77"/>
                  <a:pt x="21" y="79"/>
                  <a:pt x="25" y="79"/>
                </a:cubicBezTo>
                <a:cubicBezTo>
                  <a:pt x="27" y="80"/>
                  <a:pt x="29" y="80"/>
                  <a:pt x="31" y="80"/>
                </a:cubicBezTo>
                <a:cubicBezTo>
                  <a:pt x="32" y="81"/>
                  <a:pt x="34" y="81"/>
                  <a:pt x="36" y="81"/>
                </a:cubicBezTo>
                <a:cubicBezTo>
                  <a:pt x="40" y="81"/>
                  <a:pt x="43" y="81"/>
                  <a:pt x="47" y="81"/>
                </a:cubicBezTo>
                <a:cubicBezTo>
                  <a:pt x="54" y="81"/>
                  <a:pt x="62" y="79"/>
                  <a:pt x="68" y="7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2273300" y="2268538"/>
            <a:ext cx="361950" cy="171450"/>
          </a:xfrm>
          <a:custGeom>
            <a:avLst/>
            <a:gdLst>
              <a:gd name="T0" fmla="*/ 58 w 154"/>
              <a:gd name="T1" fmla="*/ 67 h 73"/>
              <a:gd name="T2" fmla="*/ 90 w 154"/>
              <a:gd name="T3" fmla="*/ 48 h 73"/>
              <a:gd name="T4" fmla="*/ 98 w 154"/>
              <a:gd name="T5" fmla="*/ 43 h 73"/>
              <a:gd name="T6" fmla="*/ 104 w 154"/>
              <a:gd name="T7" fmla="*/ 37 h 73"/>
              <a:gd name="T8" fmla="*/ 117 w 154"/>
              <a:gd name="T9" fmla="*/ 27 h 73"/>
              <a:gd name="T10" fmla="*/ 144 w 154"/>
              <a:gd name="T11" fmla="*/ 8 h 73"/>
              <a:gd name="T12" fmla="*/ 153 w 154"/>
              <a:gd name="T13" fmla="*/ 4 h 73"/>
              <a:gd name="T14" fmla="*/ 154 w 154"/>
              <a:gd name="T15" fmla="*/ 4 h 73"/>
              <a:gd name="T16" fmla="*/ 153 w 154"/>
              <a:gd name="T17" fmla="*/ 2 h 73"/>
              <a:gd name="T18" fmla="*/ 140 w 154"/>
              <a:gd name="T19" fmla="*/ 0 h 73"/>
              <a:gd name="T20" fmla="*/ 125 w 154"/>
              <a:gd name="T21" fmla="*/ 4 h 73"/>
              <a:gd name="T22" fmla="*/ 94 w 154"/>
              <a:gd name="T23" fmla="*/ 22 h 73"/>
              <a:gd name="T24" fmla="*/ 78 w 154"/>
              <a:gd name="T25" fmla="*/ 32 h 73"/>
              <a:gd name="T26" fmla="*/ 70 w 154"/>
              <a:gd name="T27" fmla="*/ 38 h 73"/>
              <a:gd name="T28" fmla="*/ 61 w 154"/>
              <a:gd name="T29" fmla="*/ 43 h 73"/>
              <a:gd name="T30" fmla="*/ 23 w 154"/>
              <a:gd name="T31" fmla="*/ 60 h 73"/>
              <a:gd name="T32" fmla="*/ 2 w 154"/>
              <a:gd name="T33" fmla="*/ 64 h 73"/>
              <a:gd name="T34" fmla="*/ 0 w 154"/>
              <a:gd name="T35" fmla="*/ 64 h 73"/>
              <a:gd name="T36" fmla="*/ 0 w 154"/>
              <a:gd name="T37" fmla="*/ 64 h 73"/>
              <a:gd name="T38" fmla="*/ 10 w 154"/>
              <a:gd name="T39" fmla="*/ 70 h 73"/>
              <a:gd name="T40" fmla="*/ 20 w 154"/>
              <a:gd name="T41" fmla="*/ 73 h 73"/>
              <a:gd name="T42" fmla="*/ 25 w 154"/>
              <a:gd name="T43" fmla="*/ 73 h 73"/>
              <a:gd name="T44" fmla="*/ 30 w 154"/>
              <a:gd name="T45" fmla="*/ 73 h 73"/>
              <a:gd name="T46" fmla="*/ 39 w 154"/>
              <a:gd name="T47" fmla="*/ 72 h 73"/>
              <a:gd name="T48" fmla="*/ 58 w 154"/>
              <a:gd name="T49" fmla="*/ 67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58" y="67"/>
                </a:moveTo>
                <a:cubicBezTo>
                  <a:pt x="70" y="62"/>
                  <a:pt x="81" y="55"/>
                  <a:pt x="90" y="48"/>
                </a:cubicBezTo>
                <a:cubicBezTo>
                  <a:pt x="93" y="46"/>
                  <a:pt x="95" y="45"/>
                  <a:pt x="98" y="43"/>
                </a:cubicBezTo>
                <a:cubicBezTo>
                  <a:pt x="104" y="37"/>
                  <a:pt x="104" y="37"/>
                  <a:pt x="104" y="37"/>
                </a:cubicBezTo>
                <a:cubicBezTo>
                  <a:pt x="109" y="34"/>
                  <a:pt x="113" y="30"/>
                  <a:pt x="117" y="27"/>
                </a:cubicBezTo>
                <a:cubicBezTo>
                  <a:pt x="128" y="18"/>
                  <a:pt x="136" y="13"/>
                  <a:pt x="144" y="8"/>
                </a:cubicBezTo>
                <a:cubicBezTo>
                  <a:pt x="147" y="7"/>
                  <a:pt x="150" y="5"/>
                  <a:pt x="153" y="4"/>
                </a:cubicBezTo>
                <a:cubicBezTo>
                  <a:pt x="154" y="4"/>
                  <a:pt x="154" y="4"/>
                  <a:pt x="154" y="4"/>
                </a:cubicBezTo>
                <a:cubicBezTo>
                  <a:pt x="154" y="3"/>
                  <a:pt x="153" y="3"/>
                  <a:pt x="153" y="2"/>
                </a:cubicBezTo>
                <a:cubicBezTo>
                  <a:pt x="149" y="0"/>
                  <a:pt x="145" y="0"/>
                  <a:pt x="140" y="0"/>
                </a:cubicBezTo>
                <a:cubicBezTo>
                  <a:pt x="135" y="1"/>
                  <a:pt x="130" y="2"/>
                  <a:pt x="125" y="4"/>
                </a:cubicBezTo>
                <a:cubicBezTo>
                  <a:pt x="114" y="9"/>
                  <a:pt x="104" y="15"/>
                  <a:pt x="94" y="22"/>
                </a:cubicBezTo>
                <a:cubicBezTo>
                  <a:pt x="88" y="25"/>
                  <a:pt x="83" y="29"/>
                  <a:pt x="78" y="32"/>
                </a:cubicBezTo>
                <a:cubicBezTo>
                  <a:pt x="70" y="38"/>
                  <a:pt x="70" y="38"/>
                  <a:pt x="70" y="38"/>
                </a:cubicBezTo>
                <a:cubicBezTo>
                  <a:pt x="67" y="39"/>
                  <a:pt x="64" y="41"/>
                  <a:pt x="61" y="43"/>
                </a:cubicBezTo>
                <a:cubicBezTo>
                  <a:pt x="50" y="50"/>
                  <a:pt x="37" y="56"/>
                  <a:pt x="23" y="60"/>
                </a:cubicBezTo>
                <a:cubicBezTo>
                  <a:pt x="16" y="62"/>
                  <a:pt x="9" y="63"/>
                  <a:pt x="2" y="64"/>
                </a:cubicBezTo>
                <a:cubicBezTo>
                  <a:pt x="1" y="64"/>
                  <a:pt x="1" y="64"/>
                  <a:pt x="0" y="64"/>
                </a:cubicBezTo>
                <a:cubicBezTo>
                  <a:pt x="0" y="64"/>
                  <a:pt x="0" y="64"/>
                  <a:pt x="0" y="64"/>
                </a:cubicBezTo>
                <a:cubicBezTo>
                  <a:pt x="3" y="67"/>
                  <a:pt x="6" y="69"/>
                  <a:pt x="10" y="70"/>
                </a:cubicBezTo>
                <a:cubicBezTo>
                  <a:pt x="13" y="72"/>
                  <a:pt x="16" y="73"/>
                  <a:pt x="20" y="73"/>
                </a:cubicBezTo>
                <a:cubicBezTo>
                  <a:pt x="22" y="73"/>
                  <a:pt x="23" y="73"/>
                  <a:pt x="25" y="73"/>
                </a:cubicBezTo>
                <a:cubicBezTo>
                  <a:pt x="26" y="73"/>
                  <a:pt x="28" y="73"/>
                  <a:pt x="30" y="73"/>
                </a:cubicBezTo>
                <a:cubicBezTo>
                  <a:pt x="33" y="73"/>
                  <a:pt x="36" y="72"/>
                  <a:pt x="39" y="72"/>
                </a:cubicBezTo>
                <a:cubicBezTo>
                  <a:pt x="46" y="71"/>
                  <a:pt x="52" y="69"/>
                  <a:pt x="58" y="6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2362200" y="2281238"/>
            <a:ext cx="285750" cy="188913"/>
          </a:xfrm>
          <a:custGeom>
            <a:avLst/>
            <a:gdLst>
              <a:gd name="T0" fmla="*/ 51 w 122"/>
              <a:gd name="T1" fmla="*/ 71 h 80"/>
              <a:gd name="T2" fmla="*/ 78 w 122"/>
              <a:gd name="T3" fmla="*/ 50 h 80"/>
              <a:gd name="T4" fmla="*/ 84 w 122"/>
              <a:gd name="T5" fmla="*/ 44 h 80"/>
              <a:gd name="T6" fmla="*/ 89 w 122"/>
              <a:gd name="T7" fmla="*/ 39 h 80"/>
              <a:gd name="T8" fmla="*/ 99 w 122"/>
              <a:gd name="T9" fmla="*/ 28 h 80"/>
              <a:gd name="T10" fmla="*/ 121 w 122"/>
              <a:gd name="T11" fmla="*/ 8 h 80"/>
              <a:gd name="T12" fmla="*/ 122 w 122"/>
              <a:gd name="T13" fmla="*/ 7 h 80"/>
              <a:gd name="T14" fmla="*/ 121 w 122"/>
              <a:gd name="T15" fmla="*/ 3 h 80"/>
              <a:gd name="T16" fmla="*/ 120 w 122"/>
              <a:gd name="T17" fmla="*/ 1 h 80"/>
              <a:gd name="T18" fmla="*/ 120 w 122"/>
              <a:gd name="T19" fmla="*/ 0 h 80"/>
              <a:gd name="T20" fmla="*/ 116 w 122"/>
              <a:gd name="T21" fmla="*/ 1 h 80"/>
              <a:gd name="T22" fmla="*/ 103 w 122"/>
              <a:gd name="T23" fmla="*/ 7 h 80"/>
              <a:gd name="T24" fmla="*/ 78 w 122"/>
              <a:gd name="T25" fmla="*/ 26 h 80"/>
              <a:gd name="T26" fmla="*/ 65 w 122"/>
              <a:gd name="T27" fmla="*/ 37 h 80"/>
              <a:gd name="T28" fmla="*/ 58 w 122"/>
              <a:gd name="T29" fmla="*/ 43 h 80"/>
              <a:gd name="T30" fmla="*/ 51 w 122"/>
              <a:gd name="T31" fmla="*/ 49 h 80"/>
              <a:gd name="T32" fmla="*/ 20 w 122"/>
              <a:gd name="T33" fmla="*/ 68 h 80"/>
              <a:gd name="T34" fmla="*/ 1 w 122"/>
              <a:gd name="T35" fmla="*/ 74 h 80"/>
              <a:gd name="T36" fmla="*/ 0 w 122"/>
              <a:gd name="T37" fmla="*/ 75 h 80"/>
              <a:gd name="T38" fmla="*/ 0 w 122"/>
              <a:gd name="T39" fmla="*/ 75 h 80"/>
              <a:gd name="T40" fmla="*/ 0 w 122"/>
              <a:gd name="T41" fmla="*/ 75 h 80"/>
              <a:gd name="T42" fmla="*/ 9 w 122"/>
              <a:gd name="T43" fmla="*/ 79 h 80"/>
              <a:gd name="T44" fmla="*/ 18 w 122"/>
              <a:gd name="T45" fmla="*/ 80 h 80"/>
              <a:gd name="T46" fmla="*/ 23 w 122"/>
              <a:gd name="T47" fmla="*/ 80 h 80"/>
              <a:gd name="T48" fmla="*/ 27 w 122"/>
              <a:gd name="T49" fmla="*/ 79 h 80"/>
              <a:gd name="T50" fmla="*/ 35 w 122"/>
              <a:gd name="T51" fmla="*/ 77 h 80"/>
              <a:gd name="T52" fmla="*/ 51 w 122"/>
              <a:gd name="T53" fmla="*/ 71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51" y="71"/>
                </a:moveTo>
                <a:cubicBezTo>
                  <a:pt x="61" y="65"/>
                  <a:pt x="70" y="58"/>
                  <a:pt x="78" y="50"/>
                </a:cubicBezTo>
                <a:cubicBezTo>
                  <a:pt x="80" y="48"/>
                  <a:pt x="82" y="46"/>
                  <a:pt x="84" y="44"/>
                </a:cubicBezTo>
                <a:cubicBezTo>
                  <a:pt x="89" y="39"/>
                  <a:pt x="89" y="39"/>
                  <a:pt x="89" y="39"/>
                </a:cubicBezTo>
                <a:cubicBezTo>
                  <a:pt x="92" y="35"/>
                  <a:pt x="96" y="31"/>
                  <a:pt x="99" y="28"/>
                </a:cubicBezTo>
                <a:cubicBezTo>
                  <a:pt x="106" y="20"/>
                  <a:pt x="113" y="13"/>
                  <a:pt x="121" y="8"/>
                </a:cubicBezTo>
                <a:cubicBezTo>
                  <a:pt x="121" y="8"/>
                  <a:pt x="122" y="7"/>
                  <a:pt x="122" y="7"/>
                </a:cubicBezTo>
                <a:cubicBezTo>
                  <a:pt x="122" y="6"/>
                  <a:pt x="122" y="4"/>
                  <a:pt x="121" y="3"/>
                </a:cubicBezTo>
                <a:cubicBezTo>
                  <a:pt x="121" y="2"/>
                  <a:pt x="120" y="1"/>
                  <a:pt x="120" y="1"/>
                </a:cubicBezTo>
                <a:cubicBezTo>
                  <a:pt x="120" y="1"/>
                  <a:pt x="120" y="0"/>
                  <a:pt x="120" y="0"/>
                </a:cubicBezTo>
                <a:cubicBezTo>
                  <a:pt x="119" y="1"/>
                  <a:pt x="117" y="1"/>
                  <a:pt x="116" y="1"/>
                </a:cubicBezTo>
                <a:cubicBezTo>
                  <a:pt x="112" y="2"/>
                  <a:pt x="108" y="4"/>
                  <a:pt x="103" y="7"/>
                </a:cubicBezTo>
                <a:cubicBezTo>
                  <a:pt x="95" y="12"/>
                  <a:pt x="86" y="19"/>
                  <a:pt x="78" y="26"/>
                </a:cubicBezTo>
                <a:cubicBezTo>
                  <a:pt x="73" y="29"/>
                  <a:pt x="69" y="33"/>
                  <a:pt x="65" y="37"/>
                </a:cubicBezTo>
                <a:cubicBezTo>
                  <a:pt x="58" y="43"/>
                  <a:pt x="58" y="43"/>
                  <a:pt x="58" y="43"/>
                </a:cubicBezTo>
                <a:cubicBezTo>
                  <a:pt x="56" y="45"/>
                  <a:pt x="54" y="47"/>
                  <a:pt x="51" y="49"/>
                </a:cubicBezTo>
                <a:cubicBezTo>
                  <a:pt x="42" y="56"/>
                  <a:pt x="31" y="63"/>
                  <a:pt x="20" y="68"/>
                </a:cubicBezTo>
                <a:cubicBezTo>
                  <a:pt x="14" y="71"/>
                  <a:pt x="8" y="73"/>
                  <a:pt x="1" y="74"/>
                </a:cubicBezTo>
                <a:cubicBezTo>
                  <a:pt x="1" y="74"/>
                  <a:pt x="0" y="75"/>
                  <a:pt x="0" y="75"/>
                </a:cubicBezTo>
                <a:cubicBezTo>
                  <a:pt x="0" y="75"/>
                  <a:pt x="0" y="75"/>
                  <a:pt x="0" y="75"/>
                </a:cubicBezTo>
                <a:cubicBezTo>
                  <a:pt x="0" y="75"/>
                  <a:pt x="0" y="75"/>
                  <a:pt x="0" y="75"/>
                </a:cubicBezTo>
                <a:cubicBezTo>
                  <a:pt x="2" y="76"/>
                  <a:pt x="5" y="78"/>
                  <a:pt x="9" y="79"/>
                </a:cubicBezTo>
                <a:cubicBezTo>
                  <a:pt x="12" y="80"/>
                  <a:pt x="15" y="80"/>
                  <a:pt x="18" y="80"/>
                </a:cubicBezTo>
                <a:cubicBezTo>
                  <a:pt x="20" y="80"/>
                  <a:pt x="21" y="80"/>
                  <a:pt x="23" y="80"/>
                </a:cubicBezTo>
                <a:cubicBezTo>
                  <a:pt x="24" y="80"/>
                  <a:pt x="26" y="80"/>
                  <a:pt x="27" y="79"/>
                </a:cubicBezTo>
                <a:cubicBezTo>
                  <a:pt x="30" y="79"/>
                  <a:pt x="33" y="78"/>
                  <a:pt x="35" y="77"/>
                </a:cubicBezTo>
                <a:cubicBezTo>
                  <a:pt x="41" y="76"/>
                  <a:pt x="46" y="73"/>
                  <a:pt x="51" y="7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2444750" y="2303463"/>
            <a:ext cx="212725" cy="187325"/>
          </a:xfrm>
          <a:custGeom>
            <a:avLst/>
            <a:gdLst>
              <a:gd name="T0" fmla="*/ 66 w 91"/>
              <a:gd name="T1" fmla="*/ 46 h 80"/>
              <a:gd name="T2" fmla="*/ 71 w 91"/>
              <a:gd name="T3" fmla="*/ 40 h 80"/>
              <a:gd name="T4" fmla="*/ 75 w 91"/>
              <a:gd name="T5" fmla="*/ 34 h 80"/>
              <a:gd name="T6" fmla="*/ 83 w 91"/>
              <a:gd name="T7" fmla="*/ 23 h 80"/>
              <a:gd name="T8" fmla="*/ 91 w 91"/>
              <a:gd name="T9" fmla="*/ 11 h 80"/>
              <a:gd name="T10" fmla="*/ 90 w 91"/>
              <a:gd name="T11" fmla="*/ 6 h 80"/>
              <a:gd name="T12" fmla="*/ 89 w 91"/>
              <a:gd name="T13" fmla="*/ 0 h 80"/>
              <a:gd name="T14" fmla="*/ 84 w 91"/>
              <a:gd name="T15" fmla="*/ 3 h 80"/>
              <a:gd name="T16" fmla="*/ 63 w 91"/>
              <a:gd name="T17" fmla="*/ 24 h 80"/>
              <a:gd name="T18" fmla="*/ 53 w 91"/>
              <a:gd name="T19" fmla="*/ 35 h 80"/>
              <a:gd name="T20" fmla="*/ 48 w 91"/>
              <a:gd name="T21" fmla="*/ 41 h 80"/>
              <a:gd name="T22" fmla="*/ 43 w 91"/>
              <a:gd name="T23" fmla="*/ 47 h 80"/>
              <a:gd name="T24" fmla="*/ 17 w 91"/>
              <a:gd name="T25" fmla="*/ 69 h 80"/>
              <a:gd name="T26" fmla="*/ 1 w 91"/>
              <a:gd name="T27" fmla="*/ 76 h 80"/>
              <a:gd name="T28" fmla="*/ 0 w 91"/>
              <a:gd name="T29" fmla="*/ 77 h 80"/>
              <a:gd name="T30" fmla="*/ 0 w 91"/>
              <a:gd name="T31" fmla="*/ 77 h 80"/>
              <a:gd name="T32" fmla="*/ 9 w 91"/>
              <a:gd name="T33" fmla="*/ 80 h 80"/>
              <a:gd name="T34" fmla="*/ 17 w 91"/>
              <a:gd name="T35" fmla="*/ 80 h 80"/>
              <a:gd name="T36" fmla="*/ 21 w 91"/>
              <a:gd name="T37" fmla="*/ 79 h 80"/>
              <a:gd name="T38" fmla="*/ 25 w 91"/>
              <a:gd name="T39" fmla="*/ 78 h 80"/>
              <a:gd name="T40" fmla="*/ 32 w 91"/>
              <a:gd name="T41" fmla="*/ 75 h 80"/>
              <a:gd name="T42" fmla="*/ 45 w 91"/>
              <a:gd name="T43" fmla="*/ 67 h 80"/>
              <a:gd name="T44" fmla="*/ 66 w 91"/>
              <a:gd name="T45" fmla="*/ 46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66" y="46"/>
                </a:moveTo>
                <a:cubicBezTo>
                  <a:pt x="68" y="44"/>
                  <a:pt x="69" y="42"/>
                  <a:pt x="71" y="40"/>
                </a:cubicBezTo>
                <a:cubicBezTo>
                  <a:pt x="75" y="34"/>
                  <a:pt x="75" y="34"/>
                  <a:pt x="75" y="34"/>
                </a:cubicBezTo>
                <a:cubicBezTo>
                  <a:pt x="77" y="30"/>
                  <a:pt x="80" y="26"/>
                  <a:pt x="83" y="23"/>
                </a:cubicBezTo>
                <a:cubicBezTo>
                  <a:pt x="86" y="19"/>
                  <a:pt x="88" y="15"/>
                  <a:pt x="91" y="11"/>
                </a:cubicBezTo>
                <a:cubicBezTo>
                  <a:pt x="91" y="10"/>
                  <a:pt x="91" y="8"/>
                  <a:pt x="90" y="6"/>
                </a:cubicBezTo>
                <a:cubicBezTo>
                  <a:pt x="90" y="4"/>
                  <a:pt x="89" y="2"/>
                  <a:pt x="89" y="0"/>
                </a:cubicBezTo>
                <a:cubicBezTo>
                  <a:pt x="87" y="1"/>
                  <a:pt x="85" y="2"/>
                  <a:pt x="84" y="3"/>
                </a:cubicBezTo>
                <a:cubicBezTo>
                  <a:pt x="77" y="9"/>
                  <a:pt x="70" y="16"/>
                  <a:pt x="63" y="24"/>
                </a:cubicBezTo>
                <a:cubicBezTo>
                  <a:pt x="60" y="27"/>
                  <a:pt x="57" y="31"/>
                  <a:pt x="53" y="35"/>
                </a:cubicBezTo>
                <a:cubicBezTo>
                  <a:pt x="48" y="41"/>
                  <a:pt x="48" y="41"/>
                  <a:pt x="48" y="41"/>
                </a:cubicBezTo>
                <a:cubicBezTo>
                  <a:pt x="46" y="43"/>
                  <a:pt x="45" y="45"/>
                  <a:pt x="43" y="47"/>
                </a:cubicBezTo>
                <a:cubicBezTo>
                  <a:pt x="35" y="55"/>
                  <a:pt x="27" y="63"/>
                  <a:pt x="17" y="69"/>
                </a:cubicBezTo>
                <a:cubicBezTo>
                  <a:pt x="12" y="72"/>
                  <a:pt x="7" y="74"/>
                  <a:pt x="1" y="76"/>
                </a:cubicBezTo>
                <a:cubicBezTo>
                  <a:pt x="1" y="76"/>
                  <a:pt x="0" y="76"/>
                  <a:pt x="0" y="77"/>
                </a:cubicBezTo>
                <a:cubicBezTo>
                  <a:pt x="0" y="77"/>
                  <a:pt x="0" y="77"/>
                  <a:pt x="0" y="77"/>
                </a:cubicBezTo>
                <a:cubicBezTo>
                  <a:pt x="3" y="78"/>
                  <a:pt x="6" y="79"/>
                  <a:pt x="9" y="80"/>
                </a:cubicBezTo>
                <a:cubicBezTo>
                  <a:pt x="11" y="80"/>
                  <a:pt x="14" y="80"/>
                  <a:pt x="17" y="80"/>
                </a:cubicBezTo>
                <a:cubicBezTo>
                  <a:pt x="18" y="80"/>
                  <a:pt x="19" y="79"/>
                  <a:pt x="21" y="79"/>
                </a:cubicBezTo>
                <a:cubicBezTo>
                  <a:pt x="22" y="79"/>
                  <a:pt x="23" y="78"/>
                  <a:pt x="25" y="78"/>
                </a:cubicBezTo>
                <a:cubicBezTo>
                  <a:pt x="27" y="77"/>
                  <a:pt x="29" y="76"/>
                  <a:pt x="32" y="75"/>
                </a:cubicBezTo>
                <a:cubicBezTo>
                  <a:pt x="36" y="73"/>
                  <a:pt x="41" y="70"/>
                  <a:pt x="45" y="67"/>
                </a:cubicBezTo>
                <a:cubicBezTo>
                  <a:pt x="53" y="61"/>
                  <a:pt x="60" y="54"/>
                  <a:pt x="66"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2520950" y="2336800"/>
            <a:ext cx="150813" cy="166688"/>
          </a:xfrm>
          <a:custGeom>
            <a:avLst/>
            <a:gdLst>
              <a:gd name="T0" fmla="*/ 54 w 64"/>
              <a:gd name="T1" fmla="*/ 33 h 71"/>
              <a:gd name="T2" fmla="*/ 58 w 64"/>
              <a:gd name="T3" fmla="*/ 27 h 71"/>
              <a:gd name="T4" fmla="*/ 60 w 64"/>
              <a:gd name="T5" fmla="*/ 22 h 71"/>
              <a:gd name="T6" fmla="*/ 64 w 64"/>
              <a:gd name="T7" fmla="*/ 14 h 71"/>
              <a:gd name="T8" fmla="*/ 63 w 64"/>
              <a:gd name="T9" fmla="*/ 12 h 71"/>
              <a:gd name="T10" fmla="*/ 60 w 64"/>
              <a:gd name="T11" fmla="*/ 2 h 71"/>
              <a:gd name="T12" fmla="*/ 59 w 64"/>
              <a:gd name="T13" fmla="*/ 0 h 71"/>
              <a:gd name="T14" fmla="*/ 49 w 64"/>
              <a:gd name="T15" fmla="*/ 13 h 71"/>
              <a:gd name="T16" fmla="*/ 42 w 64"/>
              <a:gd name="T17" fmla="*/ 25 h 71"/>
              <a:gd name="T18" fmla="*/ 38 w 64"/>
              <a:gd name="T19" fmla="*/ 31 h 71"/>
              <a:gd name="T20" fmla="*/ 34 w 64"/>
              <a:gd name="T21" fmla="*/ 37 h 71"/>
              <a:gd name="T22" fmla="*/ 13 w 64"/>
              <a:gd name="T23" fmla="*/ 60 h 71"/>
              <a:gd name="T24" fmla="*/ 0 w 64"/>
              <a:gd name="T25" fmla="*/ 68 h 71"/>
              <a:gd name="T26" fmla="*/ 0 w 64"/>
              <a:gd name="T27" fmla="*/ 68 h 71"/>
              <a:gd name="T28" fmla="*/ 0 w 64"/>
              <a:gd name="T29" fmla="*/ 69 h 71"/>
              <a:gd name="T30" fmla="*/ 7 w 64"/>
              <a:gd name="T31" fmla="*/ 71 h 71"/>
              <a:gd name="T32" fmla="*/ 15 w 64"/>
              <a:gd name="T33" fmla="*/ 70 h 71"/>
              <a:gd name="T34" fmla="*/ 18 w 64"/>
              <a:gd name="T35" fmla="*/ 69 h 71"/>
              <a:gd name="T36" fmla="*/ 21 w 64"/>
              <a:gd name="T37" fmla="*/ 67 h 71"/>
              <a:gd name="T38" fmla="*/ 27 w 64"/>
              <a:gd name="T39" fmla="*/ 64 h 71"/>
              <a:gd name="T40" fmla="*/ 38 w 64"/>
              <a:gd name="T41" fmla="*/ 55 h 71"/>
              <a:gd name="T42" fmla="*/ 54 w 64"/>
              <a:gd name="T43" fmla="*/ 33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4" h="71">
                <a:moveTo>
                  <a:pt x="54" y="33"/>
                </a:moveTo>
                <a:cubicBezTo>
                  <a:pt x="55" y="31"/>
                  <a:pt x="57" y="29"/>
                  <a:pt x="58" y="27"/>
                </a:cubicBezTo>
                <a:cubicBezTo>
                  <a:pt x="60" y="22"/>
                  <a:pt x="60" y="22"/>
                  <a:pt x="60" y="22"/>
                </a:cubicBezTo>
                <a:cubicBezTo>
                  <a:pt x="62" y="19"/>
                  <a:pt x="63" y="17"/>
                  <a:pt x="64" y="14"/>
                </a:cubicBezTo>
                <a:cubicBezTo>
                  <a:pt x="64" y="14"/>
                  <a:pt x="63" y="13"/>
                  <a:pt x="63" y="12"/>
                </a:cubicBezTo>
                <a:cubicBezTo>
                  <a:pt x="62" y="9"/>
                  <a:pt x="60" y="5"/>
                  <a:pt x="60" y="2"/>
                </a:cubicBezTo>
                <a:cubicBezTo>
                  <a:pt x="59" y="1"/>
                  <a:pt x="59" y="1"/>
                  <a:pt x="59" y="0"/>
                </a:cubicBezTo>
                <a:cubicBezTo>
                  <a:pt x="56" y="4"/>
                  <a:pt x="52" y="9"/>
                  <a:pt x="49" y="13"/>
                </a:cubicBezTo>
                <a:cubicBezTo>
                  <a:pt x="47" y="17"/>
                  <a:pt x="44" y="21"/>
                  <a:pt x="42" y="25"/>
                </a:cubicBezTo>
                <a:cubicBezTo>
                  <a:pt x="38" y="31"/>
                  <a:pt x="38" y="31"/>
                  <a:pt x="38" y="31"/>
                </a:cubicBezTo>
                <a:cubicBezTo>
                  <a:pt x="37" y="33"/>
                  <a:pt x="35" y="35"/>
                  <a:pt x="34" y="37"/>
                </a:cubicBezTo>
                <a:cubicBezTo>
                  <a:pt x="28" y="45"/>
                  <a:pt x="21" y="53"/>
                  <a:pt x="13" y="60"/>
                </a:cubicBezTo>
                <a:cubicBezTo>
                  <a:pt x="9" y="63"/>
                  <a:pt x="5" y="66"/>
                  <a:pt x="0" y="68"/>
                </a:cubicBezTo>
                <a:cubicBezTo>
                  <a:pt x="0" y="68"/>
                  <a:pt x="0" y="68"/>
                  <a:pt x="0" y="68"/>
                </a:cubicBezTo>
                <a:cubicBezTo>
                  <a:pt x="0" y="68"/>
                  <a:pt x="0" y="69"/>
                  <a:pt x="0" y="69"/>
                </a:cubicBezTo>
                <a:cubicBezTo>
                  <a:pt x="2" y="70"/>
                  <a:pt x="5" y="71"/>
                  <a:pt x="7" y="71"/>
                </a:cubicBezTo>
                <a:cubicBezTo>
                  <a:pt x="10" y="71"/>
                  <a:pt x="12" y="70"/>
                  <a:pt x="15" y="70"/>
                </a:cubicBezTo>
                <a:cubicBezTo>
                  <a:pt x="16" y="70"/>
                  <a:pt x="17" y="69"/>
                  <a:pt x="18" y="69"/>
                </a:cubicBezTo>
                <a:cubicBezTo>
                  <a:pt x="19" y="68"/>
                  <a:pt x="20" y="68"/>
                  <a:pt x="21" y="67"/>
                </a:cubicBezTo>
                <a:cubicBezTo>
                  <a:pt x="23" y="66"/>
                  <a:pt x="25" y="65"/>
                  <a:pt x="27" y="64"/>
                </a:cubicBezTo>
                <a:cubicBezTo>
                  <a:pt x="31" y="61"/>
                  <a:pt x="35" y="58"/>
                  <a:pt x="38" y="55"/>
                </a:cubicBezTo>
                <a:cubicBezTo>
                  <a:pt x="45" y="49"/>
                  <a:pt x="50" y="41"/>
                  <a:pt x="54" y="33"/>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2587625" y="2376488"/>
            <a:ext cx="114300" cy="128588"/>
          </a:xfrm>
          <a:custGeom>
            <a:avLst/>
            <a:gdLst>
              <a:gd name="T0" fmla="*/ 45 w 49"/>
              <a:gd name="T1" fmla="*/ 16 h 55"/>
              <a:gd name="T2" fmla="*/ 47 w 49"/>
              <a:gd name="T3" fmla="*/ 10 h 55"/>
              <a:gd name="T4" fmla="*/ 49 w 49"/>
              <a:gd name="T5" fmla="*/ 6 h 55"/>
              <a:gd name="T6" fmla="*/ 43 w 49"/>
              <a:gd name="T7" fmla="*/ 4 h 55"/>
              <a:gd name="T8" fmla="*/ 38 w 49"/>
              <a:gd name="T9" fmla="*/ 0 h 55"/>
              <a:gd name="T10" fmla="*/ 38 w 49"/>
              <a:gd name="T11" fmla="*/ 0 h 55"/>
              <a:gd name="T12" fmla="*/ 33 w 49"/>
              <a:gd name="T13" fmla="*/ 9 h 55"/>
              <a:gd name="T14" fmla="*/ 30 w 49"/>
              <a:gd name="T15" fmla="*/ 15 h 55"/>
              <a:gd name="T16" fmla="*/ 27 w 49"/>
              <a:gd name="T17" fmla="*/ 21 h 55"/>
              <a:gd name="T18" fmla="*/ 12 w 49"/>
              <a:gd name="T19" fmla="*/ 44 h 55"/>
              <a:gd name="T20" fmla="*/ 1 w 49"/>
              <a:gd name="T21" fmla="*/ 53 h 55"/>
              <a:gd name="T22" fmla="*/ 0 w 49"/>
              <a:gd name="T23" fmla="*/ 54 h 55"/>
              <a:gd name="T24" fmla="*/ 1 w 49"/>
              <a:gd name="T25" fmla="*/ 54 h 55"/>
              <a:gd name="T26" fmla="*/ 8 w 49"/>
              <a:gd name="T27" fmla="*/ 55 h 55"/>
              <a:gd name="T28" fmla="*/ 14 w 49"/>
              <a:gd name="T29" fmla="*/ 53 h 55"/>
              <a:gd name="T30" fmla="*/ 17 w 49"/>
              <a:gd name="T31" fmla="*/ 52 h 55"/>
              <a:gd name="T32" fmla="*/ 20 w 49"/>
              <a:gd name="T33" fmla="*/ 50 h 55"/>
              <a:gd name="T34" fmla="*/ 25 w 49"/>
              <a:gd name="T35" fmla="*/ 46 h 55"/>
              <a:gd name="T36" fmla="*/ 33 w 49"/>
              <a:gd name="T37" fmla="*/ 37 h 55"/>
              <a:gd name="T38" fmla="*/ 45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5" y="16"/>
                </a:moveTo>
                <a:cubicBezTo>
                  <a:pt x="46" y="14"/>
                  <a:pt x="47" y="12"/>
                  <a:pt x="47" y="10"/>
                </a:cubicBezTo>
                <a:cubicBezTo>
                  <a:pt x="49" y="6"/>
                  <a:pt x="49" y="6"/>
                  <a:pt x="49" y="6"/>
                </a:cubicBezTo>
                <a:cubicBezTo>
                  <a:pt x="47" y="5"/>
                  <a:pt x="45" y="5"/>
                  <a:pt x="43" y="4"/>
                </a:cubicBezTo>
                <a:cubicBezTo>
                  <a:pt x="41" y="3"/>
                  <a:pt x="39" y="2"/>
                  <a:pt x="38" y="0"/>
                </a:cubicBezTo>
                <a:cubicBezTo>
                  <a:pt x="38" y="0"/>
                  <a:pt x="38" y="0"/>
                  <a:pt x="38" y="0"/>
                </a:cubicBezTo>
                <a:cubicBezTo>
                  <a:pt x="36" y="3"/>
                  <a:pt x="35" y="6"/>
                  <a:pt x="33" y="9"/>
                </a:cubicBezTo>
                <a:cubicBezTo>
                  <a:pt x="30" y="15"/>
                  <a:pt x="30" y="15"/>
                  <a:pt x="30" y="15"/>
                </a:cubicBezTo>
                <a:cubicBezTo>
                  <a:pt x="29" y="17"/>
                  <a:pt x="28" y="19"/>
                  <a:pt x="27" y="21"/>
                </a:cubicBezTo>
                <a:cubicBezTo>
                  <a:pt x="23" y="29"/>
                  <a:pt x="18" y="37"/>
                  <a:pt x="12" y="44"/>
                </a:cubicBezTo>
                <a:cubicBezTo>
                  <a:pt x="9" y="47"/>
                  <a:pt x="5" y="50"/>
                  <a:pt x="1" y="53"/>
                </a:cubicBezTo>
                <a:cubicBezTo>
                  <a:pt x="1" y="53"/>
                  <a:pt x="1" y="54"/>
                  <a:pt x="0" y="54"/>
                </a:cubicBezTo>
                <a:cubicBezTo>
                  <a:pt x="0" y="54"/>
                  <a:pt x="1" y="54"/>
                  <a:pt x="1" y="54"/>
                </a:cubicBezTo>
                <a:cubicBezTo>
                  <a:pt x="3" y="55"/>
                  <a:pt x="5" y="55"/>
                  <a:pt x="8" y="55"/>
                </a:cubicBezTo>
                <a:cubicBezTo>
                  <a:pt x="10" y="55"/>
                  <a:pt x="12" y="54"/>
                  <a:pt x="14" y="53"/>
                </a:cubicBezTo>
                <a:cubicBezTo>
                  <a:pt x="15" y="53"/>
                  <a:pt x="16" y="52"/>
                  <a:pt x="17" y="52"/>
                </a:cubicBezTo>
                <a:cubicBezTo>
                  <a:pt x="18" y="51"/>
                  <a:pt x="19" y="51"/>
                  <a:pt x="20" y="50"/>
                </a:cubicBezTo>
                <a:cubicBezTo>
                  <a:pt x="21" y="49"/>
                  <a:pt x="23" y="48"/>
                  <a:pt x="25" y="46"/>
                </a:cubicBezTo>
                <a:cubicBezTo>
                  <a:pt x="28" y="44"/>
                  <a:pt x="31" y="41"/>
                  <a:pt x="33" y="37"/>
                </a:cubicBezTo>
                <a:cubicBezTo>
                  <a:pt x="38" y="31"/>
                  <a:pt x="42" y="23"/>
                  <a:pt x="45"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2651125" y="2381250"/>
            <a:ext cx="87313" cy="119063"/>
          </a:xfrm>
          <a:custGeom>
            <a:avLst/>
            <a:gdLst>
              <a:gd name="T0" fmla="*/ 6 w 37"/>
              <a:gd name="T1" fmla="*/ 51 h 51"/>
              <a:gd name="T2" fmla="*/ 12 w 37"/>
              <a:gd name="T3" fmla="*/ 48 h 51"/>
              <a:gd name="T4" fmla="*/ 14 w 37"/>
              <a:gd name="T5" fmla="*/ 47 h 51"/>
              <a:gd name="T6" fmla="*/ 16 w 37"/>
              <a:gd name="T7" fmla="*/ 45 h 51"/>
              <a:gd name="T8" fmla="*/ 20 w 37"/>
              <a:gd name="T9" fmla="*/ 41 h 51"/>
              <a:gd name="T10" fmla="*/ 27 w 37"/>
              <a:gd name="T11" fmla="*/ 32 h 51"/>
              <a:gd name="T12" fmla="*/ 35 w 37"/>
              <a:gd name="T13" fmla="*/ 11 h 51"/>
              <a:gd name="T14" fmla="*/ 36 w 37"/>
              <a:gd name="T15" fmla="*/ 5 h 51"/>
              <a:gd name="T16" fmla="*/ 37 w 37"/>
              <a:gd name="T17" fmla="*/ 0 h 51"/>
              <a:gd name="T18" fmla="*/ 35 w 37"/>
              <a:gd name="T19" fmla="*/ 2 h 51"/>
              <a:gd name="T20" fmla="*/ 26 w 37"/>
              <a:gd name="T21" fmla="*/ 4 h 51"/>
              <a:gd name="T22" fmla="*/ 24 w 37"/>
              <a:gd name="T23" fmla="*/ 4 h 51"/>
              <a:gd name="T24" fmla="*/ 23 w 37"/>
              <a:gd name="T25" fmla="*/ 6 h 51"/>
              <a:gd name="T26" fmla="*/ 22 w 37"/>
              <a:gd name="T27" fmla="*/ 12 h 51"/>
              <a:gd name="T28" fmla="*/ 20 w 37"/>
              <a:gd name="T29" fmla="*/ 18 h 51"/>
              <a:gd name="T30" fmla="*/ 9 w 37"/>
              <a:gd name="T31" fmla="*/ 40 h 51"/>
              <a:gd name="T32" fmla="*/ 0 w 37"/>
              <a:gd name="T33" fmla="*/ 50 h 51"/>
              <a:gd name="T34" fmla="*/ 0 w 37"/>
              <a:gd name="T35" fmla="*/ 51 h 51"/>
              <a:gd name="T36" fmla="*/ 0 w 37"/>
              <a:gd name="T37" fmla="*/ 51 h 51"/>
              <a:gd name="T38" fmla="*/ 6 w 37"/>
              <a:gd name="T39" fmla="*/ 51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7" h="51">
                <a:moveTo>
                  <a:pt x="6" y="51"/>
                </a:moveTo>
                <a:cubicBezTo>
                  <a:pt x="8" y="50"/>
                  <a:pt x="10" y="49"/>
                  <a:pt x="12" y="48"/>
                </a:cubicBezTo>
                <a:cubicBezTo>
                  <a:pt x="12" y="48"/>
                  <a:pt x="13" y="48"/>
                  <a:pt x="14" y="47"/>
                </a:cubicBezTo>
                <a:cubicBezTo>
                  <a:pt x="15" y="46"/>
                  <a:pt x="15" y="46"/>
                  <a:pt x="16" y="45"/>
                </a:cubicBezTo>
                <a:cubicBezTo>
                  <a:pt x="17" y="44"/>
                  <a:pt x="19" y="43"/>
                  <a:pt x="20" y="41"/>
                </a:cubicBezTo>
                <a:cubicBezTo>
                  <a:pt x="23" y="38"/>
                  <a:pt x="25" y="35"/>
                  <a:pt x="27" y="32"/>
                </a:cubicBezTo>
                <a:cubicBezTo>
                  <a:pt x="30" y="25"/>
                  <a:pt x="33" y="18"/>
                  <a:pt x="35" y="11"/>
                </a:cubicBezTo>
                <a:cubicBezTo>
                  <a:pt x="35" y="9"/>
                  <a:pt x="36" y="7"/>
                  <a:pt x="36" y="5"/>
                </a:cubicBezTo>
                <a:cubicBezTo>
                  <a:pt x="37" y="0"/>
                  <a:pt x="37" y="0"/>
                  <a:pt x="37" y="0"/>
                </a:cubicBezTo>
                <a:cubicBezTo>
                  <a:pt x="37" y="1"/>
                  <a:pt x="36" y="1"/>
                  <a:pt x="35" y="2"/>
                </a:cubicBezTo>
                <a:cubicBezTo>
                  <a:pt x="32" y="3"/>
                  <a:pt x="29" y="3"/>
                  <a:pt x="26" y="4"/>
                </a:cubicBezTo>
                <a:cubicBezTo>
                  <a:pt x="26" y="4"/>
                  <a:pt x="25" y="4"/>
                  <a:pt x="24" y="4"/>
                </a:cubicBezTo>
                <a:cubicBezTo>
                  <a:pt x="24" y="5"/>
                  <a:pt x="24" y="6"/>
                  <a:pt x="23" y="6"/>
                </a:cubicBezTo>
                <a:cubicBezTo>
                  <a:pt x="22" y="12"/>
                  <a:pt x="22" y="12"/>
                  <a:pt x="22" y="12"/>
                </a:cubicBezTo>
                <a:cubicBezTo>
                  <a:pt x="21" y="14"/>
                  <a:pt x="20" y="16"/>
                  <a:pt x="20" y="18"/>
                </a:cubicBezTo>
                <a:cubicBezTo>
                  <a:pt x="17" y="26"/>
                  <a:pt x="13" y="33"/>
                  <a:pt x="9" y="40"/>
                </a:cubicBezTo>
                <a:cubicBezTo>
                  <a:pt x="6" y="44"/>
                  <a:pt x="3" y="47"/>
                  <a:pt x="0" y="50"/>
                </a:cubicBezTo>
                <a:cubicBezTo>
                  <a:pt x="0" y="50"/>
                  <a:pt x="0" y="50"/>
                  <a:pt x="0" y="51"/>
                </a:cubicBezTo>
                <a:cubicBezTo>
                  <a:pt x="0" y="51"/>
                  <a:pt x="0" y="51"/>
                  <a:pt x="0" y="51"/>
                </a:cubicBezTo>
                <a:cubicBezTo>
                  <a:pt x="2" y="51"/>
                  <a:pt x="4" y="51"/>
                  <a:pt x="6"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2838450" y="2206625"/>
            <a:ext cx="571500" cy="190500"/>
          </a:xfrm>
          <a:custGeom>
            <a:avLst/>
            <a:gdLst>
              <a:gd name="T0" fmla="*/ 242 w 243"/>
              <a:gd name="T1" fmla="*/ 51 h 81"/>
              <a:gd name="T2" fmla="*/ 240 w 243"/>
              <a:gd name="T3" fmla="*/ 46 h 81"/>
              <a:gd name="T4" fmla="*/ 236 w 243"/>
              <a:gd name="T5" fmla="*/ 54 h 81"/>
              <a:gd name="T6" fmla="*/ 230 w 243"/>
              <a:gd name="T7" fmla="*/ 59 h 81"/>
              <a:gd name="T8" fmla="*/ 215 w 243"/>
              <a:gd name="T9" fmla="*/ 61 h 81"/>
              <a:gd name="T10" fmla="*/ 207 w 243"/>
              <a:gd name="T11" fmla="*/ 60 h 81"/>
              <a:gd name="T12" fmla="*/ 198 w 243"/>
              <a:gd name="T13" fmla="*/ 58 h 81"/>
              <a:gd name="T14" fmla="*/ 182 w 243"/>
              <a:gd name="T15" fmla="*/ 52 h 81"/>
              <a:gd name="T16" fmla="*/ 150 w 243"/>
              <a:gd name="T17" fmla="*/ 35 h 81"/>
              <a:gd name="T18" fmla="*/ 142 w 243"/>
              <a:gd name="T19" fmla="*/ 30 h 81"/>
              <a:gd name="T20" fmla="*/ 138 w 243"/>
              <a:gd name="T21" fmla="*/ 28 h 81"/>
              <a:gd name="T22" fmla="*/ 134 w 243"/>
              <a:gd name="T23" fmla="*/ 25 h 81"/>
              <a:gd name="T24" fmla="*/ 116 w 243"/>
              <a:gd name="T25" fmla="*/ 16 h 81"/>
              <a:gd name="T26" fmla="*/ 97 w 243"/>
              <a:gd name="T27" fmla="*/ 8 h 81"/>
              <a:gd name="T28" fmla="*/ 76 w 243"/>
              <a:gd name="T29" fmla="*/ 2 h 81"/>
              <a:gd name="T30" fmla="*/ 53 w 243"/>
              <a:gd name="T31" fmla="*/ 1 h 81"/>
              <a:gd name="T32" fmla="*/ 41 w 243"/>
              <a:gd name="T33" fmla="*/ 4 h 81"/>
              <a:gd name="T34" fmla="*/ 30 w 243"/>
              <a:gd name="T35" fmla="*/ 11 h 81"/>
              <a:gd name="T36" fmla="*/ 26 w 243"/>
              <a:gd name="T37" fmla="*/ 16 h 81"/>
              <a:gd name="T38" fmla="*/ 22 w 243"/>
              <a:gd name="T39" fmla="*/ 21 h 81"/>
              <a:gd name="T40" fmla="*/ 19 w 243"/>
              <a:gd name="T41" fmla="*/ 33 h 81"/>
              <a:gd name="T42" fmla="*/ 19 w 243"/>
              <a:gd name="T43" fmla="*/ 44 h 81"/>
              <a:gd name="T44" fmla="*/ 20 w 243"/>
              <a:gd name="T45" fmla="*/ 54 h 81"/>
              <a:gd name="T46" fmla="*/ 20 w 243"/>
              <a:gd name="T47" fmla="*/ 63 h 81"/>
              <a:gd name="T48" fmla="*/ 17 w 243"/>
              <a:gd name="T49" fmla="*/ 69 h 81"/>
              <a:gd name="T50" fmla="*/ 9 w 243"/>
              <a:gd name="T51" fmla="*/ 73 h 81"/>
              <a:gd name="T52" fmla="*/ 0 w 243"/>
              <a:gd name="T53" fmla="*/ 73 h 81"/>
              <a:gd name="T54" fmla="*/ 9 w 243"/>
              <a:gd name="T55" fmla="*/ 76 h 81"/>
              <a:gd name="T56" fmla="*/ 20 w 243"/>
              <a:gd name="T57" fmla="*/ 74 h 81"/>
              <a:gd name="T58" fmla="*/ 24 w 243"/>
              <a:gd name="T59" fmla="*/ 70 h 81"/>
              <a:gd name="T60" fmla="*/ 27 w 243"/>
              <a:gd name="T61" fmla="*/ 65 h 81"/>
              <a:gd name="T62" fmla="*/ 30 w 243"/>
              <a:gd name="T63" fmla="*/ 55 h 81"/>
              <a:gd name="T64" fmla="*/ 32 w 243"/>
              <a:gd name="T65" fmla="*/ 45 h 81"/>
              <a:gd name="T66" fmla="*/ 34 w 243"/>
              <a:gd name="T67" fmla="*/ 36 h 81"/>
              <a:gd name="T68" fmla="*/ 37 w 243"/>
              <a:gd name="T69" fmla="*/ 30 h 81"/>
              <a:gd name="T70" fmla="*/ 42 w 243"/>
              <a:gd name="T71" fmla="*/ 25 h 81"/>
              <a:gd name="T72" fmla="*/ 55 w 243"/>
              <a:gd name="T73" fmla="*/ 23 h 81"/>
              <a:gd name="T74" fmla="*/ 70 w 243"/>
              <a:gd name="T75" fmla="*/ 26 h 81"/>
              <a:gd name="T76" fmla="*/ 102 w 243"/>
              <a:gd name="T77" fmla="*/ 43 h 81"/>
              <a:gd name="T78" fmla="*/ 118 w 243"/>
              <a:gd name="T79" fmla="*/ 52 h 81"/>
              <a:gd name="T80" fmla="*/ 126 w 243"/>
              <a:gd name="T81" fmla="*/ 57 h 81"/>
              <a:gd name="T82" fmla="*/ 135 w 243"/>
              <a:gd name="T83" fmla="*/ 62 h 81"/>
              <a:gd name="T84" fmla="*/ 174 w 243"/>
              <a:gd name="T85" fmla="*/ 78 h 81"/>
              <a:gd name="T86" fmla="*/ 195 w 243"/>
              <a:gd name="T87" fmla="*/ 81 h 81"/>
              <a:gd name="T88" fmla="*/ 206 w 243"/>
              <a:gd name="T89" fmla="*/ 81 h 81"/>
              <a:gd name="T90" fmla="*/ 212 w 243"/>
              <a:gd name="T91" fmla="*/ 80 h 81"/>
              <a:gd name="T92" fmla="*/ 217 w 243"/>
              <a:gd name="T93" fmla="*/ 79 h 81"/>
              <a:gd name="T94" fmla="*/ 228 w 243"/>
              <a:gd name="T95" fmla="*/ 75 h 81"/>
              <a:gd name="T96" fmla="*/ 238 w 243"/>
              <a:gd name="T97" fmla="*/ 68 h 81"/>
              <a:gd name="T98" fmla="*/ 242 w 243"/>
              <a:gd name="T99" fmla="*/ 56 h 81"/>
              <a:gd name="T100" fmla="*/ 242 w 243"/>
              <a:gd name="T101" fmla="*/ 51 h 8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243" h="81">
                <a:moveTo>
                  <a:pt x="242" y="51"/>
                </a:moveTo>
                <a:cubicBezTo>
                  <a:pt x="242" y="49"/>
                  <a:pt x="241" y="47"/>
                  <a:pt x="240" y="46"/>
                </a:cubicBezTo>
                <a:cubicBezTo>
                  <a:pt x="240" y="49"/>
                  <a:pt x="238" y="52"/>
                  <a:pt x="236" y="54"/>
                </a:cubicBezTo>
                <a:cubicBezTo>
                  <a:pt x="234" y="57"/>
                  <a:pt x="232" y="58"/>
                  <a:pt x="230" y="59"/>
                </a:cubicBezTo>
                <a:cubicBezTo>
                  <a:pt x="226" y="61"/>
                  <a:pt x="221" y="61"/>
                  <a:pt x="215" y="61"/>
                </a:cubicBezTo>
                <a:cubicBezTo>
                  <a:pt x="213" y="61"/>
                  <a:pt x="210" y="60"/>
                  <a:pt x="207" y="60"/>
                </a:cubicBezTo>
                <a:cubicBezTo>
                  <a:pt x="204" y="59"/>
                  <a:pt x="201" y="59"/>
                  <a:pt x="198" y="58"/>
                </a:cubicBezTo>
                <a:cubicBezTo>
                  <a:pt x="193" y="57"/>
                  <a:pt x="187" y="54"/>
                  <a:pt x="182" y="52"/>
                </a:cubicBezTo>
                <a:cubicBezTo>
                  <a:pt x="171" y="47"/>
                  <a:pt x="161" y="41"/>
                  <a:pt x="150" y="35"/>
                </a:cubicBezTo>
                <a:cubicBezTo>
                  <a:pt x="148" y="34"/>
                  <a:pt x="145" y="32"/>
                  <a:pt x="142" y="30"/>
                </a:cubicBezTo>
                <a:cubicBezTo>
                  <a:pt x="138" y="28"/>
                  <a:pt x="138" y="28"/>
                  <a:pt x="138" y="28"/>
                </a:cubicBezTo>
                <a:cubicBezTo>
                  <a:pt x="134" y="25"/>
                  <a:pt x="134" y="25"/>
                  <a:pt x="134" y="25"/>
                </a:cubicBezTo>
                <a:cubicBezTo>
                  <a:pt x="128" y="22"/>
                  <a:pt x="122" y="19"/>
                  <a:pt x="116" y="16"/>
                </a:cubicBezTo>
                <a:cubicBezTo>
                  <a:pt x="110" y="13"/>
                  <a:pt x="104" y="10"/>
                  <a:pt x="97" y="8"/>
                </a:cubicBezTo>
                <a:cubicBezTo>
                  <a:pt x="91" y="5"/>
                  <a:pt x="84" y="3"/>
                  <a:pt x="76" y="2"/>
                </a:cubicBezTo>
                <a:cubicBezTo>
                  <a:pt x="69" y="0"/>
                  <a:pt x="62" y="0"/>
                  <a:pt x="53" y="1"/>
                </a:cubicBezTo>
                <a:cubicBezTo>
                  <a:pt x="49" y="1"/>
                  <a:pt x="45" y="2"/>
                  <a:pt x="41" y="4"/>
                </a:cubicBezTo>
                <a:cubicBezTo>
                  <a:pt x="37" y="6"/>
                  <a:pt x="33" y="8"/>
                  <a:pt x="30" y="11"/>
                </a:cubicBezTo>
                <a:cubicBezTo>
                  <a:pt x="28" y="12"/>
                  <a:pt x="27" y="14"/>
                  <a:pt x="26" y="16"/>
                </a:cubicBezTo>
                <a:cubicBezTo>
                  <a:pt x="25" y="17"/>
                  <a:pt x="23" y="19"/>
                  <a:pt x="22" y="21"/>
                </a:cubicBezTo>
                <a:cubicBezTo>
                  <a:pt x="20" y="25"/>
                  <a:pt x="19" y="30"/>
                  <a:pt x="19" y="33"/>
                </a:cubicBezTo>
                <a:cubicBezTo>
                  <a:pt x="19" y="37"/>
                  <a:pt x="19" y="41"/>
                  <a:pt x="19" y="44"/>
                </a:cubicBezTo>
                <a:cubicBezTo>
                  <a:pt x="19" y="47"/>
                  <a:pt x="20" y="50"/>
                  <a:pt x="20" y="54"/>
                </a:cubicBezTo>
                <a:cubicBezTo>
                  <a:pt x="20" y="57"/>
                  <a:pt x="20" y="60"/>
                  <a:pt x="20" y="63"/>
                </a:cubicBezTo>
                <a:cubicBezTo>
                  <a:pt x="19" y="65"/>
                  <a:pt x="18" y="68"/>
                  <a:pt x="17" y="69"/>
                </a:cubicBezTo>
                <a:cubicBezTo>
                  <a:pt x="15" y="71"/>
                  <a:pt x="12" y="73"/>
                  <a:pt x="9" y="73"/>
                </a:cubicBezTo>
                <a:cubicBezTo>
                  <a:pt x="6" y="74"/>
                  <a:pt x="3" y="74"/>
                  <a:pt x="0" y="73"/>
                </a:cubicBezTo>
                <a:cubicBezTo>
                  <a:pt x="2" y="75"/>
                  <a:pt x="6" y="76"/>
                  <a:pt x="9" y="76"/>
                </a:cubicBezTo>
                <a:cubicBezTo>
                  <a:pt x="13" y="76"/>
                  <a:pt x="16" y="76"/>
                  <a:pt x="20" y="74"/>
                </a:cubicBezTo>
                <a:cubicBezTo>
                  <a:pt x="21" y="73"/>
                  <a:pt x="23" y="71"/>
                  <a:pt x="24" y="70"/>
                </a:cubicBezTo>
                <a:cubicBezTo>
                  <a:pt x="25" y="68"/>
                  <a:pt x="26" y="66"/>
                  <a:pt x="27" y="65"/>
                </a:cubicBezTo>
                <a:cubicBezTo>
                  <a:pt x="28" y="61"/>
                  <a:pt x="29" y="58"/>
                  <a:pt x="30" y="55"/>
                </a:cubicBezTo>
                <a:cubicBezTo>
                  <a:pt x="31" y="51"/>
                  <a:pt x="31" y="48"/>
                  <a:pt x="32" y="45"/>
                </a:cubicBezTo>
                <a:cubicBezTo>
                  <a:pt x="32" y="41"/>
                  <a:pt x="33" y="38"/>
                  <a:pt x="34" y="36"/>
                </a:cubicBezTo>
                <a:cubicBezTo>
                  <a:pt x="35" y="33"/>
                  <a:pt x="36" y="31"/>
                  <a:pt x="37" y="30"/>
                </a:cubicBezTo>
                <a:cubicBezTo>
                  <a:pt x="38" y="28"/>
                  <a:pt x="40" y="27"/>
                  <a:pt x="42" y="25"/>
                </a:cubicBezTo>
                <a:cubicBezTo>
                  <a:pt x="46" y="23"/>
                  <a:pt x="50" y="22"/>
                  <a:pt x="55" y="23"/>
                </a:cubicBezTo>
                <a:cubicBezTo>
                  <a:pt x="59" y="23"/>
                  <a:pt x="64" y="24"/>
                  <a:pt x="70" y="26"/>
                </a:cubicBezTo>
                <a:cubicBezTo>
                  <a:pt x="80" y="30"/>
                  <a:pt x="91" y="36"/>
                  <a:pt x="102" y="43"/>
                </a:cubicBezTo>
                <a:cubicBezTo>
                  <a:pt x="107" y="46"/>
                  <a:pt x="112" y="49"/>
                  <a:pt x="118" y="52"/>
                </a:cubicBezTo>
                <a:cubicBezTo>
                  <a:pt x="126" y="57"/>
                  <a:pt x="126" y="57"/>
                  <a:pt x="126" y="57"/>
                </a:cubicBezTo>
                <a:cubicBezTo>
                  <a:pt x="129" y="59"/>
                  <a:pt x="132" y="61"/>
                  <a:pt x="135" y="62"/>
                </a:cubicBezTo>
                <a:cubicBezTo>
                  <a:pt x="147" y="69"/>
                  <a:pt x="160" y="74"/>
                  <a:pt x="174" y="78"/>
                </a:cubicBezTo>
                <a:cubicBezTo>
                  <a:pt x="181" y="79"/>
                  <a:pt x="188" y="81"/>
                  <a:pt x="195" y="81"/>
                </a:cubicBezTo>
                <a:cubicBezTo>
                  <a:pt x="199" y="81"/>
                  <a:pt x="202" y="81"/>
                  <a:pt x="206" y="81"/>
                </a:cubicBezTo>
                <a:cubicBezTo>
                  <a:pt x="208" y="81"/>
                  <a:pt x="210" y="81"/>
                  <a:pt x="212" y="80"/>
                </a:cubicBezTo>
                <a:cubicBezTo>
                  <a:pt x="213" y="80"/>
                  <a:pt x="215" y="80"/>
                  <a:pt x="217" y="79"/>
                </a:cubicBezTo>
                <a:cubicBezTo>
                  <a:pt x="221" y="79"/>
                  <a:pt x="225" y="77"/>
                  <a:pt x="228" y="75"/>
                </a:cubicBezTo>
                <a:cubicBezTo>
                  <a:pt x="232" y="74"/>
                  <a:pt x="235" y="71"/>
                  <a:pt x="238" y="68"/>
                </a:cubicBezTo>
                <a:cubicBezTo>
                  <a:pt x="240" y="64"/>
                  <a:pt x="242" y="60"/>
                  <a:pt x="242" y="56"/>
                </a:cubicBezTo>
                <a:cubicBezTo>
                  <a:pt x="243" y="54"/>
                  <a:pt x="242" y="53"/>
                  <a:pt x="242" y="5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2941638" y="2268538"/>
            <a:ext cx="361950" cy="171450"/>
          </a:xfrm>
          <a:custGeom>
            <a:avLst/>
            <a:gdLst>
              <a:gd name="T0" fmla="*/ 131 w 154"/>
              <a:gd name="T1" fmla="*/ 60 h 73"/>
              <a:gd name="T2" fmla="*/ 93 w 154"/>
              <a:gd name="T3" fmla="*/ 43 h 73"/>
              <a:gd name="T4" fmla="*/ 84 w 154"/>
              <a:gd name="T5" fmla="*/ 38 h 73"/>
              <a:gd name="T6" fmla="*/ 76 w 154"/>
              <a:gd name="T7" fmla="*/ 32 h 73"/>
              <a:gd name="T8" fmla="*/ 61 w 154"/>
              <a:gd name="T9" fmla="*/ 22 h 73"/>
              <a:gd name="T10" fmla="*/ 29 w 154"/>
              <a:gd name="T11" fmla="*/ 4 h 73"/>
              <a:gd name="T12" fmla="*/ 14 w 154"/>
              <a:gd name="T13" fmla="*/ 0 h 73"/>
              <a:gd name="T14" fmla="*/ 1 w 154"/>
              <a:gd name="T15" fmla="*/ 2 h 73"/>
              <a:gd name="T16" fmla="*/ 0 w 154"/>
              <a:gd name="T17" fmla="*/ 4 h 73"/>
              <a:gd name="T18" fmla="*/ 1 w 154"/>
              <a:gd name="T19" fmla="*/ 4 h 73"/>
              <a:gd name="T20" fmla="*/ 10 w 154"/>
              <a:gd name="T21" fmla="*/ 8 h 73"/>
              <a:gd name="T22" fmla="*/ 37 w 154"/>
              <a:gd name="T23" fmla="*/ 27 h 73"/>
              <a:gd name="T24" fmla="*/ 50 w 154"/>
              <a:gd name="T25" fmla="*/ 37 h 73"/>
              <a:gd name="T26" fmla="*/ 56 w 154"/>
              <a:gd name="T27" fmla="*/ 43 h 73"/>
              <a:gd name="T28" fmla="*/ 64 w 154"/>
              <a:gd name="T29" fmla="*/ 48 h 73"/>
              <a:gd name="T30" fmla="*/ 96 w 154"/>
              <a:gd name="T31" fmla="*/ 67 h 73"/>
              <a:gd name="T32" fmla="*/ 115 w 154"/>
              <a:gd name="T33" fmla="*/ 72 h 73"/>
              <a:gd name="T34" fmla="*/ 124 w 154"/>
              <a:gd name="T35" fmla="*/ 73 h 73"/>
              <a:gd name="T36" fmla="*/ 129 w 154"/>
              <a:gd name="T37" fmla="*/ 73 h 73"/>
              <a:gd name="T38" fmla="*/ 134 w 154"/>
              <a:gd name="T39" fmla="*/ 73 h 73"/>
              <a:gd name="T40" fmla="*/ 145 w 154"/>
              <a:gd name="T41" fmla="*/ 70 h 73"/>
              <a:gd name="T42" fmla="*/ 154 w 154"/>
              <a:gd name="T43" fmla="*/ 64 h 73"/>
              <a:gd name="T44" fmla="*/ 154 w 154"/>
              <a:gd name="T45" fmla="*/ 64 h 73"/>
              <a:gd name="T46" fmla="*/ 152 w 154"/>
              <a:gd name="T47" fmla="*/ 64 h 73"/>
              <a:gd name="T48" fmla="*/ 131 w 154"/>
              <a:gd name="T49" fmla="*/ 60 h 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154" h="73">
                <a:moveTo>
                  <a:pt x="131" y="60"/>
                </a:moveTo>
                <a:cubicBezTo>
                  <a:pt x="117" y="56"/>
                  <a:pt x="105" y="50"/>
                  <a:pt x="93" y="43"/>
                </a:cubicBezTo>
                <a:cubicBezTo>
                  <a:pt x="90" y="41"/>
                  <a:pt x="87" y="39"/>
                  <a:pt x="84" y="38"/>
                </a:cubicBezTo>
                <a:cubicBezTo>
                  <a:pt x="76" y="32"/>
                  <a:pt x="76" y="32"/>
                  <a:pt x="76" y="32"/>
                </a:cubicBezTo>
                <a:cubicBezTo>
                  <a:pt x="71" y="29"/>
                  <a:pt x="66" y="25"/>
                  <a:pt x="61" y="22"/>
                </a:cubicBezTo>
                <a:cubicBezTo>
                  <a:pt x="50" y="15"/>
                  <a:pt x="40" y="9"/>
                  <a:pt x="29" y="4"/>
                </a:cubicBezTo>
                <a:cubicBezTo>
                  <a:pt x="24" y="2"/>
                  <a:pt x="19" y="1"/>
                  <a:pt x="14" y="0"/>
                </a:cubicBezTo>
                <a:cubicBezTo>
                  <a:pt x="9" y="0"/>
                  <a:pt x="5" y="0"/>
                  <a:pt x="1" y="2"/>
                </a:cubicBezTo>
                <a:cubicBezTo>
                  <a:pt x="1" y="3"/>
                  <a:pt x="0" y="3"/>
                  <a:pt x="0" y="4"/>
                </a:cubicBezTo>
                <a:cubicBezTo>
                  <a:pt x="0" y="4"/>
                  <a:pt x="0" y="4"/>
                  <a:pt x="1" y="4"/>
                </a:cubicBezTo>
                <a:cubicBezTo>
                  <a:pt x="4" y="5"/>
                  <a:pt x="7" y="7"/>
                  <a:pt x="10" y="8"/>
                </a:cubicBezTo>
                <a:cubicBezTo>
                  <a:pt x="18" y="13"/>
                  <a:pt x="26" y="18"/>
                  <a:pt x="37" y="27"/>
                </a:cubicBezTo>
                <a:cubicBezTo>
                  <a:pt x="41" y="30"/>
                  <a:pt x="45" y="34"/>
                  <a:pt x="50" y="37"/>
                </a:cubicBezTo>
                <a:cubicBezTo>
                  <a:pt x="56" y="43"/>
                  <a:pt x="56" y="43"/>
                  <a:pt x="56" y="43"/>
                </a:cubicBezTo>
                <a:cubicBezTo>
                  <a:pt x="59" y="45"/>
                  <a:pt x="61" y="46"/>
                  <a:pt x="64" y="48"/>
                </a:cubicBezTo>
                <a:cubicBezTo>
                  <a:pt x="73" y="55"/>
                  <a:pt x="84" y="62"/>
                  <a:pt x="96" y="67"/>
                </a:cubicBezTo>
                <a:cubicBezTo>
                  <a:pt x="102" y="69"/>
                  <a:pt x="108" y="71"/>
                  <a:pt x="115" y="72"/>
                </a:cubicBezTo>
                <a:cubicBezTo>
                  <a:pt x="118" y="72"/>
                  <a:pt x="121" y="73"/>
                  <a:pt x="124" y="73"/>
                </a:cubicBezTo>
                <a:cubicBezTo>
                  <a:pt x="126" y="73"/>
                  <a:pt x="128" y="73"/>
                  <a:pt x="129" y="73"/>
                </a:cubicBezTo>
                <a:cubicBezTo>
                  <a:pt x="131" y="73"/>
                  <a:pt x="133" y="73"/>
                  <a:pt x="134" y="73"/>
                </a:cubicBezTo>
                <a:cubicBezTo>
                  <a:pt x="138" y="73"/>
                  <a:pt x="141" y="72"/>
                  <a:pt x="145" y="70"/>
                </a:cubicBezTo>
                <a:cubicBezTo>
                  <a:pt x="148" y="69"/>
                  <a:pt x="151" y="67"/>
                  <a:pt x="154" y="64"/>
                </a:cubicBezTo>
                <a:cubicBezTo>
                  <a:pt x="154" y="64"/>
                  <a:pt x="154" y="64"/>
                  <a:pt x="154" y="64"/>
                </a:cubicBezTo>
                <a:cubicBezTo>
                  <a:pt x="153" y="64"/>
                  <a:pt x="153" y="64"/>
                  <a:pt x="152" y="64"/>
                </a:cubicBezTo>
                <a:cubicBezTo>
                  <a:pt x="145" y="63"/>
                  <a:pt x="138" y="62"/>
                  <a:pt x="131" y="6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2928938" y="2281238"/>
            <a:ext cx="285750" cy="188913"/>
          </a:xfrm>
          <a:custGeom>
            <a:avLst/>
            <a:gdLst>
              <a:gd name="T0" fmla="*/ 102 w 122"/>
              <a:gd name="T1" fmla="*/ 68 h 80"/>
              <a:gd name="T2" fmla="*/ 71 w 122"/>
              <a:gd name="T3" fmla="*/ 49 h 80"/>
              <a:gd name="T4" fmla="*/ 64 w 122"/>
              <a:gd name="T5" fmla="*/ 43 h 80"/>
              <a:gd name="T6" fmla="*/ 57 w 122"/>
              <a:gd name="T7" fmla="*/ 37 h 80"/>
              <a:gd name="T8" fmla="*/ 44 w 122"/>
              <a:gd name="T9" fmla="*/ 26 h 80"/>
              <a:gd name="T10" fmla="*/ 19 w 122"/>
              <a:gd name="T11" fmla="*/ 7 h 80"/>
              <a:gd name="T12" fmla="*/ 6 w 122"/>
              <a:gd name="T13" fmla="*/ 1 h 80"/>
              <a:gd name="T14" fmla="*/ 2 w 122"/>
              <a:gd name="T15" fmla="*/ 0 h 80"/>
              <a:gd name="T16" fmla="*/ 2 w 122"/>
              <a:gd name="T17" fmla="*/ 1 h 80"/>
              <a:gd name="T18" fmla="*/ 1 w 122"/>
              <a:gd name="T19" fmla="*/ 3 h 80"/>
              <a:gd name="T20" fmla="*/ 0 w 122"/>
              <a:gd name="T21" fmla="*/ 7 h 80"/>
              <a:gd name="T22" fmla="*/ 1 w 122"/>
              <a:gd name="T23" fmla="*/ 8 h 80"/>
              <a:gd name="T24" fmla="*/ 23 w 122"/>
              <a:gd name="T25" fmla="*/ 28 h 80"/>
              <a:gd name="T26" fmla="*/ 33 w 122"/>
              <a:gd name="T27" fmla="*/ 39 h 80"/>
              <a:gd name="T28" fmla="*/ 39 w 122"/>
              <a:gd name="T29" fmla="*/ 44 h 80"/>
              <a:gd name="T30" fmla="*/ 44 w 122"/>
              <a:gd name="T31" fmla="*/ 50 h 80"/>
              <a:gd name="T32" fmla="*/ 71 w 122"/>
              <a:gd name="T33" fmla="*/ 71 h 80"/>
              <a:gd name="T34" fmla="*/ 87 w 122"/>
              <a:gd name="T35" fmla="*/ 77 h 80"/>
              <a:gd name="T36" fmla="*/ 95 w 122"/>
              <a:gd name="T37" fmla="*/ 79 h 80"/>
              <a:gd name="T38" fmla="*/ 99 w 122"/>
              <a:gd name="T39" fmla="*/ 80 h 80"/>
              <a:gd name="T40" fmla="*/ 104 w 122"/>
              <a:gd name="T41" fmla="*/ 80 h 80"/>
              <a:gd name="T42" fmla="*/ 113 w 122"/>
              <a:gd name="T43" fmla="*/ 79 h 80"/>
              <a:gd name="T44" fmla="*/ 122 w 122"/>
              <a:gd name="T45" fmla="*/ 75 h 80"/>
              <a:gd name="T46" fmla="*/ 122 w 122"/>
              <a:gd name="T47" fmla="*/ 75 h 80"/>
              <a:gd name="T48" fmla="*/ 122 w 122"/>
              <a:gd name="T49" fmla="*/ 75 h 80"/>
              <a:gd name="T50" fmla="*/ 121 w 122"/>
              <a:gd name="T51" fmla="*/ 74 h 80"/>
              <a:gd name="T52" fmla="*/ 102 w 122"/>
              <a:gd name="T53" fmla="*/ 68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2" h="80">
                <a:moveTo>
                  <a:pt x="102" y="68"/>
                </a:moveTo>
                <a:cubicBezTo>
                  <a:pt x="91" y="63"/>
                  <a:pt x="80" y="56"/>
                  <a:pt x="71" y="49"/>
                </a:cubicBezTo>
                <a:cubicBezTo>
                  <a:pt x="68" y="47"/>
                  <a:pt x="66" y="45"/>
                  <a:pt x="64" y="43"/>
                </a:cubicBezTo>
                <a:cubicBezTo>
                  <a:pt x="57" y="37"/>
                  <a:pt x="57" y="37"/>
                  <a:pt x="57" y="37"/>
                </a:cubicBezTo>
                <a:cubicBezTo>
                  <a:pt x="53" y="33"/>
                  <a:pt x="49" y="29"/>
                  <a:pt x="44" y="26"/>
                </a:cubicBezTo>
                <a:cubicBezTo>
                  <a:pt x="36" y="19"/>
                  <a:pt x="27" y="12"/>
                  <a:pt x="19" y="7"/>
                </a:cubicBezTo>
                <a:cubicBezTo>
                  <a:pt x="14" y="4"/>
                  <a:pt x="10" y="2"/>
                  <a:pt x="6" y="1"/>
                </a:cubicBezTo>
                <a:cubicBezTo>
                  <a:pt x="5" y="1"/>
                  <a:pt x="4" y="1"/>
                  <a:pt x="2" y="0"/>
                </a:cubicBezTo>
                <a:cubicBezTo>
                  <a:pt x="2" y="0"/>
                  <a:pt x="2" y="1"/>
                  <a:pt x="2" y="1"/>
                </a:cubicBezTo>
                <a:cubicBezTo>
                  <a:pt x="2" y="1"/>
                  <a:pt x="1" y="2"/>
                  <a:pt x="1" y="3"/>
                </a:cubicBezTo>
                <a:cubicBezTo>
                  <a:pt x="0" y="4"/>
                  <a:pt x="0" y="6"/>
                  <a:pt x="0" y="7"/>
                </a:cubicBezTo>
                <a:cubicBezTo>
                  <a:pt x="0" y="7"/>
                  <a:pt x="1" y="8"/>
                  <a:pt x="1" y="8"/>
                </a:cubicBezTo>
                <a:cubicBezTo>
                  <a:pt x="9" y="13"/>
                  <a:pt x="16" y="20"/>
                  <a:pt x="23" y="28"/>
                </a:cubicBezTo>
                <a:cubicBezTo>
                  <a:pt x="26" y="31"/>
                  <a:pt x="30" y="35"/>
                  <a:pt x="33" y="39"/>
                </a:cubicBezTo>
                <a:cubicBezTo>
                  <a:pt x="39" y="44"/>
                  <a:pt x="39" y="44"/>
                  <a:pt x="39" y="44"/>
                </a:cubicBezTo>
                <a:cubicBezTo>
                  <a:pt x="40" y="46"/>
                  <a:pt x="42" y="48"/>
                  <a:pt x="44" y="50"/>
                </a:cubicBezTo>
                <a:cubicBezTo>
                  <a:pt x="52" y="58"/>
                  <a:pt x="61" y="65"/>
                  <a:pt x="71" y="71"/>
                </a:cubicBezTo>
                <a:cubicBezTo>
                  <a:pt x="76" y="73"/>
                  <a:pt x="81" y="76"/>
                  <a:pt x="87" y="77"/>
                </a:cubicBezTo>
                <a:cubicBezTo>
                  <a:pt x="89" y="78"/>
                  <a:pt x="92" y="79"/>
                  <a:pt x="95" y="79"/>
                </a:cubicBezTo>
                <a:cubicBezTo>
                  <a:pt x="97" y="80"/>
                  <a:pt x="98" y="80"/>
                  <a:pt x="99" y="80"/>
                </a:cubicBezTo>
                <a:cubicBezTo>
                  <a:pt x="101" y="80"/>
                  <a:pt x="102" y="80"/>
                  <a:pt x="104" y="80"/>
                </a:cubicBezTo>
                <a:cubicBezTo>
                  <a:pt x="107" y="80"/>
                  <a:pt x="110" y="80"/>
                  <a:pt x="113" y="79"/>
                </a:cubicBezTo>
                <a:cubicBezTo>
                  <a:pt x="117" y="78"/>
                  <a:pt x="120" y="76"/>
                  <a:pt x="122" y="75"/>
                </a:cubicBezTo>
                <a:cubicBezTo>
                  <a:pt x="122" y="75"/>
                  <a:pt x="122" y="75"/>
                  <a:pt x="122" y="75"/>
                </a:cubicBezTo>
                <a:cubicBezTo>
                  <a:pt x="122" y="75"/>
                  <a:pt x="122" y="75"/>
                  <a:pt x="122" y="75"/>
                </a:cubicBezTo>
                <a:cubicBezTo>
                  <a:pt x="122" y="75"/>
                  <a:pt x="121" y="74"/>
                  <a:pt x="121" y="74"/>
                </a:cubicBezTo>
                <a:cubicBezTo>
                  <a:pt x="114" y="73"/>
                  <a:pt x="108" y="71"/>
                  <a:pt x="102"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2919413" y="2303463"/>
            <a:ext cx="212725" cy="187325"/>
          </a:xfrm>
          <a:custGeom>
            <a:avLst/>
            <a:gdLst>
              <a:gd name="T0" fmla="*/ 74 w 91"/>
              <a:gd name="T1" fmla="*/ 69 h 80"/>
              <a:gd name="T2" fmla="*/ 48 w 91"/>
              <a:gd name="T3" fmla="*/ 47 h 80"/>
              <a:gd name="T4" fmla="*/ 43 w 91"/>
              <a:gd name="T5" fmla="*/ 41 h 80"/>
              <a:gd name="T6" fmla="*/ 38 w 91"/>
              <a:gd name="T7" fmla="*/ 35 h 80"/>
              <a:gd name="T8" fmla="*/ 28 w 91"/>
              <a:gd name="T9" fmla="*/ 24 h 80"/>
              <a:gd name="T10" fmla="*/ 7 w 91"/>
              <a:gd name="T11" fmla="*/ 3 h 80"/>
              <a:gd name="T12" fmla="*/ 2 w 91"/>
              <a:gd name="T13" fmla="*/ 0 h 80"/>
              <a:gd name="T14" fmla="*/ 1 w 91"/>
              <a:gd name="T15" fmla="*/ 6 h 80"/>
              <a:gd name="T16" fmla="*/ 0 w 91"/>
              <a:gd name="T17" fmla="*/ 11 h 80"/>
              <a:gd name="T18" fmla="*/ 8 w 91"/>
              <a:gd name="T19" fmla="*/ 23 h 80"/>
              <a:gd name="T20" fmla="*/ 16 w 91"/>
              <a:gd name="T21" fmla="*/ 34 h 80"/>
              <a:gd name="T22" fmla="*/ 20 w 91"/>
              <a:gd name="T23" fmla="*/ 40 h 80"/>
              <a:gd name="T24" fmla="*/ 25 w 91"/>
              <a:gd name="T25" fmla="*/ 46 h 80"/>
              <a:gd name="T26" fmla="*/ 46 w 91"/>
              <a:gd name="T27" fmla="*/ 67 h 80"/>
              <a:gd name="T28" fmla="*/ 59 w 91"/>
              <a:gd name="T29" fmla="*/ 75 h 80"/>
              <a:gd name="T30" fmla="*/ 67 w 91"/>
              <a:gd name="T31" fmla="*/ 78 h 80"/>
              <a:gd name="T32" fmla="*/ 70 w 91"/>
              <a:gd name="T33" fmla="*/ 79 h 80"/>
              <a:gd name="T34" fmla="*/ 74 w 91"/>
              <a:gd name="T35" fmla="*/ 80 h 80"/>
              <a:gd name="T36" fmla="*/ 83 w 91"/>
              <a:gd name="T37" fmla="*/ 80 h 80"/>
              <a:gd name="T38" fmla="*/ 91 w 91"/>
              <a:gd name="T39" fmla="*/ 77 h 80"/>
              <a:gd name="T40" fmla="*/ 91 w 91"/>
              <a:gd name="T41" fmla="*/ 77 h 80"/>
              <a:gd name="T42" fmla="*/ 90 w 91"/>
              <a:gd name="T43" fmla="*/ 76 h 80"/>
              <a:gd name="T44" fmla="*/ 74 w 91"/>
              <a:gd name="T45" fmla="*/ 69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1" h="80">
                <a:moveTo>
                  <a:pt x="74" y="69"/>
                </a:moveTo>
                <a:cubicBezTo>
                  <a:pt x="64" y="63"/>
                  <a:pt x="56" y="55"/>
                  <a:pt x="48" y="47"/>
                </a:cubicBezTo>
                <a:cubicBezTo>
                  <a:pt x="47" y="45"/>
                  <a:pt x="45" y="43"/>
                  <a:pt x="43" y="41"/>
                </a:cubicBezTo>
                <a:cubicBezTo>
                  <a:pt x="38" y="35"/>
                  <a:pt x="38" y="35"/>
                  <a:pt x="38" y="35"/>
                </a:cubicBezTo>
                <a:cubicBezTo>
                  <a:pt x="34" y="31"/>
                  <a:pt x="31" y="27"/>
                  <a:pt x="28" y="24"/>
                </a:cubicBezTo>
                <a:cubicBezTo>
                  <a:pt x="21" y="16"/>
                  <a:pt x="14" y="9"/>
                  <a:pt x="7" y="3"/>
                </a:cubicBezTo>
                <a:cubicBezTo>
                  <a:pt x="6" y="2"/>
                  <a:pt x="4" y="1"/>
                  <a:pt x="2" y="0"/>
                </a:cubicBezTo>
                <a:cubicBezTo>
                  <a:pt x="2" y="2"/>
                  <a:pt x="1" y="4"/>
                  <a:pt x="1" y="6"/>
                </a:cubicBezTo>
                <a:cubicBezTo>
                  <a:pt x="0" y="8"/>
                  <a:pt x="0" y="10"/>
                  <a:pt x="0" y="11"/>
                </a:cubicBezTo>
                <a:cubicBezTo>
                  <a:pt x="3" y="15"/>
                  <a:pt x="6" y="19"/>
                  <a:pt x="8" y="23"/>
                </a:cubicBezTo>
                <a:cubicBezTo>
                  <a:pt x="11" y="26"/>
                  <a:pt x="14" y="30"/>
                  <a:pt x="16" y="34"/>
                </a:cubicBezTo>
                <a:cubicBezTo>
                  <a:pt x="20" y="40"/>
                  <a:pt x="20" y="40"/>
                  <a:pt x="20" y="40"/>
                </a:cubicBezTo>
                <a:cubicBezTo>
                  <a:pt x="22" y="42"/>
                  <a:pt x="23" y="44"/>
                  <a:pt x="25" y="46"/>
                </a:cubicBezTo>
                <a:cubicBezTo>
                  <a:pt x="31" y="54"/>
                  <a:pt x="38" y="61"/>
                  <a:pt x="46" y="67"/>
                </a:cubicBezTo>
                <a:cubicBezTo>
                  <a:pt x="50" y="70"/>
                  <a:pt x="55" y="73"/>
                  <a:pt x="59" y="75"/>
                </a:cubicBezTo>
                <a:cubicBezTo>
                  <a:pt x="62" y="76"/>
                  <a:pt x="64" y="77"/>
                  <a:pt x="67" y="78"/>
                </a:cubicBezTo>
                <a:cubicBezTo>
                  <a:pt x="68" y="78"/>
                  <a:pt x="69" y="79"/>
                  <a:pt x="70" y="79"/>
                </a:cubicBezTo>
                <a:cubicBezTo>
                  <a:pt x="72" y="79"/>
                  <a:pt x="73" y="80"/>
                  <a:pt x="74" y="80"/>
                </a:cubicBezTo>
                <a:cubicBezTo>
                  <a:pt x="77" y="80"/>
                  <a:pt x="80" y="80"/>
                  <a:pt x="83" y="80"/>
                </a:cubicBezTo>
                <a:cubicBezTo>
                  <a:pt x="85" y="79"/>
                  <a:pt x="88" y="78"/>
                  <a:pt x="91" y="77"/>
                </a:cubicBezTo>
                <a:cubicBezTo>
                  <a:pt x="91" y="77"/>
                  <a:pt x="91" y="77"/>
                  <a:pt x="91" y="77"/>
                </a:cubicBezTo>
                <a:cubicBezTo>
                  <a:pt x="91" y="76"/>
                  <a:pt x="90" y="76"/>
                  <a:pt x="90" y="76"/>
                </a:cubicBezTo>
                <a:cubicBezTo>
                  <a:pt x="84" y="74"/>
                  <a:pt x="79" y="72"/>
                  <a:pt x="74" y="6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905125" y="2336800"/>
            <a:ext cx="152400" cy="166688"/>
          </a:xfrm>
          <a:custGeom>
            <a:avLst/>
            <a:gdLst>
              <a:gd name="T0" fmla="*/ 64 w 65"/>
              <a:gd name="T1" fmla="*/ 68 h 71"/>
              <a:gd name="T2" fmla="*/ 51 w 65"/>
              <a:gd name="T3" fmla="*/ 60 h 71"/>
              <a:gd name="T4" fmla="*/ 30 w 65"/>
              <a:gd name="T5" fmla="*/ 37 h 71"/>
              <a:gd name="T6" fmla="*/ 26 w 65"/>
              <a:gd name="T7" fmla="*/ 31 h 71"/>
              <a:gd name="T8" fmla="*/ 22 w 65"/>
              <a:gd name="T9" fmla="*/ 25 h 71"/>
              <a:gd name="T10" fmla="*/ 15 w 65"/>
              <a:gd name="T11" fmla="*/ 13 h 71"/>
              <a:gd name="T12" fmla="*/ 5 w 65"/>
              <a:gd name="T13" fmla="*/ 0 h 71"/>
              <a:gd name="T14" fmla="*/ 5 w 65"/>
              <a:gd name="T15" fmla="*/ 2 h 71"/>
              <a:gd name="T16" fmla="*/ 1 w 65"/>
              <a:gd name="T17" fmla="*/ 12 h 71"/>
              <a:gd name="T18" fmla="*/ 0 w 65"/>
              <a:gd name="T19" fmla="*/ 14 h 71"/>
              <a:gd name="T20" fmla="*/ 4 w 65"/>
              <a:gd name="T21" fmla="*/ 22 h 71"/>
              <a:gd name="T22" fmla="*/ 7 w 65"/>
              <a:gd name="T23" fmla="*/ 27 h 71"/>
              <a:gd name="T24" fmla="*/ 10 w 65"/>
              <a:gd name="T25" fmla="*/ 33 h 71"/>
              <a:gd name="T26" fmla="*/ 26 w 65"/>
              <a:gd name="T27" fmla="*/ 55 h 71"/>
              <a:gd name="T28" fmla="*/ 37 w 65"/>
              <a:gd name="T29" fmla="*/ 64 h 71"/>
              <a:gd name="T30" fmla="*/ 43 w 65"/>
              <a:gd name="T31" fmla="*/ 67 h 71"/>
              <a:gd name="T32" fmla="*/ 46 w 65"/>
              <a:gd name="T33" fmla="*/ 69 h 71"/>
              <a:gd name="T34" fmla="*/ 49 w 65"/>
              <a:gd name="T35" fmla="*/ 70 h 71"/>
              <a:gd name="T36" fmla="*/ 57 w 65"/>
              <a:gd name="T37" fmla="*/ 71 h 71"/>
              <a:gd name="T38" fmla="*/ 65 w 65"/>
              <a:gd name="T39" fmla="*/ 69 h 71"/>
              <a:gd name="T40" fmla="*/ 64 w 65"/>
              <a:gd name="T41" fmla="*/ 68 h 71"/>
              <a:gd name="T42" fmla="*/ 64 w 65"/>
              <a:gd name="T43" fmla="*/ 68 h 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65" h="71">
                <a:moveTo>
                  <a:pt x="64" y="68"/>
                </a:moveTo>
                <a:cubicBezTo>
                  <a:pt x="59" y="66"/>
                  <a:pt x="55" y="63"/>
                  <a:pt x="51" y="60"/>
                </a:cubicBezTo>
                <a:cubicBezTo>
                  <a:pt x="43" y="53"/>
                  <a:pt x="36" y="45"/>
                  <a:pt x="30" y="37"/>
                </a:cubicBezTo>
                <a:cubicBezTo>
                  <a:pt x="29" y="35"/>
                  <a:pt x="28" y="33"/>
                  <a:pt x="26" y="31"/>
                </a:cubicBezTo>
                <a:cubicBezTo>
                  <a:pt x="22" y="25"/>
                  <a:pt x="22" y="25"/>
                  <a:pt x="22" y="25"/>
                </a:cubicBezTo>
                <a:cubicBezTo>
                  <a:pt x="20" y="21"/>
                  <a:pt x="17" y="17"/>
                  <a:pt x="15" y="13"/>
                </a:cubicBezTo>
                <a:cubicBezTo>
                  <a:pt x="12" y="9"/>
                  <a:pt x="8" y="4"/>
                  <a:pt x="5" y="0"/>
                </a:cubicBezTo>
                <a:cubicBezTo>
                  <a:pt x="5" y="1"/>
                  <a:pt x="5" y="1"/>
                  <a:pt x="5" y="2"/>
                </a:cubicBezTo>
                <a:cubicBezTo>
                  <a:pt x="4" y="5"/>
                  <a:pt x="3" y="9"/>
                  <a:pt x="1" y="12"/>
                </a:cubicBezTo>
                <a:cubicBezTo>
                  <a:pt x="1" y="13"/>
                  <a:pt x="0" y="14"/>
                  <a:pt x="0" y="14"/>
                </a:cubicBezTo>
                <a:cubicBezTo>
                  <a:pt x="1" y="17"/>
                  <a:pt x="2" y="19"/>
                  <a:pt x="4" y="22"/>
                </a:cubicBezTo>
                <a:cubicBezTo>
                  <a:pt x="7" y="27"/>
                  <a:pt x="7" y="27"/>
                  <a:pt x="7" y="27"/>
                </a:cubicBezTo>
                <a:cubicBezTo>
                  <a:pt x="8" y="29"/>
                  <a:pt x="9" y="31"/>
                  <a:pt x="10" y="33"/>
                </a:cubicBezTo>
                <a:cubicBezTo>
                  <a:pt x="14" y="41"/>
                  <a:pt x="20" y="49"/>
                  <a:pt x="26" y="55"/>
                </a:cubicBezTo>
                <a:cubicBezTo>
                  <a:pt x="29" y="58"/>
                  <a:pt x="33" y="61"/>
                  <a:pt x="37" y="64"/>
                </a:cubicBezTo>
                <a:cubicBezTo>
                  <a:pt x="39" y="65"/>
                  <a:pt x="41" y="66"/>
                  <a:pt x="43" y="67"/>
                </a:cubicBezTo>
                <a:cubicBezTo>
                  <a:pt x="44" y="68"/>
                  <a:pt x="45" y="68"/>
                  <a:pt x="46" y="69"/>
                </a:cubicBezTo>
                <a:cubicBezTo>
                  <a:pt x="47" y="69"/>
                  <a:pt x="48" y="70"/>
                  <a:pt x="49" y="70"/>
                </a:cubicBezTo>
                <a:cubicBezTo>
                  <a:pt x="52" y="70"/>
                  <a:pt x="54" y="71"/>
                  <a:pt x="57" y="71"/>
                </a:cubicBezTo>
                <a:cubicBezTo>
                  <a:pt x="59" y="71"/>
                  <a:pt x="62" y="70"/>
                  <a:pt x="65" y="69"/>
                </a:cubicBezTo>
                <a:cubicBezTo>
                  <a:pt x="64" y="69"/>
                  <a:pt x="64" y="68"/>
                  <a:pt x="64" y="68"/>
                </a:cubicBezTo>
                <a:cubicBezTo>
                  <a:pt x="64" y="68"/>
                  <a:pt x="64" y="68"/>
                  <a:pt x="64" y="6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873375" y="2376488"/>
            <a:ext cx="115888" cy="128588"/>
          </a:xfrm>
          <a:custGeom>
            <a:avLst/>
            <a:gdLst>
              <a:gd name="T0" fmla="*/ 4 w 49"/>
              <a:gd name="T1" fmla="*/ 16 h 55"/>
              <a:gd name="T2" fmla="*/ 16 w 49"/>
              <a:gd name="T3" fmla="*/ 37 h 55"/>
              <a:gd name="T4" fmla="*/ 24 w 49"/>
              <a:gd name="T5" fmla="*/ 46 h 55"/>
              <a:gd name="T6" fmla="*/ 29 w 49"/>
              <a:gd name="T7" fmla="*/ 50 h 55"/>
              <a:gd name="T8" fmla="*/ 32 w 49"/>
              <a:gd name="T9" fmla="*/ 52 h 55"/>
              <a:gd name="T10" fmla="*/ 35 w 49"/>
              <a:gd name="T11" fmla="*/ 53 h 55"/>
              <a:gd name="T12" fmla="*/ 41 w 49"/>
              <a:gd name="T13" fmla="*/ 55 h 55"/>
              <a:gd name="T14" fmla="*/ 49 w 49"/>
              <a:gd name="T15" fmla="*/ 54 h 55"/>
              <a:gd name="T16" fmla="*/ 49 w 49"/>
              <a:gd name="T17" fmla="*/ 54 h 55"/>
              <a:gd name="T18" fmla="*/ 48 w 49"/>
              <a:gd name="T19" fmla="*/ 53 h 55"/>
              <a:gd name="T20" fmla="*/ 37 w 49"/>
              <a:gd name="T21" fmla="*/ 44 h 55"/>
              <a:gd name="T22" fmla="*/ 22 w 49"/>
              <a:gd name="T23" fmla="*/ 21 h 55"/>
              <a:gd name="T24" fmla="*/ 19 w 49"/>
              <a:gd name="T25" fmla="*/ 15 h 55"/>
              <a:gd name="T26" fmla="*/ 16 w 49"/>
              <a:gd name="T27" fmla="*/ 9 h 55"/>
              <a:gd name="T28" fmla="*/ 11 w 49"/>
              <a:gd name="T29" fmla="*/ 0 h 55"/>
              <a:gd name="T30" fmla="*/ 11 w 49"/>
              <a:gd name="T31" fmla="*/ 0 h 55"/>
              <a:gd name="T32" fmla="*/ 6 w 49"/>
              <a:gd name="T33" fmla="*/ 4 h 55"/>
              <a:gd name="T34" fmla="*/ 0 w 49"/>
              <a:gd name="T35" fmla="*/ 6 h 55"/>
              <a:gd name="T36" fmla="*/ 2 w 49"/>
              <a:gd name="T37" fmla="*/ 10 h 55"/>
              <a:gd name="T38" fmla="*/ 4 w 49"/>
              <a:gd name="T39" fmla="*/ 16 h 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9" h="55">
                <a:moveTo>
                  <a:pt x="4" y="16"/>
                </a:moveTo>
                <a:cubicBezTo>
                  <a:pt x="7" y="23"/>
                  <a:pt x="11" y="31"/>
                  <a:pt x="16" y="37"/>
                </a:cubicBezTo>
                <a:cubicBezTo>
                  <a:pt x="18" y="41"/>
                  <a:pt x="21" y="44"/>
                  <a:pt x="24" y="46"/>
                </a:cubicBezTo>
                <a:cubicBezTo>
                  <a:pt x="26" y="48"/>
                  <a:pt x="28" y="49"/>
                  <a:pt x="29" y="50"/>
                </a:cubicBezTo>
                <a:cubicBezTo>
                  <a:pt x="30" y="51"/>
                  <a:pt x="31" y="51"/>
                  <a:pt x="32" y="52"/>
                </a:cubicBezTo>
                <a:cubicBezTo>
                  <a:pt x="33" y="52"/>
                  <a:pt x="34" y="53"/>
                  <a:pt x="35" y="53"/>
                </a:cubicBezTo>
                <a:cubicBezTo>
                  <a:pt x="37" y="54"/>
                  <a:pt x="39" y="55"/>
                  <a:pt x="41" y="55"/>
                </a:cubicBezTo>
                <a:cubicBezTo>
                  <a:pt x="44" y="55"/>
                  <a:pt x="46" y="55"/>
                  <a:pt x="49" y="54"/>
                </a:cubicBezTo>
                <a:cubicBezTo>
                  <a:pt x="49" y="54"/>
                  <a:pt x="49" y="54"/>
                  <a:pt x="49" y="54"/>
                </a:cubicBezTo>
                <a:cubicBezTo>
                  <a:pt x="48" y="54"/>
                  <a:pt x="48" y="53"/>
                  <a:pt x="48" y="53"/>
                </a:cubicBezTo>
                <a:cubicBezTo>
                  <a:pt x="44" y="50"/>
                  <a:pt x="40" y="47"/>
                  <a:pt x="37" y="44"/>
                </a:cubicBezTo>
                <a:cubicBezTo>
                  <a:pt x="31" y="37"/>
                  <a:pt x="26" y="29"/>
                  <a:pt x="22" y="21"/>
                </a:cubicBezTo>
                <a:cubicBezTo>
                  <a:pt x="21" y="19"/>
                  <a:pt x="20" y="17"/>
                  <a:pt x="19" y="15"/>
                </a:cubicBezTo>
                <a:cubicBezTo>
                  <a:pt x="16" y="9"/>
                  <a:pt x="16" y="9"/>
                  <a:pt x="16" y="9"/>
                </a:cubicBezTo>
                <a:cubicBezTo>
                  <a:pt x="14" y="6"/>
                  <a:pt x="13" y="3"/>
                  <a:pt x="11" y="0"/>
                </a:cubicBezTo>
                <a:cubicBezTo>
                  <a:pt x="11" y="0"/>
                  <a:pt x="11" y="0"/>
                  <a:pt x="11" y="0"/>
                </a:cubicBezTo>
                <a:cubicBezTo>
                  <a:pt x="10" y="2"/>
                  <a:pt x="8" y="3"/>
                  <a:pt x="6" y="4"/>
                </a:cubicBezTo>
                <a:cubicBezTo>
                  <a:pt x="4" y="5"/>
                  <a:pt x="2" y="5"/>
                  <a:pt x="0" y="6"/>
                </a:cubicBezTo>
                <a:cubicBezTo>
                  <a:pt x="2" y="10"/>
                  <a:pt x="2" y="10"/>
                  <a:pt x="2" y="10"/>
                </a:cubicBezTo>
                <a:cubicBezTo>
                  <a:pt x="2" y="12"/>
                  <a:pt x="3" y="14"/>
                  <a:pt x="4" y="1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70">
            <a:extLst>
              <a:ext uri="{FF2B5EF4-FFF2-40B4-BE49-F238E27FC236}">
                <a16:creationId xmlns:a16="http://schemas.microsoft.com/office/drawing/2014/main" id="{00000000-0008-0000-0400-000047000000}"/>
              </a:ext>
            </a:extLst>
          </xdr:cNvPr>
          <xdr:cNvSpPr>
            <a:spLocks/>
          </xdr:cNvSpPr>
        </xdr:nvSpPr>
        <xdr:spPr bwMode="auto">
          <a:xfrm>
            <a:off x="2838450" y="2381250"/>
            <a:ext cx="90488" cy="119063"/>
          </a:xfrm>
          <a:custGeom>
            <a:avLst/>
            <a:gdLst>
              <a:gd name="T0" fmla="*/ 13 w 38"/>
              <a:gd name="T1" fmla="*/ 4 h 51"/>
              <a:gd name="T2" fmla="*/ 11 w 38"/>
              <a:gd name="T3" fmla="*/ 4 h 51"/>
              <a:gd name="T4" fmla="*/ 2 w 38"/>
              <a:gd name="T5" fmla="*/ 2 h 51"/>
              <a:gd name="T6" fmla="*/ 0 w 38"/>
              <a:gd name="T7" fmla="*/ 0 h 51"/>
              <a:gd name="T8" fmla="*/ 1 w 38"/>
              <a:gd name="T9" fmla="*/ 5 h 51"/>
              <a:gd name="T10" fmla="*/ 2 w 38"/>
              <a:gd name="T11" fmla="*/ 11 h 51"/>
              <a:gd name="T12" fmla="*/ 11 w 38"/>
              <a:gd name="T13" fmla="*/ 32 h 51"/>
              <a:gd name="T14" fmla="*/ 17 w 38"/>
              <a:gd name="T15" fmla="*/ 41 h 51"/>
              <a:gd name="T16" fmla="*/ 21 w 38"/>
              <a:gd name="T17" fmla="*/ 45 h 51"/>
              <a:gd name="T18" fmla="*/ 23 w 38"/>
              <a:gd name="T19" fmla="*/ 47 h 51"/>
              <a:gd name="T20" fmla="*/ 26 w 38"/>
              <a:gd name="T21" fmla="*/ 48 h 51"/>
              <a:gd name="T22" fmla="*/ 31 w 38"/>
              <a:gd name="T23" fmla="*/ 51 h 51"/>
              <a:gd name="T24" fmla="*/ 37 w 38"/>
              <a:gd name="T25" fmla="*/ 51 h 51"/>
              <a:gd name="T26" fmla="*/ 38 w 38"/>
              <a:gd name="T27" fmla="*/ 51 h 51"/>
              <a:gd name="T28" fmla="*/ 37 w 38"/>
              <a:gd name="T29" fmla="*/ 50 h 51"/>
              <a:gd name="T30" fmla="*/ 29 w 38"/>
              <a:gd name="T31" fmla="*/ 40 h 51"/>
              <a:gd name="T32" fmla="*/ 17 w 38"/>
              <a:gd name="T33" fmla="*/ 18 h 51"/>
              <a:gd name="T34" fmla="*/ 15 w 38"/>
              <a:gd name="T35" fmla="*/ 12 h 51"/>
              <a:gd name="T36" fmla="*/ 14 w 38"/>
              <a:gd name="T37" fmla="*/ 6 h 51"/>
              <a:gd name="T38" fmla="*/ 13 w 38"/>
              <a:gd name="T39" fmla="*/ 4 h 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38" h="51">
                <a:moveTo>
                  <a:pt x="13" y="4"/>
                </a:moveTo>
                <a:cubicBezTo>
                  <a:pt x="12" y="4"/>
                  <a:pt x="11" y="4"/>
                  <a:pt x="11" y="4"/>
                </a:cubicBezTo>
                <a:cubicBezTo>
                  <a:pt x="8" y="3"/>
                  <a:pt x="5" y="3"/>
                  <a:pt x="2" y="2"/>
                </a:cubicBezTo>
                <a:cubicBezTo>
                  <a:pt x="1" y="1"/>
                  <a:pt x="0" y="1"/>
                  <a:pt x="0" y="0"/>
                </a:cubicBezTo>
                <a:cubicBezTo>
                  <a:pt x="1" y="5"/>
                  <a:pt x="1" y="5"/>
                  <a:pt x="1" y="5"/>
                </a:cubicBezTo>
                <a:cubicBezTo>
                  <a:pt x="1" y="7"/>
                  <a:pt x="2" y="9"/>
                  <a:pt x="2" y="11"/>
                </a:cubicBezTo>
                <a:cubicBezTo>
                  <a:pt x="4" y="18"/>
                  <a:pt x="7" y="25"/>
                  <a:pt x="11" y="32"/>
                </a:cubicBezTo>
                <a:cubicBezTo>
                  <a:pt x="12" y="35"/>
                  <a:pt x="15" y="38"/>
                  <a:pt x="17" y="41"/>
                </a:cubicBezTo>
                <a:cubicBezTo>
                  <a:pt x="18" y="43"/>
                  <a:pt x="20" y="44"/>
                  <a:pt x="21" y="45"/>
                </a:cubicBezTo>
                <a:cubicBezTo>
                  <a:pt x="22" y="46"/>
                  <a:pt x="22" y="46"/>
                  <a:pt x="23" y="47"/>
                </a:cubicBezTo>
                <a:cubicBezTo>
                  <a:pt x="24" y="48"/>
                  <a:pt x="25" y="48"/>
                  <a:pt x="26" y="48"/>
                </a:cubicBezTo>
                <a:cubicBezTo>
                  <a:pt x="27" y="49"/>
                  <a:pt x="29" y="50"/>
                  <a:pt x="31" y="51"/>
                </a:cubicBezTo>
                <a:cubicBezTo>
                  <a:pt x="33" y="51"/>
                  <a:pt x="35" y="51"/>
                  <a:pt x="37" y="51"/>
                </a:cubicBezTo>
                <a:cubicBezTo>
                  <a:pt x="38" y="51"/>
                  <a:pt x="38" y="51"/>
                  <a:pt x="38" y="51"/>
                </a:cubicBezTo>
                <a:cubicBezTo>
                  <a:pt x="37" y="50"/>
                  <a:pt x="37" y="50"/>
                  <a:pt x="37" y="50"/>
                </a:cubicBezTo>
                <a:cubicBezTo>
                  <a:pt x="34" y="47"/>
                  <a:pt x="31" y="44"/>
                  <a:pt x="29" y="40"/>
                </a:cubicBezTo>
                <a:cubicBezTo>
                  <a:pt x="24" y="33"/>
                  <a:pt x="20" y="26"/>
                  <a:pt x="17" y="18"/>
                </a:cubicBezTo>
                <a:cubicBezTo>
                  <a:pt x="17" y="16"/>
                  <a:pt x="16" y="14"/>
                  <a:pt x="15" y="12"/>
                </a:cubicBezTo>
                <a:cubicBezTo>
                  <a:pt x="14" y="6"/>
                  <a:pt x="14" y="6"/>
                  <a:pt x="14" y="6"/>
                </a:cubicBezTo>
                <a:cubicBezTo>
                  <a:pt x="13" y="6"/>
                  <a:pt x="13" y="5"/>
                  <a:pt x="13" y="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71">
            <a:extLst>
              <a:ext uri="{FF2B5EF4-FFF2-40B4-BE49-F238E27FC236}">
                <a16:creationId xmlns:a16="http://schemas.microsoft.com/office/drawing/2014/main" id="{00000000-0008-0000-0400-000048000000}"/>
              </a:ext>
            </a:extLst>
          </xdr:cNvPr>
          <xdr:cNvSpPr>
            <a:spLocks noEditPoints="1"/>
          </xdr:cNvSpPr>
        </xdr:nvSpPr>
        <xdr:spPr bwMode="auto">
          <a:xfrm>
            <a:off x="2584450" y="2513013"/>
            <a:ext cx="341313" cy="333375"/>
          </a:xfrm>
          <a:custGeom>
            <a:avLst/>
            <a:gdLst>
              <a:gd name="T0" fmla="*/ 125 w 145"/>
              <a:gd name="T1" fmla="*/ 72 h 142"/>
              <a:gd name="T2" fmla="*/ 122 w 145"/>
              <a:gd name="T3" fmla="*/ 70 h 142"/>
              <a:gd name="T4" fmla="*/ 121 w 145"/>
              <a:gd name="T5" fmla="*/ 70 h 142"/>
              <a:gd name="T6" fmla="*/ 110 w 145"/>
              <a:gd name="T7" fmla="*/ 67 h 142"/>
              <a:gd name="T8" fmla="*/ 76 w 145"/>
              <a:gd name="T9" fmla="*/ 63 h 142"/>
              <a:gd name="T10" fmla="*/ 47 w 145"/>
              <a:gd name="T11" fmla="*/ 57 h 142"/>
              <a:gd name="T12" fmla="*/ 29 w 145"/>
              <a:gd name="T13" fmla="*/ 44 h 142"/>
              <a:gd name="T14" fmla="*/ 29 w 145"/>
              <a:gd name="T15" fmla="*/ 39 h 142"/>
              <a:gd name="T16" fmla="*/ 37 w 145"/>
              <a:gd name="T17" fmla="*/ 33 h 142"/>
              <a:gd name="T18" fmla="*/ 38 w 145"/>
              <a:gd name="T19" fmla="*/ 33 h 142"/>
              <a:gd name="T20" fmla="*/ 41 w 145"/>
              <a:gd name="T21" fmla="*/ 36 h 142"/>
              <a:gd name="T22" fmla="*/ 42 w 145"/>
              <a:gd name="T23" fmla="*/ 37 h 142"/>
              <a:gd name="T24" fmla="*/ 42 w 145"/>
              <a:gd name="T25" fmla="*/ 37 h 142"/>
              <a:gd name="T26" fmla="*/ 42 w 145"/>
              <a:gd name="T27" fmla="*/ 37 h 142"/>
              <a:gd name="T28" fmla="*/ 67 w 145"/>
              <a:gd name="T29" fmla="*/ 19 h 142"/>
              <a:gd name="T30" fmla="*/ 67 w 145"/>
              <a:gd name="T31" fmla="*/ 18 h 142"/>
              <a:gd name="T32" fmla="*/ 65 w 145"/>
              <a:gd name="T33" fmla="*/ 16 h 142"/>
              <a:gd name="T34" fmla="*/ 58 w 145"/>
              <a:gd name="T35" fmla="*/ 8 h 142"/>
              <a:gd name="T36" fmla="*/ 37 w 145"/>
              <a:gd name="T37" fmla="*/ 0 h 142"/>
              <a:gd name="T38" fmla="*/ 19 w 145"/>
              <a:gd name="T39" fmla="*/ 6 h 142"/>
              <a:gd name="T40" fmla="*/ 2 w 145"/>
              <a:gd name="T41" fmla="*/ 28 h 142"/>
              <a:gd name="T42" fmla="*/ 5 w 145"/>
              <a:gd name="T43" fmla="*/ 58 h 142"/>
              <a:gd name="T44" fmla="*/ 21 w 145"/>
              <a:gd name="T45" fmla="*/ 77 h 142"/>
              <a:gd name="T46" fmla="*/ 58 w 145"/>
              <a:gd name="T47" fmla="*/ 89 h 142"/>
              <a:gd name="T48" fmla="*/ 91 w 145"/>
              <a:gd name="T49" fmla="*/ 92 h 142"/>
              <a:gd name="T50" fmla="*/ 112 w 145"/>
              <a:gd name="T51" fmla="*/ 95 h 142"/>
              <a:gd name="T52" fmla="*/ 113 w 145"/>
              <a:gd name="T53" fmla="*/ 95 h 142"/>
              <a:gd name="T54" fmla="*/ 113 w 145"/>
              <a:gd name="T55" fmla="*/ 95 h 142"/>
              <a:gd name="T56" fmla="*/ 113 w 145"/>
              <a:gd name="T57" fmla="*/ 95 h 142"/>
              <a:gd name="T58" fmla="*/ 114 w 145"/>
              <a:gd name="T59" fmla="*/ 95 h 142"/>
              <a:gd name="T60" fmla="*/ 116 w 145"/>
              <a:gd name="T61" fmla="*/ 97 h 142"/>
              <a:gd name="T62" fmla="*/ 122 w 145"/>
              <a:gd name="T63" fmla="*/ 113 h 142"/>
              <a:gd name="T64" fmla="*/ 117 w 145"/>
              <a:gd name="T65" fmla="*/ 119 h 142"/>
              <a:gd name="T66" fmla="*/ 114 w 145"/>
              <a:gd name="T67" fmla="*/ 121 h 142"/>
              <a:gd name="T68" fmla="*/ 111 w 145"/>
              <a:gd name="T69" fmla="*/ 122 h 142"/>
              <a:gd name="T70" fmla="*/ 97 w 145"/>
              <a:gd name="T71" fmla="*/ 126 h 142"/>
              <a:gd name="T72" fmla="*/ 99 w 145"/>
              <a:gd name="T73" fmla="*/ 94 h 142"/>
              <a:gd name="T74" fmla="*/ 91 w 145"/>
              <a:gd name="T75" fmla="*/ 94 h 142"/>
              <a:gd name="T76" fmla="*/ 74 w 145"/>
              <a:gd name="T77" fmla="*/ 93 h 142"/>
              <a:gd name="T78" fmla="*/ 76 w 145"/>
              <a:gd name="T79" fmla="*/ 119 h 142"/>
              <a:gd name="T80" fmla="*/ 85 w 145"/>
              <a:gd name="T81" fmla="*/ 126 h 142"/>
              <a:gd name="T82" fmla="*/ 91 w 145"/>
              <a:gd name="T83" fmla="*/ 128 h 142"/>
              <a:gd name="T84" fmla="*/ 101 w 145"/>
              <a:gd name="T85" fmla="*/ 131 h 142"/>
              <a:gd name="T86" fmla="*/ 114 w 145"/>
              <a:gd name="T87" fmla="*/ 137 h 142"/>
              <a:gd name="T88" fmla="*/ 117 w 145"/>
              <a:gd name="T89" fmla="*/ 138 h 142"/>
              <a:gd name="T90" fmla="*/ 118 w 145"/>
              <a:gd name="T91" fmla="*/ 139 h 142"/>
              <a:gd name="T92" fmla="*/ 123 w 145"/>
              <a:gd name="T93" fmla="*/ 142 h 142"/>
              <a:gd name="T94" fmla="*/ 136 w 145"/>
              <a:gd name="T95" fmla="*/ 133 h 142"/>
              <a:gd name="T96" fmla="*/ 145 w 145"/>
              <a:gd name="T97" fmla="*/ 108 h 142"/>
              <a:gd name="T98" fmla="*/ 130 w 145"/>
              <a:gd name="T99" fmla="*/ 75 h 142"/>
              <a:gd name="T100" fmla="*/ 60 w 145"/>
              <a:gd name="T101" fmla="*/ 20 h 142"/>
              <a:gd name="T102" fmla="*/ 57 w 145"/>
              <a:gd name="T103" fmla="*/ 24 h 1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45" h="142">
                <a:moveTo>
                  <a:pt x="130" y="75"/>
                </a:moveTo>
                <a:cubicBezTo>
                  <a:pt x="128" y="74"/>
                  <a:pt x="126" y="73"/>
                  <a:pt x="125" y="72"/>
                </a:cubicBezTo>
                <a:cubicBezTo>
                  <a:pt x="124" y="72"/>
                  <a:pt x="124" y="71"/>
                  <a:pt x="123" y="71"/>
                </a:cubicBezTo>
                <a:cubicBezTo>
                  <a:pt x="123" y="71"/>
                  <a:pt x="123" y="71"/>
                  <a:pt x="122" y="70"/>
                </a:cubicBezTo>
                <a:cubicBezTo>
                  <a:pt x="121" y="70"/>
                  <a:pt x="121" y="70"/>
                  <a:pt x="121" y="70"/>
                </a:cubicBezTo>
                <a:cubicBezTo>
                  <a:pt x="121" y="70"/>
                  <a:pt x="121" y="70"/>
                  <a:pt x="121" y="70"/>
                </a:cubicBezTo>
                <a:cubicBezTo>
                  <a:pt x="119" y="69"/>
                  <a:pt x="119" y="69"/>
                  <a:pt x="119" y="69"/>
                </a:cubicBezTo>
                <a:cubicBezTo>
                  <a:pt x="116" y="68"/>
                  <a:pt x="113" y="67"/>
                  <a:pt x="110" y="67"/>
                </a:cubicBezTo>
                <a:cubicBezTo>
                  <a:pt x="104" y="65"/>
                  <a:pt x="98" y="65"/>
                  <a:pt x="93" y="64"/>
                </a:cubicBezTo>
                <a:cubicBezTo>
                  <a:pt x="76" y="63"/>
                  <a:pt x="76" y="63"/>
                  <a:pt x="76" y="63"/>
                </a:cubicBezTo>
                <a:cubicBezTo>
                  <a:pt x="71" y="62"/>
                  <a:pt x="66" y="61"/>
                  <a:pt x="61" y="60"/>
                </a:cubicBezTo>
                <a:cubicBezTo>
                  <a:pt x="56" y="60"/>
                  <a:pt x="51" y="58"/>
                  <a:pt x="47" y="57"/>
                </a:cubicBezTo>
                <a:cubicBezTo>
                  <a:pt x="42" y="55"/>
                  <a:pt x="39" y="54"/>
                  <a:pt x="35" y="51"/>
                </a:cubicBezTo>
                <a:cubicBezTo>
                  <a:pt x="32" y="49"/>
                  <a:pt x="30" y="46"/>
                  <a:pt x="29" y="44"/>
                </a:cubicBezTo>
                <a:cubicBezTo>
                  <a:pt x="29" y="43"/>
                  <a:pt x="29" y="42"/>
                  <a:pt x="29" y="41"/>
                </a:cubicBezTo>
                <a:cubicBezTo>
                  <a:pt x="29" y="41"/>
                  <a:pt x="29" y="40"/>
                  <a:pt x="29" y="39"/>
                </a:cubicBezTo>
                <a:cubicBezTo>
                  <a:pt x="30" y="38"/>
                  <a:pt x="31" y="36"/>
                  <a:pt x="34" y="34"/>
                </a:cubicBezTo>
                <a:cubicBezTo>
                  <a:pt x="35" y="33"/>
                  <a:pt x="36" y="33"/>
                  <a:pt x="37" y="33"/>
                </a:cubicBezTo>
                <a:cubicBezTo>
                  <a:pt x="37" y="33"/>
                  <a:pt x="37" y="33"/>
                  <a:pt x="37" y="33"/>
                </a:cubicBezTo>
                <a:cubicBezTo>
                  <a:pt x="37" y="33"/>
                  <a:pt x="38" y="33"/>
                  <a:pt x="38" y="33"/>
                </a:cubicBezTo>
                <a:cubicBezTo>
                  <a:pt x="38" y="33"/>
                  <a:pt x="39" y="34"/>
                  <a:pt x="40" y="34"/>
                </a:cubicBezTo>
                <a:cubicBezTo>
                  <a:pt x="40" y="35"/>
                  <a:pt x="41" y="35"/>
                  <a:pt x="41" y="36"/>
                </a:cubicBezTo>
                <a:cubicBezTo>
                  <a:pt x="42" y="36"/>
                  <a:pt x="42" y="36"/>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2" y="37"/>
                  <a:pt x="42" y="37"/>
                  <a:pt x="42" y="37"/>
                </a:cubicBezTo>
                <a:cubicBezTo>
                  <a:pt x="45" y="42"/>
                  <a:pt x="60" y="44"/>
                  <a:pt x="63" y="42"/>
                </a:cubicBezTo>
                <a:cubicBezTo>
                  <a:pt x="70" y="37"/>
                  <a:pt x="72" y="27"/>
                  <a:pt x="67" y="19"/>
                </a:cubicBezTo>
                <a:cubicBezTo>
                  <a:pt x="67" y="19"/>
                  <a:pt x="67" y="19"/>
                  <a:pt x="67" y="19"/>
                </a:cubicBezTo>
                <a:cubicBezTo>
                  <a:pt x="67" y="18"/>
                  <a:pt x="67" y="18"/>
                  <a:pt x="67" y="18"/>
                </a:cubicBezTo>
                <a:cubicBezTo>
                  <a:pt x="66" y="17"/>
                  <a:pt x="66" y="17"/>
                  <a:pt x="66" y="17"/>
                </a:cubicBezTo>
                <a:cubicBezTo>
                  <a:pt x="66" y="17"/>
                  <a:pt x="65" y="16"/>
                  <a:pt x="65" y="16"/>
                </a:cubicBezTo>
                <a:cubicBezTo>
                  <a:pt x="64" y="15"/>
                  <a:pt x="64" y="14"/>
                  <a:pt x="63" y="13"/>
                </a:cubicBezTo>
                <a:cubicBezTo>
                  <a:pt x="62" y="11"/>
                  <a:pt x="60" y="10"/>
                  <a:pt x="58" y="8"/>
                </a:cubicBezTo>
                <a:cubicBezTo>
                  <a:pt x="55" y="5"/>
                  <a:pt x="51" y="2"/>
                  <a:pt x="46" y="1"/>
                </a:cubicBezTo>
                <a:cubicBezTo>
                  <a:pt x="43" y="0"/>
                  <a:pt x="40" y="0"/>
                  <a:pt x="37" y="0"/>
                </a:cubicBezTo>
                <a:cubicBezTo>
                  <a:pt x="35" y="0"/>
                  <a:pt x="33" y="0"/>
                  <a:pt x="31" y="0"/>
                </a:cubicBezTo>
                <a:cubicBezTo>
                  <a:pt x="26" y="1"/>
                  <a:pt x="22" y="3"/>
                  <a:pt x="19" y="6"/>
                </a:cubicBezTo>
                <a:cubicBezTo>
                  <a:pt x="15" y="8"/>
                  <a:pt x="12" y="11"/>
                  <a:pt x="9" y="15"/>
                </a:cubicBezTo>
                <a:cubicBezTo>
                  <a:pt x="6" y="18"/>
                  <a:pt x="4" y="23"/>
                  <a:pt x="2" y="28"/>
                </a:cubicBezTo>
                <a:cubicBezTo>
                  <a:pt x="1" y="33"/>
                  <a:pt x="0" y="38"/>
                  <a:pt x="0" y="44"/>
                </a:cubicBezTo>
                <a:cubicBezTo>
                  <a:pt x="1" y="49"/>
                  <a:pt x="2" y="54"/>
                  <a:pt x="5" y="58"/>
                </a:cubicBezTo>
                <a:cubicBezTo>
                  <a:pt x="7" y="63"/>
                  <a:pt x="9" y="66"/>
                  <a:pt x="12" y="69"/>
                </a:cubicBezTo>
                <a:cubicBezTo>
                  <a:pt x="15" y="72"/>
                  <a:pt x="18" y="75"/>
                  <a:pt x="21" y="77"/>
                </a:cubicBezTo>
                <a:cubicBezTo>
                  <a:pt x="27" y="81"/>
                  <a:pt x="34" y="84"/>
                  <a:pt x="40" y="85"/>
                </a:cubicBezTo>
                <a:cubicBezTo>
                  <a:pt x="46" y="87"/>
                  <a:pt x="52" y="88"/>
                  <a:pt x="58" y="89"/>
                </a:cubicBezTo>
                <a:cubicBezTo>
                  <a:pt x="63" y="90"/>
                  <a:pt x="69" y="90"/>
                  <a:pt x="74" y="91"/>
                </a:cubicBezTo>
                <a:cubicBezTo>
                  <a:pt x="91" y="92"/>
                  <a:pt x="91" y="92"/>
                  <a:pt x="91" y="92"/>
                </a:cubicBezTo>
                <a:cubicBezTo>
                  <a:pt x="96" y="92"/>
                  <a:pt x="101" y="92"/>
                  <a:pt x="106" y="93"/>
                </a:cubicBezTo>
                <a:cubicBezTo>
                  <a:pt x="108" y="94"/>
                  <a:pt x="110" y="94"/>
                  <a:pt x="112"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3" y="95"/>
                </a:cubicBezTo>
                <a:cubicBezTo>
                  <a:pt x="113" y="95"/>
                  <a:pt x="113" y="95"/>
                  <a:pt x="114" y="95"/>
                </a:cubicBezTo>
                <a:cubicBezTo>
                  <a:pt x="114" y="95"/>
                  <a:pt x="114" y="95"/>
                  <a:pt x="114" y="95"/>
                </a:cubicBezTo>
                <a:cubicBezTo>
                  <a:pt x="115" y="96"/>
                  <a:pt x="116" y="96"/>
                  <a:pt x="116" y="97"/>
                </a:cubicBezTo>
                <a:cubicBezTo>
                  <a:pt x="119" y="98"/>
                  <a:pt x="121" y="101"/>
                  <a:pt x="122" y="104"/>
                </a:cubicBezTo>
                <a:cubicBezTo>
                  <a:pt x="123" y="107"/>
                  <a:pt x="123" y="111"/>
                  <a:pt x="122" y="113"/>
                </a:cubicBezTo>
                <a:cubicBezTo>
                  <a:pt x="122" y="114"/>
                  <a:pt x="121" y="115"/>
                  <a:pt x="121" y="116"/>
                </a:cubicBezTo>
                <a:cubicBezTo>
                  <a:pt x="120" y="117"/>
                  <a:pt x="119" y="118"/>
                  <a:pt x="117" y="119"/>
                </a:cubicBezTo>
                <a:cubicBezTo>
                  <a:pt x="116" y="120"/>
                  <a:pt x="116" y="120"/>
                  <a:pt x="115" y="120"/>
                </a:cubicBezTo>
                <a:cubicBezTo>
                  <a:pt x="114" y="121"/>
                  <a:pt x="114" y="121"/>
                  <a:pt x="114" y="121"/>
                </a:cubicBezTo>
                <a:cubicBezTo>
                  <a:pt x="113" y="121"/>
                  <a:pt x="113" y="121"/>
                  <a:pt x="113" y="121"/>
                </a:cubicBezTo>
                <a:cubicBezTo>
                  <a:pt x="111" y="122"/>
                  <a:pt x="111" y="122"/>
                  <a:pt x="111" y="122"/>
                </a:cubicBezTo>
                <a:cubicBezTo>
                  <a:pt x="109" y="122"/>
                  <a:pt x="106" y="123"/>
                  <a:pt x="104" y="124"/>
                </a:cubicBezTo>
                <a:cubicBezTo>
                  <a:pt x="102" y="125"/>
                  <a:pt x="99" y="125"/>
                  <a:pt x="97" y="126"/>
                </a:cubicBezTo>
                <a:cubicBezTo>
                  <a:pt x="97" y="124"/>
                  <a:pt x="97" y="121"/>
                  <a:pt x="97" y="119"/>
                </a:cubicBezTo>
                <a:cubicBezTo>
                  <a:pt x="98" y="111"/>
                  <a:pt x="98" y="103"/>
                  <a:pt x="99" y="94"/>
                </a:cubicBezTo>
                <a:cubicBezTo>
                  <a:pt x="96" y="94"/>
                  <a:pt x="93" y="94"/>
                  <a:pt x="91" y="94"/>
                </a:cubicBezTo>
                <a:cubicBezTo>
                  <a:pt x="91" y="94"/>
                  <a:pt x="91" y="94"/>
                  <a:pt x="91" y="94"/>
                </a:cubicBezTo>
                <a:cubicBezTo>
                  <a:pt x="74" y="93"/>
                  <a:pt x="74" y="93"/>
                  <a:pt x="74" y="93"/>
                </a:cubicBezTo>
                <a:cubicBezTo>
                  <a:pt x="74" y="93"/>
                  <a:pt x="74" y="93"/>
                  <a:pt x="74" y="93"/>
                </a:cubicBezTo>
                <a:cubicBezTo>
                  <a:pt x="74" y="93"/>
                  <a:pt x="74" y="93"/>
                  <a:pt x="74" y="93"/>
                </a:cubicBezTo>
                <a:cubicBezTo>
                  <a:pt x="75" y="101"/>
                  <a:pt x="75" y="110"/>
                  <a:pt x="76" y="119"/>
                </a:cubicBezTo>
                <a:cubicBezTo>
                  <a:pt x="76" y="120"/>
                  <a:pt x="76" y="122"/>
                  <a:pt x="76" y="124"/>
                </a:cubicBezTo>
                <a:cubicBezTo>
                  <a:pt x="79" y="125"/>
                  <a:pt x="82" y="125"/>
                  <a:pt x="85" y="126"/>
                </a:cubicBezTo>
                <a:cubicBezTo>
                  <a:pt x="87" y="127"/>
                  <a:pt x="89" y="127"/>
                  <a:pt x="91" y="128"/>
                </a:cubicBezTo>
                <a:cubicBezTo>
                  <a:pt x="91" y="128"/>
                  <a:pt x="91" y="128"/>
                  <a:pt x="91" y="128"/>
                </a:cubicBezTo>
                <a:cubicBezTo>
                  <a:pt x="93" y="129"/>
                  <a:pt x="95" y="129"/>
                  <a:pt x="97" y="130"/>
                </a:cubicBezTo>
                <a:cubicBezTo>
                  <a:pt x="98" y="130"/>
                  <a:pt x="100" y="131"/>
                  <a:pt x="101" y="131"/>
                </a:cubicBezTo>
                <a:cubicBezTo>
                  <a:pt x="104" y="132"/>
                  <a:pt x="107" y="133"/>
                  <a:pt x="110" y="135"/>
                </a:cubicBezTo>
                <a:cubicBezTo>
                  <a:pt x="111" y="135"/>
                  <a:pt x="113" y="136"/>
                  <a:pt x="114" y="137"/>
                </a:cubicBezTo>
                <a:cubicBezTo>
                  <a:pt x="115" y="137"/>
                  <a:pt x="115" y="137"/>
                  <a:pt x="116" y="138"/>
                </a:cubicBezTo>
                <a:cubicBezTo>
                  <a:pt x="117" y="138"/>
                  <a:pt x="117" y="138"/>
                  <a:pt x="117" y="138"/>
                </a:cubicBezTo>
                <a:cubicBezTo>
                  <a:pt x="117" y="139"/>
                  <a:pt x="117" y="139"/>
                  <a:pt x="117" y="139"/>
                </a:cubicBezTo>
                <a:cubicBezTo>
                  <a:pt x="118" y="139"/>
                  <a:pt x="118" y="139"/>
                  <a:pt x="118" y="139"/>
                </a:cubicBezTo>
                <a:cubicBezTo>
                  <a:pt x="119" y="139"/>
                  <a:pt x="119" y="139"/>
                  <a:pt x="119" y="139"/>
                </a:cubicBezTo>
                <a:cubicBezTo>
                  <a:pt x="120" y="140"/>
                  <a:pt x="121" y="141"/>
                  <a:pt x="123" y="142"/>
                </a:cubicBezTo>
                <a:cubicBezTo>
                  <a:pt x="124" y="142"/>
                  <a:pt x="125" y="141"/>
                  <a:pt x="127" y="141"/>
                </a:cubicBezTo>
                <a:cubicBezTo>
                  <a:pt x="130" y="139"/>
                  <a:pt x="133" y="136"/>
                  <a:pt x="136" y="133"/>
                </a:cubicBezTo>
                <a:cubicBezTo>
                  <a:pt x="139" y="130"/>
                  <a:pt x="141" y="126"/>
                  <a:pt x="143" y="122"/>
                </a:cubicBezTo>
                <a:cubicBezTo>
                  <a:pt x="145" y="117"/>
                  <a:pt x="145" y="113"/>
                  <a:pt x="145" y="108"/>
                </a:cubicBezTo>
                <a:cubicBezTo>
                  <a:pt x="145" y="104"/>
                  <a:pt x="145" y="100"/>
                  <a:pt x="143" y="95"/>
                </a:cubicBezTo>
                <a:cubicBezTo>
                  <a:pt x="141" y="87"/>
                  <a:pt x="136" y="80"/>
                  <a:pt x="130" y="75"/>
                </a:cubicBezTo>
                <a:close/>
                <a:moveTo>
                  <a:pt x="53" y="17"/>
                </a:moveTo>
                <a:cubicBezTo>
                  <a:pt x="54" y="16"/>
                  <a:pt x="59" y="19"/>
                  <a:pt x="60" y="20"/>
                </a:cubicBezTo>
                <a:cubicBezTo>
                  <a:pt x="61" y="21"/>
                  <a:pt x="61" y="23"/>
                  <a:pt x="60" y="24"/>
                </a:cubicBezTo>
                <a:cubicBezTo>
                  <a:pt x="59" y="25"/>
                  <a:pt x="58" y="25"/>
                  <a:pt x="57" y="24"/>
                </a:cubicBezTo>
                <a:cubicBezTo>
                  <a:pt x="56" y="23"/>
                  <a:pt x="52" y="18"/>
                  <a:pt x="53"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72">
            <a:extLst>
              <a:ext uri="{FF2B5EF4-FFF2-40B4-BE49-F238E27FC236}">
                <a16:creationId xmlns:a16="http://schemas.microsoft.com/office/drawing/2014/main" id="{00000000-0008-0000-0400-000049000000}"/>
              </a:ext>
            </a:extLst>
          </xdr:cNvPr>
          <xdr:cNvSpPr>
            <a:spLocks noEditPoints="1"/>
          </xdr:cNvSpPr>
        </xdr:nvSpPr>
        <xdr:spPr bwMode="auto">
          <a:xfrm>
            <a:off x="2709863" y="2154238"/>
            <a:ext cx="280988" cy="554038"/>
          </a:xfrm>
          <a:custGeom>
            <a:avLst/>
            <a:gdLst>
              <a:gd name="T0" fmla="*/ 101 w 120"/>
              <a:gd name="T1" fmla="*/ 158 h 235"/>
              <a:gd name="T2" fmla="*/ 83 w 120"/>
              <a:gd name="T3" fmla="*/ 152 h 235"/>
              <a:gd name="T4" fmla="*/ 62 w 120"/>
              <a:gd name="T5" fmla="*/ 160 h 235"/>
              <a:gd name="T6" fmla="*/ 55 w 120"/>
              <a:gd name="T7" fmla="*/ 168 h 235"/>
              <a:gd name="T8" fmla="*/ 53 w 120"/>
              <a:gd name="T9" fmla="*/ 170 h 235"/>
              <a:gd name="T10" fmla="*/ 53 w 120"/>
              <a:gd name="T11" fmla="*/ 171 h 235"/>
              <a:gd name="T12" fmla="*/ 78 w 120"/>
              <a:gd name="T13" fmla="*/ 189 h 235"/>
              <a:gd name="T14" fmla="*/ 78 w 120"/>
              <a:gd name="T15" fmla="*/ 189 h 235"/>
              <a:gd name="T16" fmla="*/ 78 w 120"/>
              <a:gd name="T17" fmla="*/ 189 h 235"/>
              <a:gd name="T18" fmla="*/ 79 w 120"/>
              <a:gd name="T19" fmla="*/ 188 h 235"/>
              <a:gd name="T20" fmla="*/ 82 w 120"/>
              <a:gd name="T21" fmla="*/ 185 h 235"/>
              <a:gd name="T22" fmla="*/ 83 w 120"/>
              <a:gd name="T23" fmla="*/ 185 h 235"/>
              <a:gd name="T24" fmla="*/ 91 w 120"/>
              <a:gd name="T25" fmla="*/ 191 h 235"/>
              <a:gd name="T26" fmla="*/ 91 w 120"/>
              <a:gd name="T27" fmla="*/ 196 h 235"/>
              <a:gd name="T28" fmla="*/ 73 w 120"/>
              <a:gd name="T29" fmla="*/ 209 h 235"/>
              <a:gd name="T30" fmla="*/ 47 w 120"/>
              <a:gd name="T31" fmla="*/ 214 h 235"/>
              <a:gd name="T32" fmla="*/ 48 w 120"/>
              <a:gd name="T33" fmla="*/ 192 h 235"/>
              <a:gd name="T34" fmla="*/ 47 w 120"/>
              <a:gd name="T35" fmla="*/ 162 h 235"/>
              <a:gd name="T36" fmla="*/ 47 w 120"/>
              <a:gd name="T37" fmla="*/ 139 h 235"/>
              <a:gd name="T38" fmla="*/ 52 w 120"/>
              <a:gd name="T39" fmla="*/ 116 h 235"/>
              <a:gd name="T40" fmla="*/ 53 w 120"/>
              <a:gd name="T41" fmla="*/ 105 h 235"/>
              <a:gd name="T42" fmla="*/ 45 w 120"/>
              <a:gd name="T43" fmla="*/ 85 h 235"/>
              <a:gd name="T44" fmla="*/ 48 w 120"/>
              <a:gd name="T45" fmla="*/ 73 h 235"/>
              <a:gd name="T46" fmla="*/ 51 w 120"/>
              <a:gd name="T47" fmla="*/ 69 h 235"/>
              <a:gd name="T48" fmla="*/ 62 w 120"/>
              <a:gd name="T49" fmla="*/ 54 h 235"/>
              <a:gd name="T50" fmla="*/ 67 w 120"/>
              <a:gd name="T51" fmla="*/ 34 h 235"/>
              <a:gd name="T52" fmla="*/ 0 w 120"/>
              <a:gd name="T53" fmla="*/ 34 h 235"/>
              <a:gd name="T54" fmla="*/ 5 w 120"/>
              <a:gd name="T55" fmla="*/ 54 h 235"/>
              <a:gd name="T56" fmla="*/ 16 w 120"/>
              <a:gd name="T57" fmla="*/ 69 h 235"/>
              <a:gd name="T58" fmla="*/ 19 w 120"/>
              <a:gd name="T59" fmla="*/ 73 h 235"/>
              <a:gd name="T60" fmla="*/ 22 w 120"/>
              <a:gd name="T61" fmla="*/ 85 h 235"/>
              <a:gd name="T62" fmla="*/ 14 w 120"/>
              <a:gd name="T63" fmla="*/ 105 h 235"/>
              <a:gd name="T64" fmla="*/ 15 w 120"/>
              <a:gd name="T65" fmla="*/ 116 h 235"/>
              <a:gd name="T66" fmla="*/ 20 w 120"/>
              <a:gd name="T67" fmla="*/ 139 h 235"/>
              <a:gd name="T68" fmla="*/ 20 w 120"/>
              <a:gd name="T69" fmla="*/ 162 h 235"/>
              <a:gd name="T70" fmla="*/ 19 w 120"/>
              <a:gd name="T71" fmla="*/ 192 h 235"/>
              <a:gd name="T72" fmla="*/ 20 w 120"/>
              <a:gd name="T73" fmla="*/ 212 h 235"/>
              <a:gd name="T74" fmla="*/ 24 w 120"/>
              <a:gd name="T75" fmla="*/ 213 h 235"/>
              <a:gd name="T76" fmla="*/ 40 w 120"/>
              <a:gd name="T77" fmla="*/ 214 h 235"/>
              <a:gd name="T78" fmla="*/ 47 w 120"/>
              <a:gd name="T79" fmla="*/ 215 h 235"/>
              <a:gd name="T80" fmla="*/ 67 w 120"/>
              <a:gd name="T81" fmla="*/ 219 h 235"/>
              <a:gd name="T82" fmla="*/ 68 w 120"/>
              <a:gd name="T83" fmla="*/ 220 h 235"/>
              <a:gd name="T84" fmla="*/ 69 w 120"/>
              <a:gd name="T85" fmla="*/ 220 h 235"/>
              <a:gd name="T86" fmla="*/ 71 w 120"/>
              <a:gd name="T87" fmla="*/ 221 h 235"/>
              <a:gd name="T88" fmla="*/ 78 w 120"/>
              <a:gd name="T89" fmla="*/ 225 h 235"/>
              <a:gd name="T90" fmla="*/ 99 w 120"/>
              <a:gd name="T91" fmla="*/ 229 h 235"/>
              <a:gd name="T92" fmla="*/ 116 w 120"/>
              <a:gd name="T93" fmla="*/ 210 h 235"/>
              <a:gd name="T94" fmla="*/ 118 w 120"/>
              <a:gd name="T95" fmla="*/ 180 h 235"/>
              <a:gd name="T96" fmla="*/ 64 w 120"/>
              <a:gd name="T97" fmla="*/ 176 h 235"/>
              <a:gd name="T98" fmla="*/ 60 w 120"/>
              <a:gd name="T99" fmla="*/ 172 h 235"/>
              <a:gd name="T100" fmla="*/ 64 w 120"/>
              <a:gd name="T101" fmla="*/ 176 h 23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120" h="235">
                <a:moveTo>
                  <a:pt x="111" y="167"/>
                </a:moveTo>
                <a:cubicBezTo>
                  <a:pt x="108" y="163"/>
                  <a:pt x="105" y="160"/>
                  <a:pt x="101" y="158"/>
                </a:cubicBezTo>
                <a:cubicBezTo>
                  <a:pt x="98" y="155"/>
                  <a:pt x="94" y="153"/>
                  <a:pt x="89" y="152"/>
                </a:cubicBezTo>
                <a:cubicBezTo>
                  <a:pt x="87" y="152"/>
                  <a:pt x="85" y="152"/>
                  <a:pt x="83" y="152"/>
                </a:cubicBezTo>
                <a:cubicBezTo>
                  <a:pt x="80" y="152"/>
                  <a:pt x="77" y="152"/>
                  <a:pt x="74" y="153"/>
                </a:cubicBezTo>
                <a:cubicBezTo>
                  <a:pt x="69" y="154"/>
                  <a:pt x="65" y="157"/>
                  <a:pt x="62" y="160"/>
                </a:cubicBezTo>
                <a:cubicBezTo>
                  <a:pt x="60" y="162"/>
                  <a:pt x="58" y="163"/>
                  <a:pt x="57" y="165"/>
                </a:cubicBezTo>
                <a:cubicBezTo>
                  <a:pt x="56" y="166"/>
                  <a:pt x="56" y="167"/>
                  <a:pt x="55" y="168"/>
                </a:cubicBezTo>
                <a:cubicBezTo>
                  <a:pt x="55" y="168"/>
                  <a:pt x="54" y="169"/>
                  <a:pt x="54" y="169"/>
                </a:cubicBezTo>
                <a:cubicBezTo>
                  <a:pt x="53" y="170"/>
                  <a:pt x="53" y="170"/>
                  <a:pt x="53" y="170"/>
                </a:cubicBezTo>
                <a:cubicBezTo>
                  <a:pt x="53" y="171"/>
                  <a:pt x="53" y="171"/>
                  <a:pt x="53" y="171"/>
                </a:cubicBezTo>
                <a:cubicBezTo>
                  <a:pt x="53" y="171"/>
                  <a:pt x="53" y="171"/>
                  <a:pt x="53" y="171"/>
                </a:cubicBezTo>
                <a:cubicBezTo>
                  <a:pt x="48" y="179"/>
                  <a:pt x="50" y="189"/>
                  <a:pt x="57" y="194"/>
                </a:cubicBezTo>
                <a:cubicBezTo>
                  <a:pt x="60" y="196"/>
                  <a:pt x="75" y="194"/>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9"/>
                  <a:pt x="78" y="189"/>
                  <a:pt x="78" y="189"/>
                </a:cubicBezTo>
                <a:cubicBezTo>
                  <a:pt x="78" y="188"/>
                  <a:pt x="78" y="188"/>
                  <a:pt x="79" y="188"/>
                </a:cubicBezTo>
                <a:cubicBezTo>
                  <a:pt x="79" y="187"/>
                  <a:pt x="80" y="187"/>
                  <a:pt x="80" y="186"/>
                </a:cubicBezTo>
                <a:cubicBezTo>
                  <a:pt x="81" y="186"/>
                  <a:pt x="82" y="185"/>
                  <a:pt x="82" y="185"/>
                </a:cubicBezTo>
                <a:cubicBezTo>
                  <a:pt x="82" y="185"/>
                  <a:pt x="83" y="185"/>
                  <a:pt x="83" y="185"/>
                </a:cubicBezTo>
                <a:cubicBezTo>
                  <a:pt x="83" y="185"/>
                  <a:pt x="83" y="185"/>
                  <a:pt x="83" y="185"/>
                </a:cubicBezTo>
                <a:cubicBezTo>
                  <a:pt x="84" y="185"/>
                  <a:pt x="85" y="185"/>
                  <a:pt x="86" y="186"/>
                </a:cubicBezTo>
                <a:cubicBezTo>
                  <a:pt x="89" y="188"/>
                  <a:pt x="90" y="190"/>
                  <a:pt x="91" y="191"/>
                </a:cubicBezTo>
                <a:cubicBezTo>
                  <a:pt x="91" y="192"/>
                  <a:pt x="91" y="193"/>
                  <a:pt x="91" y="193"/>
                </a:cubicBezTo>
                <a:cubicBezTo>
                  <a:pt x="91" y="194"/>
                  <a:pt x="91" y="195"/>
                  <a:pt x="91" y="196"/>
                </a:cubicBezTo>
                <a:cubicBezTo>
                  <a:pt x="90" y="198"/>
                  <a:pt x="88" y="201"/>
                  <a:pt x="85" y="203"/>
                </a:cubicBezTo>
                <a:cubicBezTo>
                  <a:pt x="82" y="206"/>
                  <a:pt x="78" y="207"/>
                  <a:pt x="73" y="209"/>
                </a:cubicBezTo>
                <a:cubicBezTo>
                  <a:pt x="69" y="210"/>
                  <a:pt x="64" y="212"/>
                  <a:pt x="59" y="212"/>
                </a:cubicBezTo>
                <a:cubicBezTo>
                  <a:pt x="55" y="213"/>
                  <a:pt x="51" y="214"/>
                  <a:pt x="47" y="214"/>
                </a:cubicBezTo>
                <a:cubicBezTo>
                  <a:pt x="47" y="212"/>
                  <a:pt x="47" y="209"/>
                  <a:pt x="47" y="207"/>
                </a:cubicBezTo>
                <a:cubicBezTo>
                  <a:pt x="48" y="202"/>
                  <a:pt x="48" y="197"/>
                  <a:pt x="48" y="192"/>
                </a:cubicBezTo>
                <a:cubicBezTo>
                  <a:pt x="48" y="187"/>
                  <a:pt x="48" y="182"/>
                  <a:pt x="48" y="177"/>
                </a:cubicBezTo>
                <a:cubicBezTo>
                  <a:pt x="47" y="162"/>
                  <a:pt x="47" y="162"/>
                  <a:pt x="47" y="162"/>
                </a:cubicBezTo>
                <a:cubicBezTo>
                  <a:pt x="47" y="157"/>
                  <a:pt x="46" y="152"/>
                  <a:pt x="47" y="147"/>
                </a:cubicBezTo>
                <a:cubicBezTo>
                  <a:pt x="47" y="144"/>
                  <a:pt x="47" y="142"/>
                  <a:pt x="47" y="139"/>
                </a:cubicBezTo>
                <a:cubicBezTo>
                  <a:pt x="48" y="137"/>
                  <a:pt x="48" y="134"/>
                  <a:pt x="49" y="132"/>
                </a:cubicBezTo>
                <a:cubicBezTo>
                  <a:pt x="50" y="126"/>
                  <a:pt x="51" y="121"/>
                  <a:pt x="52" y="116"/>
                </a:cubicBezTo>
                <a:cubicBezTo>
                  <a:pt x="52" y="114"/>
                  <a:pt x="53" y="111"/>
                  <a:pt x="53" y="108"/>
                </a:cubicBezTo>
                <a:cubicBezTo>
                  <a:pt x="53" y="107"/>
                  <a:pt x="53" y="106"/>
                  <a:pt x="53" y="105"/>
                </a:cubicBezTo>
                <a:cubicBezTo>
                  <a:pt x="53" y="103"/>
                  <a:pt x="52" y="102"/>
                  <a:pt x="52" y="101"/>
                </a:cubicBezTo>
                <a:cubicBezTo>
                  <a:pt x="50" y="96"/>
                  <a:pt x="46" y="90"/>
                  <a:pt x="45" y="85"/>
                </a:cubicBezTo>
                <a:cubicBezTo>
                  <a:pt x="44" y="83"/>
                  <a:pt x="45" y="80"/>
                  <a:pt x="46" y="77"/>
                </a:cubicBezTo>
                <a:cubicBezTo>
                  <a:pt x="46" y="76"/>
                  <a:pt x="47" y="75"/>
                  <a:pt x="48" y="73"/>
                </a:cubicBezTo>
                <a:cubicBezTo>
                  <a:pt x="48" y="73"/>
                  <a:pt x="49" y="72"/>
                  <a:pt x="49" y="71"/>
                </a:cubicBezTo>
                <a:cubicBezTo>
                  <a:pt x="50" y="71"/>
                  <a:pt x="50" y="70"/>
                  <a:pt x="51" y="69"/>
                </a:cubicBezTo>
                <a:cubicBezTo>
                  <a:pt x="53" y="67"/>
                  <a:pt x="56" y="64"/>
                  <a:pt x="58" y="62"/>
                </a:cubicBezTo>
                <a:cubicBezTo>
                  <a:pt x="60" y="59"/>
                  <a:pt x="62" y="56"/>
                  <a:pt x="62" y="54"/>
                </a:cubicBezTo>
                <a:cubicBezTo>
                  <a:pt x="63" y="53"/>
                  <a:pt x="63" y="51"/>
                  <a:pt x="63" y="50"/>
                </a:cubicBezTo>
                <a:cubicBezTo>
                  <a:pt x="66" y="45"/>
                  <a:pt x="67" y="40"/>
                  <a:pt x="67" y="34"/>
                </a:cubicBezTo>
                <a:cubicBezTo>
                  <a:pt x="67" y="15"/>
                  <a:pt x="52" y="0"/>
                  <a:pt x="34" y="0"/>
                </a:cubicBezTo>
                <a:cubicBezTo>
                  <a:pt x="15" y="0"/>
                  <a:pt x="0" y="15"/>
                  <a:pt x="0" y="34"/>
                </a:cubicBezTo>
                <a:cubicBezTo>
                  <a:pt x="0" y="40"/>
                  <a:pt x="1" y="45"/>
                  <a:pt x="4" y="50"/>
                </a:cubicBezTo>
                <a:cubicBezTo>
                  <a:pt x="4" y="51"/>
                  <a:pt x="4" y="53"/>
                  <a:pt x="5" y="54"/>
                </a:cubicBezTo>
                <a:cubicBezTo>
                  <a:pt x="5" y="56"/>
                  <a:pt x="7" y="59"/>
                  <a:pt x="9" y="62"/>
                </a:cubicBezTo>
                <a:cubicBezTo>
                  <a:pt x="11" y="64"/>
                  <a:pt x="14" y="67"/>
                  <a:pt x="16" y="69"/>
                </a:cubicBezTo>
                <a:cubicBezTo>
                  <a:pt x="17" y="70"/>
                  <a:pt x="17" y="71"/>
                  <a:pt x="18" y="71"/>
                </a:cubicBezTo>
                <a:cubicBezTo>
                  <a:pt x="18" y="72"/>
                  <a:pt x="19" y="73"/>
                  <a:pt x="19" y="73"/>
                </a:cubicBezTo>
                <a:cubicBezTo>
                  <a:pt x="20" y="75"/>
                  <a:pt x="21" y="76"/>
                  <a:pt x="21" y="77"/>
                </a:cubicBezTo>
                <a:cubicBezTo>
                  <a:pt x="22" y="80"/>
                  <a:pt x="22" y="83"/>
                  <a:pt x="22" y="85"/>
                </a:cubicBezTo>
                <a:cubicBezTo>
                  <a:pt x="21" y="90"/>
                  <a:pt x="17" y="96"/>
                  <a:pt x="15" y="101"/>
                </a:cubicBezTo>
                <a:cubicBezTo>
                  <a:pt x="15" y="102"/>
                  <a:pt x="14" y="103"/>
                  <a:pt x="14" y="105"/>
                </a:cubicBezTo>
                <a:cubicBezTo>
                  <a:pt x="14" y="106"/>
                  <a:pt x="14" y="107"/>
                  <a:pt x="14" y="108"/>
                </a:cubicBezTo>
                <a:cubicBezTo>
                  <a:pt x="14" y="111"/>
                  <a:pt x="15" y="114"/>
                  <a:pt x="15" y="116"/>
                </a:cubicBezTo>
                <a:cubicBezTo>
                  <a:pt x="16" y="121"/>
                  <a:pt x="17" y="126"/>
                  <a:pt x="18" y="132"/>
                </a:cubicBezTo>
                <a:cubicBezTo>
                  <a:pt x="19" y="134"/>
                  <a:pt x="19" y="137"/>
                  <a:pt x="20" y="139"/>
                </a:cubicBezTo>
                <a:cubicBezTo>
                  <a:pt x="20" y="142"/>
                  <a:pt x="20" y="144"/>
                  <a:pt x="20" y="147"/>
                </a:cubicBezTo>
                <a:cubicBezTo>
                  <a:pt x="21" y="152"/>
                  <a:pt x="20" y="157"/>
                  <a:pt x="20" y="162"/>
                </a:cubicBezTo>
                <a:cubicBezTo>
                  <a:pt x="19" y="177"/>
                  <a:pt x="19" y="177"/>
                  <a:pt x="19" y="177"/>
                </a:cubicBezTo>
                <a:cubicBezTo>
                  <a:pt x="19" y="182"/>
                  <a:pt x="19" y="187"/>
                  <a:pt x="19" y="192"/>
                </a:cubicBezTo>
                <a:cubicBezTo>
                  <a:pt x="19" y="197"/>
                  <a:pt x="19" y="202"/>
                  <a:pt x="19" y="207"/>
                </a:cubicBezTo>
                <a:cubicBezTo>
                  <a:pt x="20" y="209"/>
                  <a:pt x="20" y="211"/>
                  <a:pt x="20" y="212"/>
                </a:cubicBezTo>
                <a:cubicBezTo>
                  <a:pt x="21" y="212"/>
                  <a:pt x="22" y="213"/>
                  <a:pt x="24" y="213"/>
                </a:cubicBezTo>
                <a:cubicBezTo>
                  <a:pt x="24" y="213"/>
                  <a:pt x="24" y="213"/>
                  <a:pt x="24" y="213"/>
                </a:cubicBezTo>
                <a:cubicBezTo>
                  <a:pt x="40" y="214"/>
                  <a:pt x="40" y="214"/>
                  <a:pt x="40" y="214"/>
                </a:cubicBezTo>
                <a:cubicBezTo>
                  <a:pt x="40" y="214"/>
                  <a:pt x="40" y="214"/>
                  <a:pt x="40" y="214"/>
                </a:cubicBezTo>
                <a:cubicBezTo>
                  <a:pt x="42" y="214"/>
                  <a:pt x="45" y="215"/>
                  <a:pt x="47" y="215"/>
                </a:cubicBezTo>
                <a:cubicBezTo>
                  <a:pt x="47" y="215"/>
                  <a:pt x="47" y="215"/>
                  <a:pt x="47" y="215"/>
                </a:cubicBezTo>
                <a:cubicBezTo>
                  <a:pt x="50" y="215"/>
                  <a:pt x="54" y="216"/>
                  <a:pt x="57" y="217"/>
                </a:cubicBezTo>
                <a:cubicBezTo>
                  <a:pt x="60" y="217"/>
                  <a:pt x="63" y="218"/>
                  <a:pt x="67" y="219"/>
                </a:cubicBezTo>
                <a:cubicBezTo>
                  <a:pt x="68" y="220"/>
                  <a:pt x="68" y="220"/>
                  <a:pt x="68" y="220"/>
                </a:cubicBezTo>
                <a:cubicBezTo>
                  <a:pt x="68" y="220"/>
                  <a:pt x="68" y="220"/>
                  <a:pt x="68" y="220"/>
                </a:cubicBezTo>
                <a:cubicBezTo>
                  <a:pt x="68" y="220"/>
                  <a:pt x="68" y="220"/>
                  <a:pt x="68" y="220"/>
                </a:cubicBezTo>
                <a:cubicBezTo>
                  <a:pt x="69" y="220"/>
                  <a:pt x="69" y="220"/>
                  <a:pt x="69" y="220"/>
                </a:cubicBezTo>
                <a:cubicBezTo>
                  <a:pt x="70" y="220"/>
                  <a:pt x="70" y="220"/>
                  <a:pt x="70" y="220"/>
                </a:cubicBezTo>
                <a:cubicBezTo>
                  <a:pt x="70" y="221"/>
                  <a:pt x="71" y="221"/>
                  <a:pt x="71" y="221"/>
                </a:cubicBezTo>
                <a:cubicBezTo>
                  <a:pt x="72" y="221"/>
                  <a:pt x="72" y="222"/>
                  <a:pt x="73" y="222"/>
                </a:cubicBezTo>
                <a:cubicBezTo>
                  <a:pt x="74" y="223"/>
                  <a:pt x="76" y="224"/>
                  <a:pt x="78" y="225"/>
                </a:cubicBezTo>
                <a:cubicBezTo>
                  <a:pt x="81" y="228"/>
                  <a:pt x="84" y="231"/>
                  <a:pt x="87" y="235"/>
                </a:cubicBezTo>
                <a:cubicBezTo>
                  <a:pt x="91" y="234"/>
                  <a:pt x="95" y="232"/>
                  <a:pt x="99" y="229"/>
                </a:cubicBezTo>
                <a:cubicBezTo>
                  <a:pt x="102" y="227"/>
                  <a:pt x="105" y="224"/>
                  <a:pt x="108" y="221"/>
                </a:cubicBezTo>
                <a:cubicBezTo>
                  <a:pt x="111" y="218"/>
                  <a:pt x="113" y="215"/>
                  <a:pt x="116" y="210"/>
                </a:cubicBezTo>
                <a:cubicBezTo>
                  <a:pt x="118" y="206"/>
                  <a:pt x="119" y="201"/>
                  <a:pt x="120" y="196"/>
                </a:cubicBezTo>
                <a:cubicBezTo>
                  <a:pt x="120" y="190"/>
                  <a:pt x="119" y="185"/>
                  <a:pt x="118" y="180"/>
                </a:cubicBezTo>
                <a:cubicBezTo>
                  <a:pt x="116" y="175"/>
                  <a:pt x="114" y="170"/>
                  <a:pt x="111" y="167"/>
                </a:cubicBezTo>
                <a:close/>
                <a:moveTo>
                  <a:pt x="64" y="176"/>
                </a:moveTo>
                <a:cubicBezTo>
                  <a:pt x="63" y="177"/>
                  <a:pt x="61" y="177"/>
                  <a:pt x="60" y="176"/>
                </a:cubicBezTo>
                <a:cubicBezTo>
                  <a:pt x="59" y="175"/>
                  <a:pt x="59" y="173"/>
                  <a:pt x="60" y="172"/>
                </a:cubicBezTo>
                <a:cubicBezTo>
                  <a:pt x="61" y="171"/>
                  <a:pt x="66" y="168"/>
                  <a:pt x="67" y="169"/>
                </a:cubicBezTo>
                <a:cubicBezTo>
                  <a:pt x="68" y="170"/>
                  <a:pt x="65" y="175"/>
                  <a:pt x="64" y="17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651125" y="2714625"/>
            <a:ext cx="241300" cy="473075"/>
          </a:xfrm>
          <a:custGeom>
            <a:avLst/>
            <a:gdLst>
              <a:gd name="T0" fmla="*/ 88 w 103"/>
              <a:gd name="T1" fmla="*/ 54 h 201"/>
              <a:gd name="T2" fmla="*/ 57 w 103"/>
              <a:gd name="T3" fmla="*/ 42 h 201"/>
              <a:gd name="T4" fmla="*/ 30 w 103"/>
              <a:gd name="T5" fmla="*/ 34 h 201"/>
              <a:gd name="T6" fmla="*/ 29 w 103"/>
              <a:gd name="T7" fmla="*/ 11 h 201"/>
              <a:gd name="T8" fmla="*/ 32 w 103"/>
              <a:gd name="T9" fmla="*/ 9 h 201"/>
              <a:gd name="T10" fmla="*/ 33 w 103"/>
              <a:gd name="T11" fmla="*/ 9 h 201"/>
              <a:gd name="T12" fmla="*/ 6 w 103"/>
              <a:gd name="T13" fmla="*/ 0 h 201"/>
              <a:gd name="T14" fmla="*/ 19 w 103"/>
              <a:gd name="T15" fmla="*/ 55 h 201"/>
              <a:gd name="T16" fmla="*/ 36 w 103"/>
              <a:gd name="T17" fmla="*/ 60 h 201"/>
              <a:gd name="T18" fmla="*/ 79 w 103"/>
              <a:gd name="T19" fmla="*/ 72 h 201"/>
              <a:gd name="T20" fmla="*/ 79 w 103"/>
              <a:gd name="T21" fmla="*/ 73 h 201"/>
              <a:gd name="T22" fmla="*/ 79 w 103"/>
              <a:gd name="T23" fmla="*/ 88 h 201"/>
              <a:gd name="T24" fmla="*/ 67 w 103"/>
              <a:gd name="T25" fmla="*/ 70 h 201"/>
              <a:gd name="T26" fmla="*/ 52 w 103"/>
              <a:gd name="T27" fmla="*/ 66 h 201"/>
              <a:gd name="T28" fmla="*/ 28 w 103"/>
              <a:gd name="T29" fmla="*/ 60 h 201"/>
              <a:gd name="T30" fmla="*/ 19 w 103"/>
              <a:gd name="T31" fmla="*/ 64 h 201"/>
              <a:gd name="T32" fmla="*/ 31 w 103"/>
              <a:gd name="T33" fmla="*/ 106 h 201"/>
              <a:gd name="T34" fmla="*/ 65 w 103"/>
              <a:gd name="T35" fmla="*/ 114 h 201"/>
              <a:gd name="T36" fmla="*/ 73 w 103"/>
              <a:gd name="T37" fmla="*/ 133 h 201"/>
              <a:gd name="T38" fmla="*/ 65 w 103"/>
              <a:gd name="T39" fmla="*/ 116 h 201"/>
              <a:gd name="T40" fmla="*/ 41 w 103"/>
              <a:gd name="T41" fmla="*/ 111 h 201"/>
              <a:gd name="T42" fmla="*/ 27 w 103"/>
              <a:gd name="T43" fmla="*/ 133 h 201"/>
              <a:gd name="T44" fmla="*/ 43 w 103"/>
              <a:gd name="T45" fmla="*/ 148 h 201"/>
              <a:gd name="T46" fmla="*/ 68 w 103"/>
              <a:gd name="T47" fmla="*/ 158 h 201"/>
              <a:gd name="T48" fmla="*/ 72 w 103"/>
              <a:gd name="T49" fmla="*/ 168 h 201"/>
              <a:gd name="T50" fmla="*/ 58 w 103"/>
              <a:gd name="T51" fmla="*/ 154 h 201"/>
              <a:gd name="T52" fmla="*/ 55 w 103"/>
              <a:gd name="T53" fmla="*/ 154 h 201"/>
              <a:gd name="T54" fmla="*/ 52 w 103"/>
              <a:gd name="T55" fmla="*/ 153 h 201"/>
              <a:gd name="T56" fmla="*/ 39 w 103"/>
              <a:gd name="T57" fmla="*/ 151 h 201"/>
              <a:gd name="T58" fmla="*/ 58 w 103"/>
              <a:gd name="T59" fmla="*/ 188 h 201"/>
              <a:gd name="T60" fmla="*/ 85 w 103"/>
              <a:gd name="T61" fmla="*/ 196 h 201"/>
              <a:gd name="T62" fmla="*/ 61 w 103"/>
              <a:gd name="T63" fmla="*/ 180 h 201"/>
              <a:gd name="T64" fmla="*/ 48 w 103"/>
              <a:gd name="T65" fmla="*/ 159 h 201"/>
              <a:gd name="T66" fmla="*/ 53 w 103"/>
              <a:gd name="T67" fmla="*/ 155 h 201"/>
              <a:gd name="T68" fmla="*/ 62 w 103"/>
              <a:gd name="T69" fmla="*/ 178 h 201"/>
              <a:gd name="T70" fmla="*/ 62 w 103"/>
              <a:gd name="T71" fmla="*/ 178 h 201"/>
              <a:gd name="T72" fmla="*/ 83 w 103"/>
              <a:gd name="T73" fmla="*/ 167 h 201"/>
              <a:gd name="T74" fmla="*/ 76 w 103"/>
              <a:gd name="T75" fmla="*/ 149 h 201"/>
              <a:gd name="T76" fmla="*/ 48 w 103"/>
              <a:gd name="T77" fmla="*/ 135 h 201"/>
              <a:gd name="T78" fmla="*/ 40 w 103"/>
              <a:gd name="T79" fmla="*/ 128 h 201"/>
              <a:gd name="T80" fmla="*/ 55 w 103"/>
              <a:gd name="T81" fmla="*/ 136 h 201"/>
              <a:gd name="T82" fmla="*/ 76 w 103"/>
              <a:gd name="T83" fmla="*/ 146 h 201"/>
              <a:gd name="T84" fmla="*/ 83 w 103"/>
              <a:gd name="T85" fmla="*/ 143 h 201"/>
              <a:gd name="T86" fmla="*/ 82 w 103"/>
              <a:gd name="T87" fmla="*/ 104 h 201"/>
              <a:gd name="T88" fmla="*/ 78 w 103"/>
              <a:gd name="T89" fmla="*/ 102 h 201"/>
              <a:gd name="T90" fmla="*/ 38 w 103"/>
              <a:gd name="T91" fmla="*/ 89 h 201"/>
              <a:gd name="T92" fmla="*/ 37 w 103"/>
              <a:gd name="T93" fmla="*/ 73 h 201"/>
              <a:gd name="T94" fmla="*/ 38 w 103"/>
              <a:gd name="T95" fmla="*/ 72 h 201"/>
              <a:gd name="T96" fmla="*/ 51 w 103"/>
              <a:gd name="T97" fmla="*/ 91 h 201"/>
              <a:gd name="T98" fmla="*/ 66 w 103"/>
              <a:gd name="T99" fmla="*/ 95 h 201"/>
              <a:gd name="T100" fmla="*/ 82 w 103"/>
              <a:gd name="T101" fmla="*/ 102 h 201"/>
              <a:gd name="T102" fmla="*/ 86 w 103"/>
              <a:gd name="T103" fmla="*/ 106 h 201"/>
              <a:gd name="T104" fmla="*/ 98 w 103"/>
              <a:gd name="T105" fmla="*/ 64 h 20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03" h="201">
                <a:moveTo>
                  <a:pt x="98" y="64"/>
                </a:moveTo>
                <a:cubicBezTo>
                  <a:pt x="96" y="60"/>
                  <a:pt x="93" y="57"/>
                  <a:pt x="90" y="55"/>
                </a:cubicBezTo>
                <a:cubicBezTo>
                  <a:pt x="89" y="55"/>
                  <a:pt x="89" y="55"/>
                  <a:pt x="89" y="55"/>
                </a:cubicBezTo>
                <a:cubicBezTo>
                  <a:pt x="88" y="54"/>
                  <a:pt x="88" y="54"/>
                  <a:pt x="88" y="54"/>
                </a:cubicBezTo>
                <a:cubicBezTo>
                  <a:pt x="88" y="54"/>
                  <a:pt x="88" y="54"/>
                  <a:pt x="88" y="54"/>
                </a:cubicBezTo>
                <a:cubicBezTo>
                  <a:pt x="87" y="54"/>
                  <a:pt x="87" y="54"/>
                  <a:pt x="87" y="54"/>
                </a:cubicBezTo>
                <a:cubicBezTo>
                  <a:pt x="87" y="53"/>
                  <a:pt x="86" y="53"/>
                  <a:pt x="85" y="53"/>
                </a:cubicBezTo>
                <a:cubicBezTo>
                  <a:pt x="84" y="52"/>
                  <a:pt x="82" y="51"/>
                  <a:pt x="81" y="50"/>
                </a:cubicBezTo>
                <a:cubicBezTo>
                  <a:pt x="78" y="49"/>
                  <a:pt x="75" y="48"/>
                  <a:pt x="73" y="47"/>
                </a:cubicBezTo>
                <a:cubicBezTo>
                  <a:pt x="67" y="45"/>
                  <a:pt x="62" y="44"/>
                  <a:pt x="57" y="42"/>
                </a:cubicBezTo>
                <a:cubicBezTo>
                  <a:pt x="51" y="41"/>
                  <a:pt x="46" y="39"/>
                  <a:pt x="41" y="38"/>
                </a:cubicBezTo>
                <a:cubicBezTo>
                  <a:pt x="39" y="37"/>
                  <a:pt x="36" y="36"/>
                  <a:pt x="34" y="36"/>
                </a:cubicBezTo>
                <a:cubicBezTo>
                  <a:pt x="32" y="35"/>
                  <a:pt x="32" y="35"/>
                  <a:pt x="32" y="35"/>
                </a:cubicBezTo>
                <a:cubicBezTo>
                  <a:pt x="31" y="35"/>
                  <a:pt x="31" y="35"/>
                  <a:pt x="31" y="35"/>
                </a:cubicBezTo>
                <a:cubicBezTo>
                  <a:pt x="30" y="34"/>
                  <a:pt x="30" y="34"/>
                  <a:pt x="30" y="34"/>
                </a:cubicBezTo>
                <a:cubicBezTo>
                  <a:pt x="30" y="34"/>
                  <a:pt x="29" y="34"/>
                  <a:pt x="28" y="33"/>
                </a:cubicBezTo>
                <a:cubicBezTo>
                  <a:pt x="27" y="32"/>
                  <a:pt x="25" y="31"/>
                  <a:pt x="25" y="30"/>
                </a:cubicBezTo>
                <a:cubicBezTo>
                  <a:pt x="24" y="29"/>
                  <a:pt x="23" y="28"/>
                  <a:pt x="23" y="27"/>
                </a:cubicBezTo>
                <a:cubicBezTo>
                  <a:pt x="22" y="25"/>
                  <a:pt x="22" y="21"/>
                  <a:pt x="23" y="18"/>
                </a:cubicBezTo>
                <a:cubicBezTo>
                  <a:pt x="24" y="15"/>
                  <a:pt x="26" y="12"/>
                  <a:pt x="29" y="11"/>
                </a:cubicBezTo>
                <a:cubicBezTo>
                  <a:pt x="30" y="10"/>
                  <a:pt x="30" y="10"/>
                  <a:pt x="31" y="9"/>
                </a:cubicBezTo>
                <a:cubicBezTo>
                  <a:pt x="31" y="9"/>
                  <a:pt x="31" y="9"/>
                  <a:pt x="31"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2" y="9"/>
                  <a:pt x="32" y="9"/>
                  <a:pt x="32" y="9"/>
                </a:cubicBezTo>
                <a:cubicBezTo>
                  <a:pt x="33" y="9"/>
                  <a:pt x="33" y="9"/>
                  <a:pt x="33" y="9"/>
                </a:cubicBezTo>
                <a:cubicBezTo>
                  <a:pt x="33" y="9"/>
                  <a:pt x="33" y="9"/>
                  <a:pt x="33" y="9"/>
                </a:cubicBezTo>
                <a:cubicBezTo>
                  <a:pt x="35" y="8"/>
                  <a:pt x="37" y="8"/>
                  <a:pt x="39" y="7"/>
                </a:cubicBezTo>
                <a:cubicBezTo>
                  <a:pt x="41" y="7"/>
                  <a:pt x="42" y="7"/>
                  <a:pt x="44" y="7"/>
                </a:cubicBezTo>
                <a:cubicBezTo>
                  <a:pt x="39" y="6"/>
                  <a:pt x="34" y="6"/>
                  <a:pt x="29" y="5"/>
                </a:cubicBezTo>
                <a:cubicBezTo>
                  <a:pt x="22" y="4"/>
                  <a:pt x="17" y="3"/>
                  <a:pt x="11" y="1"/>
                </a:cubicBezTo>
                <a:cubicBezTo>
                  <a:pt x="10" y="1"/>
                  <a:pt x="8" y="0"/>
                  <a:pt x="6" y="0"/>
                </a:cubicBezTo>
                <a:cubicBezTo>
                  <a:pt x="4" y="3"/>
                  <a:pt x="3" y="6"/>
                  <a:pt x="2" y="9"/>
                </a:cubicBezTo>
                <a:cubicBezTo>
                  <a:pt x="0" y="14"/>
                  <a:pt x="0" y="18"/>
                  <a:pt x="0" y="22"/>
                </a:cubicBezTo>
                <a:cubicBezTo>
                  <a:pt x="0" y="27"/>
                  <a:pt x="0" y="31"/>
                  <a:pt x="2" y="36"/>
                </a:cubicBezTo>
                <a:cubicBezTo>
                  <a:pt x="4" y="40"/>
                  <a:pt x="6" y="44"/>
                  <a:pt x="9" y="47"/>
                </a:cubicBezTo>
                <a:cubicBezTo>
                  <a:pt x="12" y="50"/>
                  <a:pt x="15" y="53"/>
                  <a:pt x="19" y="55"/>
                </a:cubicBezTo>
                <a:cubicBezTo>
                  <a:pt x="20" y="56"/>
                  <a:pt x="22" y="56"/>
                  <a:pt x="24" y="57"/>
                </a:cubicBezTo>
                <a:cubicBezTo>
                  <a:pt x="24" y="57"/>
                  <a:pt x="25" y="57"/>
                  <a:pt x="25" y="57"/>
                </a:cubicBezTo>
                <a:cubicBezTo>
                  <a:pt x="26" y="58"/>
                  <a:pt x="26" y="58"/>
                  <a:pt x="26" y="58"/>
                </a:cubicBezTo>
                <a:cubicBezTo>
                  <a:pt x="28" y="58"/>
                  <a:pt x="28" y="58"/>
                  <a:pt x="28" y="58"/>
                </a:cubicBezTo>
                <a:cubicBezTo>
                  <a:pt x="31" y="59"/>
                  <a:pt x="33" y="60"/>
                  <a:pt x="36" y="60"/>
                </a:cubicBezTo>
                <a:cubicBezTo>
                  <a:pt x="42" y="62"/>
                  <a:pt x="47" y="63"/>
                  <a:pt x="52" y="64"/>
                </a:cubicBezTo>
                <a:cubicBezTo>
                  <a:pt x="57" y="65"/>
                  <a:pt x="62" y="67"/>
                  <a:pt x="67" y="68"/>
                </a:cubicBezTo>
                <a:cubicBezTo>
                  <a:pt x="70" y="69"/>
                  <a:pt x="72" y="69"/>
                  <a:pt x="74" y="70"/>
                </a:cubicBezTo>
                <a:cubicBezTo>
                  <a:pt x="75" y="71"/>
                  <a:pt x="76" y="71"/>
                  <a:pt x="77" y="72"/>
                </a:cubicBezTo>
                <a:cubicBezTo>
                  <a:pt x="78" y="72"/>
                  <a:pt x="78" y="72"/>
                  <a:pt x="79" y="72"/>
                </a:cubicBezTo>
                <a:cubicBezTo>
                  <a:pt x="79" y="72"/>
                  <a:pt x="79" y="72"/>
                  <a:pt x="79" y="72"/>
                </a:cubicBezTo>
                <a:cubicBezTo>
                  <a:pt x="79" y="73"/>
                  <a:pt x="79" y="73"/>
                  <a:pt x="79" y="73"/>
                </a:cubicBezTo>
                <a:cubicBezTo>
                  <a:pt x="79" y="73"/>
                  <a:pt x="79" y="73"/>
                  <a:pt x="79" y="73"/>
                </a:cubicBezTo>
                <a:cubicBezTo>
                  <a:pt x="79" y="73"/>
                  <a:pt x="79" y="73"/>
                  <a:pt x="79" y="73"/>
                </a:cubicBezTo>
                <a:cubicBezTo>
                  <a:pt x="79" y="73"/>
                  <a:pt x="79" y="73"/>
                  <a:pt x="79" y="73"/>
                </a:cubicBezTo>
                <a:cubicBezTo>
                  <a:pt x="80" y="73"/>
                  <a:pt x="80" y="73"/>
                  <a:pt x="80" y="73"/>
                </a:cubicBezTo>
                <a:cubicBezTo>
                  <a:pt x="83" y="75"/>
                  <a:pt x="84" y="77"/>
                  <a:pt x="85" y="79"/>
                </a:cubicBezTo>
                <a:cubicBezTo>
                  <a:pt x="85" y="82"/>
                  <a:pt x="84" y="84"/>
                  <a:pt x="82" y="86"/>
                </a:cubicBezTo>
                <a:cubicBezTo>
                  <a:pt x="82" y="87"/>
                  <a:pt x="81" y="87"/>
                  <a:pt x="80" y="88"/>
                </a:cubicBezTo>
                <a:cubicBezTo>
                  <a:pt x="80" y="88"/>
                  <a:pt x="80" y="88"/>
                  <a:pt x="79" y="88"/>
                </a:cubicBezTo>
                <a:cubicBezTo>
                  <a:pt x="79" y="89"/>
                  <a:pt x="79" y="89"/>
                  <a:pt x="79" y="89"/>
                </a:cubicBezTo>
                <a:cubicBezTo>
                  <a:pt x="78" y="89"/>
                  <a:pt x="78" y="89"/>
                  <a:pt x="78" y="89"/>
                </a:cubicBezTo>
                <a:cubicBezTo>
                  <a:pt x="76" y="90"/>
                  <a:pt x="74" y="91"/>
                  <a:pt x="71" y="91"/>
                </a:cubicBezTo>
                <a:cubicBezTo>
                  <a:pt x="70" y="92"/>
                  <a:pt x="68" y="92"/>
                  <a:pt x="66" y="93"/>
                </a:cubicBezTo>
                <a:cubicBezTo>
                  <a:pt x="67" y="85"/>
                  <a:pt x="67" y="78"/>
                  <a:pt x="67" y="70"/>
                </a:cubicBezTo>
                <a:cubicBezTo>
                  <a:pt x="67" y="70"/>
                  <a:pt x="67" y="70"/>
                  <a:pt x="67" y="70"/>
                </a:cubicBezTo>
                <a:cubicBezTo>
                  <a:pt x="63" y="69"/>
                  <a:pt x="59" y="68"/>
                  <a:pt x="54" y="67"/>
                </a:cubicBezTo>
                <a:cubicBezTo>
                  <a:pt x="54" y="67"/>
                  <a:pt x="54" y="67"/>
                  <a:pt x="54" y="67"/>
                </a:cubicBezTo>
                <a:cubicBezTo>
                  <a:pt x="54" y="67"/>
                  <a:pt x="53" y="67"/>
                  <a:pt x="53" y="67"/>
                </a:cubicBezTo>
                <a:cubicBezTo>
                  <a:pt x="52" y="66"/>
                  <a:pt x="52" y="66"/>
                  <a:pt x="52" y="66"/>
                </a:cubicBezTo>
                <a:cubicBezTo>
                  <a:pt x="52" y="66"/>
                  <a:pt x="52" y="66"/>
                  <a:pt x="52" y="66"/>
                </a:cubicBezTo>
                <a:cubicBezTo>
                  <a:pt x="51" y="66"/>
                  <a:pt x="50" y="66"/>
                  <a:pt x="49" y="66"/>
                </a:cubicBezTo>
                <a:cubicBezTo>
                  <a:pt x="49" y="66"/>
                  <a:pt x="49" y="66"/>
                  <a:pt x="49" y="66"/>
                </a:cubicBezTo>
                <a:cubicBezTo>
                  <a:pt x="45" y="65"/>
                  <a:pt x="40" y="64"/>
                  <a:pt x="36" y="62"/>
                </a:cubicBezTo>
                <a:cubicBezTo>
                  <a:pt x="33" y="62"/>
                  <a:pt x="30" y="61"/>
                  <a:pt x="28" y="60"/>
                </a:cubicBezTo>
                <a:cubicBezTo>
                  <a:pt x="26" y="60"/>
                  <a:pt x="26" y="60"/>
                  <a:pt x="26" y="60"/>
                </a:cubicBezTo>
                <a:cubicBezTo>
                  <a:pt x="24" y="59"/>
                  <a:pt x="24" y="59"/>
                  <a:pt x="24" y="59"/>
                </a:cubicBezTo>
                <a:cubicBezTo>
                  <a:pt x="24" y="59"/>
                  <a:pt x="24" y="59"/>
                  <a:pt x="23" y="59"/>
                </a:cubicBezTo>
                <a:cubicBezTo>
                  <a:pt x="23" y="59"/>
                  <a:pt x="23" y="59"/>
                  <a:pt x="23" y="59"/>
                </a:cubicBezTo>
                <a:cubicBezTo>
                  <a:pt x="21" y="60"/>
                  <a:pt x="20" y="62"/>
                  <a:pt x="19" y="64"/>
                </a:cubicBezTo>
                <a:cubicBezTo>
                  <a:pt x="17" y="68"/>
                  <a:pt x="15" y="72"/>
                  <a:pt x="14" y="77"/>
                </a:cubicBezTo>
                <a:cubicBezTo>
                  <a:pt x="14" y="81"/>
                  <a:pt x="14" y="86"/>
                  <a:pt x="16" y="90"/>
                </a:cubicBezTo>
                <a:cubicBezTo>
                  <a:pt x="18" y="95"/>
                  <a:pt x="21" y="98"/>
                  <a:pt x="24" y="101"/>
                </a:cubicBezTo>
                <a:cubicBezTo>
                  <a:pt x="25" y="102"/>
                  <a:pt x="27" y="103"/>
                  <a:pt x="28" y="104"/>
                </a:cubicBezTo>
                <a:cubicBezTo>
                  <a:pt x="29" y="105"/>
                  <a:pt x="30" y="105"/>
                  <a:pt x="31" y="106"/>
                </a:cubicBezTo>
                <a:cubicBezTo>
                  <a:pt x="31" y="106"/>
                  <a:pt x="32" y="106"/>
                  <a:pt x="32" y="106"/>
                </a:cubicBezTo>
                <a:cubicBezTo>
                  <a:pt x="33" y="107"/>
                  <a:pt x="33" y="107"/>
                  <a:pt x="33" y="107"/>
                </a:cubicBezTo>
                <a:cubicBezTo>
                  <a:pt x="36" y="108"/>
                  <a:pt x="39" y="108"/>
                  <a:pt x="42" y="109"/>
                </a:cubicBezTo>
                <a:cubicBezTo>
                  <a:pt x="47" y="110"/>
                  <a:pt x="53" y="111"/>
                  <a:pt x="58" y="112"/>
                </a:cubicBezTo>
                <a:cubicBezTo>
                  <a:pt x="60" y="113"/>
                  <a:pt x="63" y="113"/>
                  <a:pt x="65" y="114"/>
                </a:cubicBezTo>
                <a:cubicBezTo>
                  <a:pt x="67" y="115"/>
                  <a:pt x="69" y="115"/>
                  <a:pt x="71" y="116"/>
                </a:cubicBezTo>
                <a:cubicBezTo>
                  <a:pt x="74" y="118"/>
                  <a:pt x="76" y="121"/>
                  <a:pt x="77" y="124"/>
                </a:cubicBezTo>
                <a:cubicBezTo>
                  <a:pt x="77" y="125"/>
                  <a:pt x="77" y="126"/>
                  <a:pt x="77" y="128"/>
                </a:cubicBezTo>
                <a:cubicBezTo>
                  <a:pt x="76" y="129"/>
                  <a:pt x="76" y="131"/>
                  <a:pt x="74" y="132"/>
                </a:cubicBezTo>
                <a:cubicBezTo>
                  <a:pt x="74" y="132"/>
                  <a:pt x="74" y="132"/>
                  <a:pt x="73" y="133"/>
                </a:cubicBezTo>
                <a:cubicBezTo>
                  <a:pt x="73" y="133"/>
                  <a:pt x="73" y="133"/>
                  <a:pt x="73" y="133"/>
                </a:cubicBezTo>
                <a:cubicBezTo>
                  <a:pt x="72" y="134"/>
                  <a:pt x="72" y="134"/>
                  <a:pt x="72" y="134"/>
                </a:cubicBezTo>
                <a:cubicBezTo>
                  <a:pt x="71" y="134"/>
                  <a:pt x="70" y="135"/>
                  <a:pt x="70" y="135"/>
                </a:cubicBezTo>
                <a:cubicBezTo>
                  <a:pt x="68" y="136"/>
                  <a:pt x="66" y="137"/>
                  <a:pt x="64" y="137"/>
                </a:cubicBezTo>
                <a:cubicBezTo>
                  <a:pt x="65" y="116"/>
                  <a:pt x="65" y="116"/>
                  <a:pt x="65" y="116"/>
                </a:cubicBezTo>
                <a:cubicBezTo>
                  <a:pt x="65" y="116"/>
                  <a:pt x="65" y="116"/>
                  <a:pt x="64" y="116"/>
                </a:cubicBezTo>
                <a:cubicBezTo>
                  <a:pt x="62" y="115"/>
                  <a:pt x="60" y="115"/>
                  <a:pt x="57" y="114"/>
                </a:cubicBezTo>
                <a:cubicBezTo>
                  <a:pt x="55" y="114"/>
                  <a:pt x="54" y="114"/>
                  <a:pt x="52" y="113"/>
                </a:cubicBezTo>
                <a:cubicBezTo>
                  <a:pt x="52" y="113"/>
                  <a:pt x="52" y="113"/>
                  <a:pt x="52" y="113"/>
                </a:cubicBezTo>
                <a:cubicBezTo>
                  <a:pt x="48" y="113"/>
                  <a:pt x="45" y="112"/>
                  <a:pt x="41" y="111"/>
                </a:cubicBezTo>
                <a:cubicBezTo>
                  <a:pt x="39" y="111"/>
                  <a:pt x="36" y="110"/>
                  <a:pt x="32" y="108"/>
                </a:cubicBezTo>
                <a:cubicBezTo>
                  <a:pt x="32" y="108"/>
                  <a:pt x="32" y="108"/>
                  <a:pt x="32" y="108"/>
                </a:cubicBezTo>
                <a:cubicBezTo>
                  <a:pt x="31" y="108"/>
                  <a:pt x="31" y="109"/>
                  <a:pt x="31" y="109"/>
                </a:cubicBezTo>
                <a:cubicBezTo>
                  <a:pt x="28" y="112"/>
                  <a:pt x="27" y="116"/>
                  <a:pt x="26" y="120"/>
                </a:cubicBezTo>
                <a:cubicBezTo>
                  <a:pt x="25" y="125"/>
                  <a:pt x="26" y="129"/>
                  <a:pt x="27" y="133"/>
                </a:cubicBezTo>
                <a:cubicBezTo>
                  <a:pt x="29" y="137"/>
                  <a:pt x="31" y="140"/>
                  <a:pt x="34" y="143"/>
                </a:cubicBezTo>
                <a:cubicBezTo>
                  <a:pt x="35" y="144"/>
                  <a:pt x="35" y="144"/>
                  <a:pt x="36" y="145"/>
                </a:cubicBezTo>
                <a:cubicBezTo>
                  <a:pt x="37" y="145"/>
                  <a:pt x="37" y="145"/>
                  <a:pt x="37" y="145"/>
                </a:cubicBezTo>
                <a:cubicBezTo>
                  <a:pt x="37" y="146"/>
                  <a:pt x="38" y="146"/>
                  <a:pt x="38" y="146"/>
                </a:cubicBezTo>
                <a:cubicBezTo>
                  <a:pt x="40" y="147"/>
                  <a:pt x="41" y="148"/>
                  <a:pt x="43" y="148"/>
                </a:cubicBezTo>
                <a:cubicBezTo>
                  <a:pt x="46" y="150"/>
                  <a:pt x="49" y="150"/>
                  <a:pt x="51" y="151"/>
                </a:cubicBezTo>
                <a:cubicBezTo>
                  <a:pt x="54" y="151"/>
                  <a:pt x="56" y="152"/>
                  <a:pt x="59" y="152"/>
                </a:cubicBezTo>
                <a:cubicBezTo>
                  <a:pt x="61" y="153"/>
                  <a:pt x="63" y="154"/>
                  <a:pt x="64" y="155"/>
                </a:cubicBezTo>
                <a:cubicBezTo>
                  <a:pt x="65" y="156"/>
                  <a:pt x="66" y="156"/>
                  <a:pt x="67" y="157"/>
                </a:cubicBezTo>
                <a:cubicBezTo>
                  <a:pt x="68" y="157"/>
                  <a:pt x="68" y="158"/>
                  <a:pt x="68" y="158"/>
                </a:cubicBezTo>
                <a:cubicBezTo>
                  <a:pt x="69" y="158"/>
                  <a:pt x="69" y="158"/>
                  <a:pt x="69" y="158"/>
                </a:cubicBezTo>
                <a:cubicBezTo>
                  <a:pt x="69" y="159"/>
                  <a:pt x="69" y="159"/>
                  <a:pt x="69" y="159"/>
                </a:cubicBezTo>
                <a:cubicBezTo>
                  <a:pt x="69" y="159"/>
                  <a:pt x="69" y="159"/>
                  <a:pt x="70" y="159"/>
                </a:cubicBezTo>
                <a:cubicBezTo>
                  <a:pt x="71" y="161"/>
                  <a:pt x="72" y="162"/>
                  <a:pt x="72" y="164"/>
                </a:cubicBezTo>
                <a:cubicBezTo>
                  <a:pt x="73" y="166"/>
                  <a:pt x="73" y="167"/>
                  <a:pt x="72" y="168"/>
                </a:cubicBezTo>
                <a:cubicBezTo>
                  <a:pt x="72" y="170"/>
                  <a:pt x="70" y="171"/>
                  <a:pt x="69" y="172"/>
                </a:cubicBezTo>
                <a:cubicBezTo>
                  <a:pt x="67" y="174"/>
                  <a:pt x="65" y="175"/>
                  <a:pt x="62" y="176"/>
                </a:cubicBezTo>
                <a:cubicBezTo>
                  <a:pt x="63" y="157"/>
                  <a:pt x="63" y="157"/>
                  <a:pt x="63" y="157"/>
                </a:cubicBezTo>
                <a:cubicBezTo>
                  <a:pt x="63" y="157"/>
                  <a:pt x="63" y="157"/>
                  <a:pt x="63" y="157"/>
                </a:cubicBezTo>
                <a:cubicBezTo>
                  <a:pt x="62" y="156"/>
                  <a:pt x="60" y="155"/>
                  <a:pt x="58" y="154"/>
                </a:cubicBezTo>
                <a:cubicBezTo>
                  <a:pt x="58" y="154"/>
                  <a:pt x="58" y="154"/>
                  <a:pt x="58" y="154"/>
                </a:cubicBezTo>
                <a:cubicBezTo>
                  <a:pt x="58" y="154"/>
                  <a:pt x="58" y="154"/>
                  <a:pt x="58" y="154"/>
                </a:cubicBezTo>
                <a:cubicBezTo>
                  <a:pt x="57" y="154"/>
                  <a:pt x="56" y="154"/>
                  <a:pt x="55" y="154"/>
                </a:cubicBezTo>
                <a:cubicBezTo>
                  <a:pt x="55" y="154"/>
                  <a:pt x="55" y="154"/>
                  <a:pt x="55" y="154"/>
                </a:cubicBezTo>
                <a:cubicBezTo>
                  <a:pt x="55" y="154"/>
                  <a:pt x="55" y="154"/>
                  <a:pt x="55" y="154"/>
                </a:cubicBezTo>
                <a:cubicBezTo>
                  <a:pt x="55" y="154"/>
                  <a:pt x="54" y="153"/>
                  <a:pt x="54" y="153"/>
                </a:cubicBezTo>
                <a:cubicBezTo>
                  <a:pt x="54" y="153"/>
                  <a:pt x="54" y="153"/>
                  <a:pt x="54" y="153"/>
                </a:cubicBezTo>
                <a:cubicBezTo>
                  <a:pt x="53" y="153"/>
                  <a:pt x="53" y="153"/>
                  <a:pt x="53" y="153"/>
                </a:cubicBezTo>
                <a:cubicBezTo>
                  <a:pt x="53" y="153"/>
                  <a:pt x="53" y="153"/>
                  <a:pt x="53" y="153"/>
                </a:cubicBezTo>
                <a:cubicBezTo>
                  <a:pt x="53" y="153"/>
                  <a:pt x="52" y="153"/>
                  <a:pt x="52" y="153"/>
                </a:cubicBezTo>
                <a:cubicBezTo>
                  <a:pt x="51" y="153"/>
                  <a:pt x="51" y="153"/>
                  <a:pt x="51" y="153"/>
                </a:cubicBezTo>
                <a:cubicBezTo>
                  <a:pt x="48" y="152"/>
                  <a:pt x="45" y="152"/>
                  <a:pt x="42" y="150"/>
                </a:cubicBezTo>
                <a:cubicBezTo>
                  <a:pt x="42" y="150"/>
                  <a:pt x="41" y="150"/>
                  <a:pt x="41" y="150"/>
                </a:cubicBezTo>
                <a:cubicBezTo>
                  <a:pt x="40" y="150"/>
                  <a:pt x="40" y="150"/>
                  <a:pt x="40" y="150"/>
                </a:cubicBezTo>
                <a:cubicBezTo>
                  <a:pt x="40" y="150"/>
                  <a:pt x="40" y="151"/>
                  <a:pt x="39" y="151"/>
                </a:cubicBezTo>
                <a:cubicBezTo>
                  <a:pt x="37" y="154"/>
                  <a:pt x="35" y="157"/>
                  <a:pt x="34" y="161"/>
                </a:cubicBezTo>
                <a:cubicBezTo>
                  <a:pt x="34" y="163"/>
                  <a:pt x="34" y="165"/>
                  <a:pt x="34" y="167"/>
                </a:cubicBezTo>
                <a:cubicBezTo>
                  <a:pt x="34" y="169"/>
                  <a:pt x="35" y="171"/>
                  <a:pt x="36" y="173"/>
                </a:cubicBezTo>
                <a:cubicBezTo>
                  <a:pt x="38" y="177"/>
                  <a:pt x="40" y="180"/>
                  <a:pt x="43" y="181"/>
                </a:cubicBezTo>
                <a:cubicBezTo>
                  <a:pt x="48" y="184"/>
                  <a:pt x="53" y="186"/>
                  <a:pt x="58" y="188"/>
                </a:cubicBezTo>
                <a:cubicBezTo>
                  <a:pt x="64" y="190"/>
                  <a:pt x="69" y="191"/>
                  <a:pt x="74" y="192"/>
                </a:cubicBezTo>
                <a:cubicBezTo>
                  <a:pt x="76" y="193"/>
                  <a:pt x="79" y="194"/>
                  <a:pt x="81" y="195"/>
                </a:cubicBezTo>
                <a:cubicBezTo>
                  <a:pt x="82" y="196"/>
                  <a:pt x="83" y="196"/>
                  <a:pt x="84" y="197"/>
                </a:cubicBezTo>
                <a:cubicBezTo>
                  <a:pt x="84" y="198"/>
                  <a:pt x="85" y="199"/>
                  <a:pt x="86" y="201"/>
                </a:cubicBezTo>
                <a:cubicBezTo>
                  <a:pt x="86" y="199"/>
                  <a:pt x="86" y="198"/>
                  <a:pt x="85" y="196"/>
                </a:cubicBezTo>
                <a:cubicBezTo>
                  <a:pt x="84" y="195"/>
                  <a:pt x="84" y="193"/>
                  <a:pt x="83" y="192"/>
                </a:cubicBezTo>
                <a:cubicBezTo>
                  <a:pt x="80" y="190"/>
                  <a:pt x="78" y="189"/>
                  <a:pt x="76" y="187"/>
                </a:cubicBezTo>
                <a:cubicBezTo>
                  <a:pt x="74" y="186"/>
                  <a:pt x="73" y="186"/>
                  <a:pt x="71" y="185"/>
                </a:cubicBezTo>
                <a:cubicBezTo>
                  <a:pt x="71" y="185"/>
                  <a:pt x="71" y="185"/>
                  <a:pt x="71" y="185"/>
                </a:cubicBezTo>
                <a:cubicBezTo>
                  <a:pt x="68" y="183"/>
                  <a:pt x="64" y="181"/>
                  <a:pt x="61" y="180"/>
                </a:cubicBezTo>
                <a:cubicBezTo>
                  <a:pt x="57" y="178"/>
                  <a:pt x="52" y="175"/>
                  <a:pt x="48" y="172"/>
                </a:cubicBezTo>
                <a:cubicBezTo>
                  <a:pt x="47" y="171"/>
                  <a:pt x="45" y="170"/>
                  <a:pt x="45" y="168"/>
                </a:cubicBezTo>
                <a:cubicBezTo>
                  <a:pt x="44" y="167"/>
                  <a:pt x="44" y="166"/>
                  <a:pt x="45" y="164"/>
                </a:cubicBezTo>
                <a:cubicBezTo>
                  <a:pt x="45" y="162"/>
                  <a:pt x="46" y="161"/>
                  <a:pt x="48" y="159"/>
                </a:cubicBezTo>
                <a:cubicBezTo>
                  <a:pt x="48" y="159"/>
                  <a:pt x="48" y="159"/>
                  <a:pt x="48" y="159"/>
                </a:cubicBezTo>
                <a:cubicBezTo>
                  <a:pt x="48" y="158"/>
                  <a:pt x="48" y="158"/>
                  <a:pt x="48" y="158"/>
                </a:cubicBezTo>
                <a:cubicBezTo>
                  <a:pt x="49" y="158"/>
                  <a:pt x="49" y="158"/>
                  <a:pt x="49" y="158"/>
                </a:cubicBezTo>
                <a:cubicBezTo>
                  <a:pt x="49" y="158"/>
                  <a:pt x="49" y="157"/>
                  <a:pt x="50" y="157"/>
                </a:cubicBezTo>
                <a:cubicBezTo>
                  <a:pt x="51" y="156"/>
                  <a:pt x="52" y="156"/>
                  <a:pt x="53" y="155"/>
                </a:cubicBezTo>
                <a:cubicBezTo>
                  <a:pt x="53" y="155"/>
                  <a:pt x="53" y="155"/>
                  <a:pt x="53" y="155"/>
                </a:cubicBezTo>
                <a:cubicBezTo>
                  <a:pt x="53" y="157"/>
                  <a:pt x="53" y="157"/>
                  <a:pt x="53" y="157"/>
                </a:cubicBezTo>
                <a:cubicBezTo>
                  <a:pt x="54" y="174"/>
                  <a:pt x="54" y="174"/>
                  <a:pt x="54" y="174"/>
                </a:cubicBezTo>
                <a:cubicBezTo>
                  <a:pt x="56" y="175"/>
                  <a:pt x="58" y="176"/>
                  <a:pt x="61" y="177"/>
                </a:cubicBezTo>
                <a:cubicBezTo>
                  <a:pt x="61" y="177"/>
                  <a:pt x="61" y="177"/>
                  <a:pt x="61" y="177"/>
                </a:cubicBezTo>
                <a:cubicBezTo>
                  <a:pt x="61"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2" y="178"/>
                  <a:pt x="62" y="178"/>
                  <a:pt x="62" y="178"/>
                </a:cubicBezTo>
                <a:cubicBezTo>
                  <a:pt x="64" y="179"/>
                  <a:pt x="66" y="180"/>
                  <a:pt x="67" y="181"/>
                </a:cubicBezTo>
                <a:cubicBezTo>
                  <a:pt x="69" y="181"/>
                  <a:pt x="70" y="182"/>
                  <a:pt x="71" y="183"/>
                </a:cubicBezTo>
                <a:cubicBezTo>
                  <a:pt x="72" y="182"/>
                  <a:pt x="73" y="182"/>
                  <a:pt x="74" y="181"/>
                </a:cubicBezTo>
                <a:cubicBezTo>
                  <a:pt x="77" y="180"/>
                  <a:pt x="80" y="177"/>
                  <a:pt x="81" y="173"/>
                </a:cubicBezTo>
                <a:cubicBezTo>
                  <a:pt x="82" y="171"/>
                  <a:pt x="83" y="169"/>
                  <a:pt x="83" y="167"/>
                </a:cubicBezTo>
                <a:cubicBezTo>
                  <a:pt x="83" y="165"/>
                  <a:pt x="83" y="163"/>
                  <a:pt x="83" y="161"/>
                </a:cubicBezTo>
                <a:cubicBezTo>
                  <a:pt x="82" y="157"/>
                  <a:pt x="80" y="154"/>
                  <a:pt x="78" y="151"/>
                </a:cubicBezTo>
                <a:cubicBezTo>
                  <a:pt x="78" y="151"/>
                  <a:pt x="77" y="150"/>
                  <a:pt x="77" y="150"/>
                </a:cubicBezTo>
                <a:cubicBezTo>
                  <a:pt x="77" y="150"/>
                  <a:pt x="77" y="150"/>
                  <a:pt x="77" y="150"/>
                </a:cubicBezTo>
                <a:cubicBezTo>
                  <a:pt x="76" y="149"/>
                  <a:pt x="76" y="149"/>
                  <a:pt x="76" y="149"/>
                </a:cubicBezTo>
                <a:cubicBezTo>
                  <a:pt x="76" y="148"/>
                  <a:pt x="75" y="148"/>
                  <a:pt x="74" y="147"/>
                </a:cubicBezTo>
                <a:cubicBezTo>
                  <a:pt x="73" y="146"/>
                  <a:pt x="72" y="145"/>
                  <a:pt x="71" y="144"/>
                </a:cubicBezTo>
                <a:cubicBezTo>
                  <a:pt x="68" y="143"/>
                  <a:pt x="65" y="141"/>
                  <a:pt x="62" y="140"/>
                </a:cubicBezTo>
                <a:cubicBezTo>
                  <a:pt x="59" y="139"/>
                  <a:pt x="57" y="138"/>
                  <a:pt x="54" y="137"/>
                </a:cubicBezTo>
                <a:cubicBezTo>
                  <a:pt x="52" y="137"/>
                  <a:pt x="49" y="136"/>
                  <a:pt x="48" y="135"/>
                </a:cubicBezTo>
                <a:cubicBezTo>
                  <a:pt x="47" y="135"/>
                  <a:pt x="46" y="134"/>
                  <a:pt x="45" y="134"/>
                </a:cubicBezTo>
                <a:cubicBezTo>
                  <a:pt x="44" y="133"/>
                  <a:pt x="44" y="133"/>
                  <a:pt x="44" y="133"/>
                </a:cubicBezTo>
                <a:cubicBezTo>
                  <a:pt x="44" y="133"/>
                  <a:pt x="44" y="133"/>
                  <a:pt x="44" y="133"/>
                </a:cubicBezTo>
                <a:cubicBezTo>
                  <a:pt x="43" y="132"/>
                  <a:pt x="43" y="132"/>
                  <a:pt x="43" y="132"/>
                </a:cubicBezTo>
                <a:cubicBezTo>
                  <a:pt x="42" y="131"/>
                  <a:pt x="41" y="129"/>
                  <a:pt x="40" y="128"/>
                </a:cubicBezTo>
                <a:cubicBezTo>
                  <a:pt x="40" y="126"/>
                  <a:pt x="40" y="125"/>
                  <a:pt x="40" y="124"/>
                </a:cubicBezTo>
                <a:cubicBezTo>
                  <a:pt x="41" y="121"/>
                  <a:pt x="43" y="118"/>
                  <a:pt x="46" y="116"/>
                </a:cubicBezTo>
                <a:cubicBezTo>
                  <a:pt x="48" y="116"/>
                  <a:pt x="50" y="115"/>
                  <a:pt x="52" y="114"/>
                </a:cubicBezTo>
                <a:cubicBezTo>
                  <a:pt x="53" y="135"/>
                  <a:pt x="53" y="135"/>
                  <a:pt x="53" y="135"/>
                </a:cubicBezTo>
                <a:cubicBezTo>
                  <a:pt x="53" y="135"/>
                  <a:pt x="54" y="135"/>
                  <a:pt x="55" y="136"/>
                </a:cubicBezTo>
                <a:cubicBezTo>
                  <a:pt x="55" y="136"/>
                  <a:pt x="55" y="136"/>
                  <a:pt x="55" y="136"/>
                </a:cubicBezTo>
                <a:cubicBezTo>
                  <a:pt x="57" y="136"/>
                  <a:pt x="60" y="137"/>
                  <a:pt x="63" y="138"/>
                </a:cubicBezTo>
                <a:cubicBezTo>
                  <a:pt x="63" y="138"/>
                  <a:pt x="63" y="138"/>
                  <a:pt x="63" y="138"/>
                </a:cubicBezTo>
                <a:cubicBezTo>
                  <a:pt x="66" y="139"/>
                  <a:pt x="69" y="141"/>
                  <a:pt x="72" y="143"/>
                </a:cubicBezTo>
                <a:cubicBezTo>
                  <a:pt x="73" y="144"/>
                  <a:pt x="74" y="145"/>
                  <a:pt x="76" y="146"/>
                </a:cubicBezTo>
                <a:cubicBezTo>
                  <a:pt x="76" y="146"/>
                  <a:pt x="76" y="147"/>
                  <a:pt x="77" y="147"/>
                </a:cubicBezTo>
                <a:cubicBezTo>
                  <a:pt x="78" y="147"/>
                  <a:pt x="78" y="146"/>
                  <a:pt x="79" y="146"/>
                </a:cubicBezTo>
                <a:cubicBezTo>
                  <a:pt x="79" y="146"/>
                  <a:pt x="80" y="146"/>
                  <a:pt x="80" y="145"/>
                </a:cubicBezTo>
                <a:cubicBezTo>
                  <a:pt x="81" y="145"/>
                  <a:pt x="81" y="145"/>
                  <a:pt x="81" y="145"/>
                </a:cubicBezTo>
                <a:cubicBezTo>
                  <a:pt x="82" y="144"/>
                  <a:pt x="82" y="144"/>
                  <a:pt x="83" y="143"/>
                </a:cubicBezTo>
                <a:cubicBezTo>
                  <a:pt x="86" y="140"/>
                  <a:pt x="88" y="137"/>
                  <a:pt x="90" y="133"/>
                </a:cubicBezTo>
                <a:cubicBezTo>
                  <a:pt x="91" y="129"/>
                  <a:pt x="92" y="125"/>
                  <a:pt x="91" y="120"/>
                </a:cubicBezTo>
                <a:cubicBezTo>
                  <a:pt x="90" y="116"/>
                  <a:pt x="89" y="112"/>
                  <a:pt x="86" y="109"/>
                </a:cubicBezTo>
                <a:cubicBezTo>
                  <a:pt x="85" y="108"/>
                  <a:pt x="84" y="106"/>
                  <a:pt x="82" y="105"/>
                </a:cubicBezTo>
                <a:cubicBezTo>
                  <a:pt x="82" y="104"/>
                  <a:pt x="82" y="104"/>
                  <a:pt x="82" y="104"/>
                </a:cubicBezTo>
                <a:cubicBezTo>
                  <a:pt x="81" y="104"/>
                  <a:pt x="81" y="104"/>
                  <a:pt x="81" y="104"/>
                </a:cubicBezTo>
                <a:cubicBezTo>
                  <a:pt x="81" y="104"/>
                  <a:pt x="81" y="104"/>
                  <a:pt x="81" y="104"/>
                </a:cubicBezTo>
                <a:cubicBezTo>
                  <a:pt x="81" y="104"/>
                  <a:pt x="81" y="104"/>
                  <a:pt x="81" y="104"/>
                </a:cubicBezTo>
                <a:cubicBezTo>
                  <a:pt x="80" y="103"/>
                  <a:pt x="80" y="103"/>
                  <a:pt x="80" y="103"/>
                </a:cubicBezTo>
                <a:cubicBezTo>
                  <a:pt x="80" y="103"/>
                  <a:pt x="79" y="102"/>
                  <a:pt x="78" y="102"/>
                </a:cubicBezTo>
                <a:cubicBezTo>
                  <a:pt x="75" y="100"/>
                  <a:pt x="72" y="99"/>
                  <a:pt x="69" y="98"/>
                </a:cubicBezTo>
                <a:cubicBezTo>
                  <a:pt x="66" y="97"/>
                  <a:pt x="64" y="96"/>
                  <a:pt x="61" y="95"/>
                </a:cubicBezTo>
                <a:cubicBezTo>
                  <a:pt x="56" y="94"/>
                  <a:pt x="50" y="93"/>
                  <a:pt x="46" y="91"/>
                </a:cubicBezTo>
                <a:cubicBezTo>
                  <a:pt x="43" y="91"/>
                  <a:pt x="41" y="90"/>
                  <a:pt x="39" y="89"/>
                </a:cubicBezTo>
                <a:cubicBezTo>
                  <a:pt x="38" y="89"/>
                  <a:pt x="38" y="89"/>
                  <a:pt x="38" y="89"/>
                </a:cubicBezTo>
                <a:cubicBezTo>
                  <a:pt x="38" y="89"/>
                  <a:pt x="38" y="89"/>
                  <a:pt x="38" y="88"/>
                </a:cubicBezTo>
                <a:cubicBezTo>
                  <a:pt x="37" y="88"/>
                  <a:pt x="37" y="88"/>
                  <a:pt x="37" y="88"/>
                </a:cubicBezTo>
                <a:cubicBezTo>
                  <a:pt x="36" y="87"/>
                  <a:pt x="35" y="87"/>
                  <a:pt x="35" y="86"/>
                </a:cubicBezTo>
                <a:cubicBezTo>
                  <a:pt x="33" y="84"/>
                  <a:pt x="32" y="82"/>
                  <a:pt x="32" y="79"/>
                </a:cubicBezTo>
                <a:cubicBezTo>
                  <a:pt x="33" y="77"/>
                  <a:pt x="34" y="75"/>
                  <a:pt x="37" y="73"/>
                </a:cubicBezTo>
                <a:cubicBezTo>
                  <a:pt x="38" y="73"/>
                  <a:pt x="38" y="73"/>
                  <a:pt x="38" y="73"/>
                </a:cubicBezTo>
                <a:cubicBezTo>
                  <a:pt x="38" y="73"/>
                  <a:pt x="38" y="73"/>
                  <a:pt x="38" y="73"/>
                </a:cubicBezTo>
                <a:cubicBezTo>
                  <a:pt x="38" y="73"/>
                  <a:pt x="38" y="73"/>
                  <a:pt x="38" y="73"/>
                </a:cubicBezTo>
                <a:cubicBezTo>
                  <a:pt x="38" y="73"/>
                  <a:pt x="38" y="73"/>
                  <a:pt x="38" y="73"/>
                </a:cubicBezTo>
                <a:cubicBezTo>
                  <a:pt x="38" y="72"/>
                  <a:pt x="38" y="72"/>
                  <a:pt x="38" y="72"/>
                </a:cubicBezTo>
                <a:cubicBezTo>
                  <a:pt x="38" y="72"/>
                  <a:pt x="38" y="72"/>
                  <a:pt x="38" y="72"/>
                </a:cubicBezTo>
                <a:cubicBezTo>
                  <a:pt x="39" y="72"/>
                  <a:pt x="39" y="72"/>
                  <a:pt x="40" y="72"/>
                </a:cubicBezTo>
                <a:cubicBezTo>
                  <a:pt x="41" y="71"/>
                  <a:pt x="42" y="71"/>
                  <a:pt x="43" y="70"/>
                </a:cubicBezTo>
                <a:cubicBezTo>
                  <a:pt x="45" y="70"/>
                  <a:pt x="47" y="69"/>
                  <a:pt x="50" y="68"/>
                </a:cubicBezTo>
                <a:cubicBezTo>
                  <a:pt x="50" y="76"/>
                  <a:pt x="50" y="83"/>
                  <a:pt x="51" y="91"/>
                </a:cubicBezTo>
                <a:cubicBezTo>
                  <a:pt x="54" y="91"/>
                  <a:pt x="58" y="92"/>
                  <a:pt x="61" y="93"/>
                </a:cubicBezTo>
                <a:cubicBezTo>
                  <a:pt x="62" y="93"/>
                  <a:pt x="63" y="94"/>
                  <a:pt x="64" y="94"/>
                </a:cubicBezTo>
                <a:cubicBezTo>
                  <a:pt x="64" y="94"/>
                  <a:pt x="64" y="94"/>
                  <a:pt x="64" y="94"/>
                </a:cubicBezTo>
                <a:cubicBezTo>
                  <a:pt x="65" y="94"/>
                  <a:pt x="65" y="94"/>
                  <a:pt x="66" y="95"/>
                </a:cubicBezTo>
                <a:cubicBezTo>
                  <a:pt x="66" y="95"/>
                  <a:pt x="66" y="95"/>
                  <a:pt x="66" y="95"/>
                </a:cubicBezTo>
                <a:cubicBezTo>
                  <a:pt x="67" y="95"/>
                  <a:pt x="69" y="95"/>
                  <a:pt x="70" y="96"/>
                </a:cubicBezTo>
                <a:cubicBezTo>
                  <a:pt x="72" y="97"/>
                  <a:pt x="76" y="98"/>
                  <a:pt x="79" y="100"/>
                </a:cubicBezTo>
                <a:cubicBezTo>
                  <a:pt x="80" y="100"/>
                  <a:pt x="81" y="101"/>
                  <a:pt x="81" y="101"/>
                </a:cubicBezTo>
                <a:cubicBezTo>
                  <a:pt x="82" y="102"/>
                  <a:pt x="82" y="102"/>
                  <a:pt x="82" y="102"/>
                </a:cubicBezTo>
                <a:cubicBezTo>
                  <a:pt x="82" y="102"/>
                  <a:pt x="82" y="102"/>
                  <a:pt x="82" y="102"/>
                </a:cubicBezTo>
                <a:cubicBezTo>
                  <a:pt x="83" y="102"/>
                  <a:pt x="83" y="102"/>
                  <a:pt x="83" y="102"/>
                </a:cubicBezTo>
                <a:cubicBezTo>
                  <a:pt x="83" y="103"/>
                  <a:pt x="83" y="103"/>
                  <a:pt x="83" y="103"/>
                </a:cubicBezTo>
                <a:cubicBezTo>
                  <a:pt x="84" y="103"/>
                  <a:pt x="84" y="103"/>
                  <a:pt x="84" y="103"/>
                </a:cubicBezTo>
                <a:cubicBezTo>
                  <a:pt x="85" y="104"/>
                  <a:pt x="85" y="105"/>
                  <a:pt x="86" y="106"/>
                </a:cubicBezTo>
                <a:cubicBezTo>
                  <a:pt x="86" y="106"/>
                  <a:pt x="86" y="106"/>
                  <a:pt x="86" y="106"/>
                </a:cubicBezTo>
                <a:cubicBezTo>
                  <a:pt x="87" y="105"/>
                  <a:pt x="88" y="105"/>
                  <a:pt x="89" y="104"/>
                </a:cubicBezTo>
                <a:cubicBezTo>
                  <a:pt x="90" y="103"/>
                  <a:pt x="92" y="102"/>
                  <a:pt x="94" y="101"/>
                </a:cubicBezTo>
                <a:cubicBezTo>
                  <a:pt x="97" y="98"/>
                  <a:pt x="99" y="95"/>
                  <a:pt x="101" y="90"/>
                </a:cubicBezTo>
                <a:cubicBezTo>
                  <a:pt x="103" y="86"/>
                  <a:pt x="103" y="81"/>
                  <a:pt x="103" y="77"/>
                </a:cubicBezTo>
                <a:cubicBezTo>
                  <a:pt x="102" y="72"/>
                  <a:pt x="101" y="68"/>
                  <a:pt x="98" y="6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724150" y="3149600"/>
            <a:ext cx="73025" cy="146050"/>
          </a:xfrm>
          <a:custGeom>
            <a:avLst/>
            <a:gdLst>
              <a:gd name="T0" fmla="*/ 27 w 31"/>
              <a:gd name="T1" fmla="*/ 5 h 62"/>
              <a:gd name="T2" fmla="*/ 24 w 31"/>
              <a:gd name="T3" fmla="*/ 4 h 62"/>
              <a:gd name="T4" fmla="*/ 24 w 31"/>
              <a:gd name="T5" fmla="*/ 4 h 62"/>
              <a:gd name="T6" fmla="*/ 15 w 31"/>
              <a:gd name="T7" fmla="*/ 0 h 62"/>
              <a:gd name="T8" fmla="*/ 10 w 31"/>
              <a:gd name="T9" fmla="*/ 2 h 62"/>
              <a:gd name="T10" fmla="*/ 4 w 31"/>
              <a:gd name="T11" fmla="*/ 7 h 62"/>
              <a:gd name="T12" fmla="*/ 1 w 31"/>
              <a:gd name="T13" fmla="*/ 11 h 62"/>
              <a:gd name="T14" fmla="*/ 0 w 31"/>
              <a:gd name="T15" fmla="*/ 16 h 62"/>
              <a:gd name="T16" fmla="*/ 2 w 31"/>
              <a:gd name="T17" fmla="*/ 12 h 62"/>
              <a:gd name="T18" fmla="*/ 5 w 31"/>
              <a:gd name="T19" fmla="*/ 10 h 62"/>
              <a:gd name="T20" fmla="*/ 12 w 31"/>
              <a:gd name="T21" fmla="*/ 7 h 62"/>
              <a:gd name="T22" fmla="*/ 24 w 31"/>
              <a:gd name="T23" fmla="*/ 4 h 62"/>
              <a:gd name="T24" fmla="*/ 25 w 31"/>
              <a:gd name="T25" fmla="*/ 22 h 62"/>
              <a:gd name="T26" fmla="*/ 27 w 31"/>
              <a:gd name="T27" fmla="*/ 62 h 62"/>
              <a:gd name="T28" fmla="*/ 30 w 31"/>
              <a:gd name="T29" fmla="*/ 22 h 62"/>
              <a:gd name="T30" fmla="*/ 31 w 31"/>
              <a:gd name="T31" fmla="*/ 6 h 62"/>
              <a:gd name="T32" fmla="*/ 27 w 31"/>
              <a:gd name="T33" fmla="*/ 5 h 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31" h="62">
                <a:moveTo>
                  <a:pt x="27" y="5"/>
                </a:moveTo>
                <a:cubicBezTo>
                  <a:pt x="26" y="5"/>
                  <a:pt x="25" y="5"/>
                  <a:pt x="24" y="4"/>
                </a:cubicBezTo>
                <a:cubicBezTo>
                  <a:pt x="24" y="4"/>
                  <a:pt x="24" y="4"/>
                  <a:pt x="24" y="4"/>
                </a:cubicBezTo>
                <a:cubicBezTo>
                  <a:pt x="21" y="3"/>
                  <a:pt x="18" y="2"/>
                  <a:pt x="15" y="0"/>
                </a:cubicBezTo>
                <a:cubicBezTo>
                  <a:pt x="13" y="1"/>
                  <a:pt x="12" y="1"/>
                  <a:pt x="10" y="2"/>
                </a:cubicBezTo>
                <a:cubicBezTo>
                  <a:pt x="8" y="4"/>
                  <a:pt x="6" y="5"/>
                  <a:pt x="4" y="7"/>
                </a:cubicBezTo>
                <a:cubicBezTo>
                  <a:pt x="3" y="8"/>
                  <a:pt x="2" y="10"/>
                  <a:pt x="1" y="11"/>
                </a:cubicBezTo>
                <a:cubicBezTo>
                  <a:pt x="1" y="13"/>
                  <a:pt x="0" y="14"/>
                  <a:pt x="0" y="16"/>
                </a:cubicBezTo>
                <a:cubicBezTo>
                  <a:pt x="1" y="14"/>
                  <a:pt x="2" y="13"/>
                  <a:pt x="2" y="12"/>
                </a:cubicBezTo>
                <a:cubicBezTo>
                  <a:pt x="3" y="11"/>
                  <a:pt x="4" y="11"/>
                  <a:pt x="5" y="10"/>
                </a:cubicBezTo>
                <a:cubicBezTo>
                  <a:pt x="8" y="9"/>
                  <a:pt x="10" y="8"/>
                  <a:pt x="12" y="7"/>
                </a:cubicBezTo>
                <a:cubicBezTo>
                  <a:pt x="16" y="6"/>
                  <a:pt x="20" y="5"/>
                  <a:pt x="24" y="4"/>
                </a:cubicBezTo>
                <a:cubicBezTo>
                  <a:pt x="25" y="22"/>
                  <a:pt x="25" y="22"/>
                  <a:pt x="25" y="22"/>
                </a:cubicBezTo>
                <a:cubicBezTo>
                  <a:pt x="27" y="62"/>
                  <a:pt x="27" y="62"/>
                  <a:pt x="27" y="62"/>
                </a:cubicBezTo>
                <a:cubicBezTo>
                  <a:pt x="30" y="22"/>
                  <a:pt x="30" y="22"/>
                  <a:pt x="30" y="22"/>
                </a:cubicBezTo>
                <a:cubicBezTo>
                  <a:pt x="31" y="6"/>
                  <a:pt x="31" y="6"/>
                  <a:pt x="31" y="6"/>
                </a:cubicBezTo>
                <a:cubicBezTo>
                  <a:pt x="29" y="6"/>
                  <a:pt x="28" y="6"/>
                  <a:pt x="27" y="5"/>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0</xdr:col>
      <xdr:colOff>210671</xdr:colOff>
      <xdr:row>188</xdr:row>
      <xdr:rowOff>26895</xdr:rowOff>
    </xdr:from>
    <xdr:to>
      <xdr:col>3</xdr:col>
      <xdr:colOff>8966</xdr:colOff>
      <xdr:row>192</xdr:row>
      <xdr:rowOff>92449</xdr:rowOff>
    </xdr:to>
    <xdr:sp macro="" textlink="">
      <xdr:nvSpPr>
        <xdr:cNvPr id="76" name="Rectangle 75">
          <a:extLst>
            <a:ext uri="{FF2B5EF4-FFF2-40B4-BE49-F238E27FC236}">
              <a16:creationId xmlns:a16="http://schemas.microsoft.com/office/drawing/2014/main" id="{00000000-0008-0000-0400-00004C000000}"/>
            </a:ext>
          </a:extLst>
        </xdr:cNvPr>
        <xdr:cNvSpPr/>
      </xdr:nvSpPr>
      <xdr:spPr>
        <a:xfrm>
          <a:off x="210671" y="21156707"/>
          <a:ext cx="3724836" cy="782730"/>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US" sz="1100" b="0" baseline="0">
              <a:solidFill>
                <a:sysClr val="windowText" lastClr="000000"/>
              </a:solidFill>
            </a:rPr>
            <a:t>The equipment and commodity lists and usage assumptions (hygiene, PPE, diagnostics, and biomedical equipment) can be found on the 'Equipment List &amp; Usage' tab. Navigate there using the link below.</a:t>
          </a:r>
          <a:endParaRPr lang="en-US" sz="1100" b="0">
            <a:solidFill>
              <a:sysClr val="windowText" lastClr="000000"/>
            </a:solidFill>
          </a:endParaRPr>
        </a:p>
      </xdr:txBody>
    </xdr:sp>
    <xdr:clientData/>
  </xdr:twoCellAnchor>
  <xdr:twoCellAnchor>
    <xdr:from>
      <xdr:col>1</xdr:col>
      <xdr:colOff>152400</xdr:colOff>
      <xdr:row>146</xdr:row>
      <xdr:rowOff>80683</xdr:rowOff>
    </xdr:from>
    <xdr:to>
      <xdr:col>2</xdr:col>
      <xdr:colOff>1541930</xdr:colOff>
      <xdr:row>147</xdr:row>
      <xdr:rowOff>71718</xdr:rowOff>
    </xdr:to>
    <xdr:sp macro="" textlink="">
      <xdr:nvSpPr>
        <xdr:cNvPr id="4" name="Isosceles Triangle 3">
          <a:extLst>
            <a:ext uri="{FF2B5EF4-FFF2-40B4-BE49-F238E27FC236}">
              <a16:creationId xmlns:a16="http://schemas.microsoft.com/office/drawing/2014/main" id="{00000000-0008-0000-0400-000004000000}"/>
            </a:ext>
          </a:extLst>
        </xdr:cNvPr>
        <xdr:cNvSpPr/>
      </xdr:nvSpPr>
      <xdr:spPr>
        <a:xfrm flipV="1">
          <a:off x="376518" y="27288565"/>
          <a:ext cx="4052047" cy="170329"/>
        </a:xfrm>
        <a:prstGeom prst="triangle">
          <a:avLst/>
        </a:prstGeom>
        <a:solidFill>
          <a:srgbClr val="1E7FB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111496</xdr:colOff>
      <xdr:row>119</xdr:row>
      <xdr:rowOff>76200</xdr:rowOff>
    </xdr:from>
    <xdr:to>
      <xdr:col>10</xdr:col>
      <xdr:colOff>200024</xdr:colOff>
      <xdr:row>128</xdr:row>
      <xdr:rowOff>128589</xdr:rowOff>
    </xdr:to>
    <xdr:sp macro="" textlink="">
      <xdr:nvSpPr>
        <xdr:cNvPr id="43" name="Rectangle 42">
          <a:extLst>
            <a:ext uri="{FF2B5EF4-FFF2-40B4-BE49-F238E27FC236}">
              <a16:creationId xmlns:a16="http://schemas.microsoft.com/office/drawing/2014/main" id="{00000000-0008-0000-0400-00002B000000}"/>
            </a:ext>
          </a:extLst>
        </xdr:cNvPr>
        <xdr:cNvSpPr/>
      </xdr:nvSpPr>
      <xdr:spPr>
        <a:xfrm>
          <a:off x="7950571" y="23869650"/>
          <a:ext cx="6917953" cy="1871664"/>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1" baseline="0">
              <a:solidFill>
                <a:sysClr val="windowText" lastClr="000000"/>
              </a:solidFill>
            </a:rPr>
            <a:t>Max Tests per Day Module - Instructions</a:t>
          </a:r>
        </a:p>
        <a:p>
          <a:pPr algn="l"/>
          <a:r>
            <a:rPr lang="en-US" sz="1100" b="0" baseline="0">
              <a:solidFill>
                <a:sysClr val="windowText" lastClr="000000"/>
              </a:solidFill>
            </a:rPr>
            <a:t>●  The "Max Tests per Day Module" is a standalone module that assists countries in estimating the total number of </a:t>
          </a:r>
        </a:p>
        <a:p>
          <a:pPr algn="l"/>
          <a:r>
            <a:rPr lang="en-US" sz="1100" b="0" baseline="0">
              <a:solidFill>
                <a:sysClr val="windowText" lastClr="000000"/>
              </a:solidFill>
            </a:rPr>
            <a:t>     tests they can run each day</a:t>
          </a:r>
          <a:r>
            <a:rPr lang="en-US" sz="1100" b="0" baseline="0">
              <a:solidFill>
                <a:sysClr val="windowText" lastClr="000000"/>
              </a:solidFill>
              <a:effectLst/>
            </a:rPr>
            <a:t> based on existing lab infrastructure (i.e., absorption capacity)</a:t>
          </a:r>
        </a:p>
        <a:p>
          <a:pPr algn="l"/>
          <a:r>
            <a:rPr lang="en-US" sz="1100" b="0" baseline="0">
              <a:solidFill>
                <a:sysClr val="windowText" lastClr="000000"/>
              </a:solidFill>
              <a:effectLst/>
              <a:latin typeface="+mn-lt"/>
              <a:ea typeface="+mn-ea"/>
              <a:cs typeface="+mn-cs"/>
            </a:rPr>
            <a:t>●  The "Calculated Max Testing Capacity/Day" below the blue arrow is the output of this module, and can be used to </a:t>
          </a:r>
        </a:p>
        <a:p>
          <a:pPr algn="l"/>
          <a:r>
            <a:rPr lang="en-US" sz="1100" b="0" baseline="0">
              <a:solidFill>
                <a:sysClr val="windowText" lastClr="000000"/>
              </a:solidFill>
              <a:effectLst/>
              <a:latin typeface="+mn-lt"/>
              <a:ea typeface="+mn-ea"/>
              <a:cs typeface="+mn-cs"/>
            </a:rPr>
            <a:t>     "cap" the testing capacity in the given scenario based on likely absorption capacity</a:t>
          </a:r>
        </a:p>
        <a:p>
          <a:r>
            <a:rPr lang="en-US" sz="1100" b="0" baseline="0">
              <a:solidFill>
                <a:sysClr val="windowText" lastClr="000000"/>
              </a:solidFill>
              <a:effectLst/>
              <a:latin typeface="+mn-lt"/>
              <a:ea typeface="+mn-ea"/>
              <a:cs typeface="+mn-cs"/>
            </a:rPr>
            <a:t>●  To model </a:t>
          </a:r>
          <a:r>
            <a:rPr lang="en-US" sz="1100" b="0" i="1" baseline="0">
              <a:solidFill>
                <a:sysClr val="windowText" lastClr="000000"/>
              </a:solidFill>
              <a:effectLst/>
              <a:latin typeface="+mn-lt"/>
              <a:ea typeface="+mn-ea"/>
              <a:cs typeface="+mn-cs"/>
            </a:rPr>
            <a:t>unlimited </a:t>
          </a:r>
          <a:r>
            <a:rPr lang="en-US" sz="1100" b="0" baseline="0">
              <a:solidFill>
                <a:sysClr val="windowText" lastClr="000000"/>
              </a:solidFill>
              <a:effectLst/>
              <a:latin typeface="+mn-lt"/>
              <a:ea typeface="+mn-ea"/>
              <a:cs typeface="+mn-cs"/>
            </a:rPr>
            <a:t>testing capacity (i.e., no capacity constraints), enter 100,000,000,000 as the "User Input </a:t>
          </a:r>
        </a:p>
        <a:p>
          <a:r>
            <a:rPr lang="en-US" sz="1100" b="0" baseline="0">
              <a:solidFill>
                <a:sysClr val="windowText" lastClr="000000"/>
              </a:solidFill>
              <a:effectLst/>
              <a:latin typeface="+mn-lt"/>
              <a:ea typeface="+mn-ea"/>
              <a:cs typeface="+mn-cs"/>
            </a:rPr>
            <a:t>     Maximum # Tests per Day"</a:t>
          </a:r>
        </a:p>
        <a:p>
          <a:r>
            <a:rPr lang="en-US" sz="1100" b="0" baseline="0">
              <a:solidFill>
                <a:sysClr val="windowText" lastClr="000000"/>
              </a:solidFill>
              <a:effectLst/>
              <a:latin typeface="+mn-lt"/>
              <a:ea typeface="+mn-ea"/>
              <a:cs typeface="+mn-cs"/>
            </a:rPr>
            <a:t>●  The module also calculates the estimated lab staff needed based on the existing platforms in the country. This can </a:t>
          </a:r>
        </a:p>
        <a:p>
          <a:r>
            <a:rPr lang="en-US" sz="1100" b="0" baseline="0">
              <a:solidFill>
                <a:sysClr val="windowText" lastClr="000000"/>
              </a:solidFill>
              <a:effectLst/>
              <a:latin typeface="+mn-lt"/>
              <a:ea typeface="+mn-ea"/>
              <a:cs typeface="+mn-cs"/>
            </a:rPr>
            <a:t>     be used as an additional reference point (along with the World Bank data on lab staff) when filling in the "# of Lab </a:t>
          </a:r>
        </a:p>
        <a:p>
          <a:r>
            <a:rPr lang="en-US" sz="1100" b="0" baseline="0">
              <a:solidFill>
                <a:sysClr val="windowText" lastClr="000000"/>
              </a:solidFill>
              <a:effectLst/>
              <a:latin typeface="+mn-lt"/>
              <a:ea typeface="+mn-ea"/>
              <a:cs typeface="+mn-cs"/>
            </a:rPr>
            <a:t>     Staff In Country" cell</a:t>
          </a:r>
          <a:endParaRPr lang="en-US">
            <a:solidFill>
              <a:sysClr val="windowText" lastClr="000000"/>
            </a:solidFill>
            <a:effectLst/>
          </a:endParaRPr>
        </a:p>
      </xdr:txBody>
    </xdr:sp>
    <xdr:clientData/>
  </xdr:twoCellAnchor>
  <xdr:twoCellAnchor>
    <xdr:from>
      <xdr:col>1</xdr:col>
      <xdr:colOff>1201272</xdr:colOff>
      <xdr:row>119</xdr:row>
      <xdr:rowOff>89648</xdr:rowOff>
    </xdr:from>
    <xdr:to>
      <xdr:col>1</xdr:col>
      <xdr:colOff>1437404</xdr:colOff>
      <xdr:row>120</xdr:row>
      <xdr:rowOff>251012</xdr:rowOff>
    </xdr:to>
    <xdr:sp macro="" textlink="">
      <xdr:nvSpPr>
        <xdr:cNvPr id="45" name="Freeform 44">
          <a:extLst>
            <a:ext uri="{FF2B5EF4-FFF2-40B4-BE49-F238E27FC236}">
              <a16:creationId xmlns:a16="http://schemas.microsoft.com/office/drawing/2014/main" id="{00000000-0008-0000-0400-00002D000000}"/>
            </a:ext>
          </a:extLst>
        </xdr:cNvPr>
        <xdr:cNvSpPr>
          <a:spLocks noEditPoints="1"/>
        </xdr:cNvSpPr>
      </xdr:nvSpPr>
      <xdr:spPr bwMode="auto">
        <a:xfrm>
          <a:off x="1416425" y="14944166"/>
          <a:ext cx="236132" cy="340658"/>
        </a:xfrm>
        <a:custGeom>
          <a:avLst/>
          <a:gdLst>
            <a:gd name="T0" fmla="*/ 535 w 547"/>
            <a:gd name="T1" fmla="*/ 743 h 792"/>
            <a:gd name="T2" fmla="*/ 353 w 547"/>
            <a:gd name="T3" fmla="*/ 328 h 792"/>
            <a:gd name="T4" fmla="*/ 353 w 547"/>
            <a:gd name="T5" fmla="*/ 70 h 792"/>
            <a:gd name="T6" fmla="*/ 353 w 547"/>
            <a:gd name="T7" fmla="*/ 43 h 792"/>
            <a:gd name="T8" fmla="*/ 368 w 547"/>
            <a:gd name="T9" fmla="*/ 22 h 792"/>
            <a:gd name="T10" fmla="*/ 356 w 547"/>
            <a:gd name="T11" fmla="*/ 0 h 792"/>
            <a:gd name="T12" fmla="*/ 191 w 547"/>
            <a:gd name="T13" fmla="*/ 0 h 792"/>
            <a:gd name="T14" fmla="*/ 179 w 547"/>
            <a:gd name="T15" fmla="*/ 22 h 792"/>
            <a:gd name="T16" fmla="*/ 194 w 547"/>
            <a:gd name="T17" fmla="*/ 43 h 792"/>
            <a:gd name="T18" fmla="*/ 194 w 547"/>
            <a:gd name="T19" fmla="*/ 70 h 792"/>
            <a:gd name="T20" fmla="*/ 194 w 547"/>
            <a:gd name="T21" fmla="*/ 328 h 792"/>
            <a:gd name="T22" fmla="*/ 12 w 547"/>
            <a:gd name="T23" fmla="*/ 743 h 792"/>
            <a:gd name="T24" fmla="*/ 44 w 547"/>
            <a:gd name="T25" fmla="*/ 792 h 792"/>
            <a:gd name="T26" fmla="*/ 503 w 547"/>
            <a:gd name="T27" fmla="*/ 792 h 792"/>
            <a:gd name="T28" fmla="*/ 535 w 547"/>
            <a:gd name="T29" fmla="*/ 743 h 792"/>
            <a:gd name="T30" fmla="*/ 260 w 547"/>
            <a:gd name="T31" fmla="*/ 476 h 792"/>
            <a:gd name="T32" fmla="*/ 276 w 547"/>
            <a:gd name="T33" fmla="*/ 459 h 792"/>
            <a:gd name="T34" fmla="*/ 360 w 547"/>
            <a:gd name="T35" fmla="*/ 459 h 792"/>
            <a:gd name="T36" fmla="*/ 375 w 547"/>
            <a:gd name="T37" fmla="*/ 476 h 792"/>
            <a:gd name="T38" fmla="*/ 360 w 547"/>
            <a:gd name="T39" fmla="*/ 492 h 792"/>
            <a:gd name="T40" fmla="*/ 276 w 547"/>
            <a:gd name="T41" fmla="*/ 492 h 792"/>
            <a:gd name="T42" fmla="*/ 260 w 547"/>
            <a:gd name="T43" fmla="*/ 476 h 792"/>
            <a:gd name="T44" fmla="*/ 288 w 547"/>
            <a:gd name="T45" fmla="*/ 538 h 792"/>
            <a:gd name="T46" fmla="*/ 303 w 547"/>
            <a:gd name="T47" fmla="*/ 521 h 792"/>
            <a:gd name="T48" fmla="*/ 387 w 547"/>
            <a:gd name="T49" fmla="*/ 521 h 792"/>
            <a:gd name="T50" fmla="*/ 403 w 547"/>
            <a:gd name="T51" fmla="*/ 538 h 792"/>
            <a:gd name="T52" fmla="*/ 387 w 547"/>
            <a:gd name="T53" fmla="*/ 554 h 792"/>
            <a:gd name="T54" fmla="*/ 303 w 547"/>
            <a:gd name="T55" fmla="*/ 554 h 792"/>
            <a:gd name="T56" fmla="*/ 288 w 547"/>
            <a:gd name="T57" fmla="*/ 538 h 792"/>
            <a:gd name="T58" fmla="*/ 414 w 547"/>
            <a:gd name="T59" fmla="*/ 616 h 792"/>
            <a:gd name="T60" fmla="*/ 330 w 547"/>
            <a:gd name="T61" fmla="*/ 616 h 792"/>
            <a:gd name="T62" fmla="*/ 315 w 547"/>
            <a:gd name="T63" fmla="*/ 600 h 792"/>
            <a:gd name="T64" fmla="*/ 330 w 547"/>
            <a:gd name="T65" fmla="*/ 583 h 792"/>
            <a:gd name="T66" fmla="*/ 414 w 547"/>
            <a:gd name="T67" fmla="*/ 583 h 792"/>
            <a:gd name="T68" fmla="*/ 430 w 547"/>
            <a:gd name="T69" fmla="*/ 600 h 792"/>
            <a:gd name="T70" fmla="*/ 414 w 547"/>
            <a:gd name="T71" fmla="*/ 616 h 79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547" h="792">
              <a:moveTo>
                <a:pt x="535" y="743"/>
              </a:moveTo>
              <a:cubicBezTo>
                <a:pt x="353" y="328"/>
                <a:pt x="353" y="328"/>
                <a:pt x="353" y="328"/>
              </a:cubicBezTo>
              <a:cubicBezTo>
                <a:pt x="353" y="70"/>
                <a:pt x="353" y="70"/>
                <a:pt x="353" y="70"/>
              </a:cubicBezTo>
              <a:cubicBezTo>
                <a:pt x="353" y="55"/>
                <a:pt x="353" y="43"/>
                <a:pt x="353" y="43"/>
              </a:cubicBezTo>
              <a:cubicBezTo>
                <a:pt x="353" y="43"/>
                <a:pt x="360" y="33"/>
                <a:pt x="368" y="22"/>
              </a:cubicBezTo>
              <a:cubicBezTo>
                <a:pt x="376" y="10"/>
                <a:pt x="371" y="0"/>
                <a:pt x="356" y="0"/>
              </a:cubicBezTo>
              <a:cubicBezTo>
                <a:pt x="191" y="0"/>
                <a:pt x="191" y="0"/>
                <a:pt x="191" y="0"/>
              </a:cubicBezTo>
              <a:cubicBezTo>
                <a:pt x="176" y="0"/>
                <a:pt x="171" y="10"/>
                <a:pt x="179" y="22"/>
              </a:cubicBezTo>
              <a:cubicBezTo>
                <a:pt x="187" y="33"/>
                <a:pt x="194" y="43"/>
                <a:pt x="194" y="43"/>
              </a:cubicBezTo>
              <a:cubicBezTo>
                <a:pt x="194" y="43"/>
                <a:pt x="194" y="55"/>
                <a:pt x="194" y="70"/>
              </a:cubicBezTo>
              <a:cubicBezTo>
                <a:pt x="194" y="328"/>
                <a:pt x="194" y="328"/>
                <a:pt x="194" y="328"/>
              </a:cubicBezTo>
              <a:cubicBezTo>
                <a:pt x="12" y="743"/>
                <a:pt x="12" y="743"/>
                <a:pt x="12" y="743"/>
              </a:cubicBezTo>
              <a:cubicBezTo>
                <a:pt x="0" y="770"/>
                <a:pt x="14" y="792"/>
                <a:pt x="44" y="792"/>
              </a:cubicBezTo>
              <a:cubicBezTo>
                <a:pt x="503" y="792"/>
                <a:pt x="503" y="792"/>
                <a:pt x="503" y="792"/>
              </a:cubicBezTo>
              <a:cubicBezTo>
                <a:pt x="532" y="792"/>
                <a:pt x="547" y="770"/>
                <a:pt x="535" y="743"/>
              </a:cubicBezTo>
              <a:close/>
              <a:moveTo>
                <a:pt x="260" y="476"/>
              </a:moveTo>
              <a:cubicBezTo>
                <a:pt x="260" y="467"/>
                <a:pt x="267" y="459"/>
                <a:pt x="276" y="459"/>
              </a:cubicBezTo>
              <a:cubicBezTo>
                <a:pt x="360" y="459"/>
                <a:pt x="360" y="459"/>
                <a:pt x="360" y="459"/>
              </a:cubicBezTo>
              <a:cubicBezTo>
                <a:pt x="368" y="459"/>
                <a:pt x="375" y="467"/>
                <a:pt x="375" y="476"/>
              </a:cubicBezTo>
              <a:cubicBezTo>
                <a:pt x="375" y="484"/>
                <a:pt x="368" y="492"/>
                <a:pt x="360" y="492"/>
              </a:cubicBezTo>
              <a:cubicBezTo>
                <a:pt x="276" y="492"/>
                <a:pt x="276" y="492"/>
                <a:pt x="276" y="492"/>
              </a:cubicBezTo>
              <a:cubicBezTo>
                <a:pt x="267" y="492"/>
                <a:pt x="260" y="484"/>
                <a:pt x="260" y="476"/>
              </a:cubicBezTo>
              <a:close/>
              <a:moveTo>
                <a:pt x="288" y="538"/>
              </a:moveTo>
              <a:cubicBezTo>
                <a:pt x="288" y="530"/>
                <a:pt x="295" y="521"/>
                <a:pt x="303" y="521"/>
              </a:cubicBezTo>
              <a:cubicBezTo>
                <a:pt x="387" y="521"/>
                <a:pt x="387" y="521"/>
                <a:pt x="387" y="521"/>
              </a:cubicBezTo>
              <a:cubicBezTo>
                <a:pt x="396" y="521"/>
                <a:pt x="403" y="530"/>
                <a:pt x="403" y="538"/>
              </a:cubicBezTo>
              <a:cubicBezTo>
                <a:pt x="403" y="546"/>
                <a:pt x="396" y="554"/>
                <a:pt x="387" y="554"/>
              </a:cubicBezTo>
              <a:cubicBezTo>
                <a:pt x="303" y="554"/>
                <a:pt x="303" y="554"/>
                <a:pt x="303" y="554"/>
              </a:cubicBezTo>
              <a:cubicBezTo>
                <a:pt x="295" y="554"/>
                <a:pt x="288" y="546"/>
                <a:pt x="288" y="538"/>
              </a:cubicBezTo>
              <a:close/>
              <a:moveTo>
                <a:pt x="414" y="616"/>
              </a:moveTo>
              <a:cubicBezTo>
                <a:pt x="330" y="616"/>
                <a:pt x="330" y="616"/>
                <a:pt x="330" y="616"/>
              </a:cubicBezTo>
              <a:cubicBezTo>
                <a:pt x="322" y="616"/>
                <a:pt x="315" y="608"/>
                <a:pt x="315" y="600"/>
              </a:cubicBezTo>
              <a:cubicBezTo>
                <a:pt x="315" y="591"/>
                <a:pt x="322" y="583"/>
                <a:pt x="330" y="583"/>
              </a:cubicBezTo>
              <a:cubicBezTo>
                <a:pt x="414" y="583"/>
                <a:pt x="414" y="583"/>
                <a:pt x="414" y="583"/>
              </a:cubicBezTo>
              <a:cubicBezTo>
                <a:pt x="423" y="583"/>
                <a:pt x="430" y="591"/>
                <a:pt x="430" y="600"/>
              </a:cubicBezTo>
              <a:cubicBezTo>
                <a:pt x="430" y="608"/>
                <a:pt x="423" y="616"/>
                <a:pt x="414" y="616"/>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3</xdr:col>
      <xdr:colOff>262468</xdr:colOff>
      <xdr:row>151</xdr:row>
      <xdr:rowOff>118533</xdr:rowOff>
    </xdr:from>
    <xdr:to>
      <xdr:col>6</xdr:col>
      <xdr:colOff>1611157</xdr:colOff>
      <xdr:row>160</xdr:row>
      <xdr:rowOff>135466</xdr:rowOff>
    </xdr:to>
    <xdr:sp macro="" textlink="">
      <xdr:nvSpPr>
        <xdr:cNvPr id="46" name="Rectangle 45">
          <a:extLst>
            <a:ext uri="{FF2B5EF4-FFF2-40B4-BE49-F238E27FC236}">
              <a16:creationId xmlns:a16="http://schemas.microsoft.com/office/drawing/2014/main" id="{00000000-0008-0000-0400-00002E000000}"/>
            </a:ext>
          </a:extLst>
        </xdr:cNvPr>
        <xdr:cNvSpPr/>
      </xdr:nvSpPr>
      <xdr:spPr>
        <a:xfrm>
          <a:off x="4961468" y="30598533"/>
          <a:ext cx="5565089" cy="1693333"/>
        </a:xfrm>
        <a:prstGeom prst="rect">
          <a:avLst/>
        </a:prstGeom>
        <a:solidFill>
          <a:schemeClr val="bg1">
            <a:lumMod val="9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US" sz="1100" b="1" baseline="0">
              <a:solidFill>
                <a:sysClr val="windowText" lastClr="000000"/>
              </a:solidFill>
            </a:rPr>
            <a:t>Additional Capacity per Day Module - Instructions</a:t>
          </a:r>
        </a:p>
        <a:p>
          <a:pPr algn="l"/>
          <a:r>
            <a:rPr lang="en-US" sz="1100" b="0" baseline="0">
              <a:solidFill>
                <a:sysClr val="windowText" lastClr="000000"/>
              </a:solidFill>
            </a:rPr>
            <a:t>●  The "Additional Capacity per Day Module" allows users to input needs for additional near-   </a:t>
          </a:r>
        </a:p>
        <a:p>
          <a:pPr algn="l"/>
          <a:r>
            <a:rPr lang="en-US" sz="1100" b="0" baseline="0">
              <a:solidFill>
                <a:sysClr val="windowText" lastClr="000000"/>
              </a:solidFill>
            </a:rPr>
            <a:t>     patient and manual platforms to increase COVID-19 testing capacity</a:t>
          </a:r>
          <a:endParaRPr lang="en-US" sz="1100" b="0" baseline="0">
            <a:solidFill>
              <a:sysClr val="windowText" lastClr="000000"/>
            </a:solidFill>
            <a:effectLst/>
          </a:endParaRPr>
        </a:p>
        <a:p>
          <a:r>
            <a:rPr lang="en-US" sz="1100" b="0" baseline="0">
              <a:solidFill>
                <a:sysClr val="windowText" lastClr="000000"/>
              </a:solidFill>
              <a:effectLst/>
              <a:latin typeface="+mn-lt"/>
              <a:ea typeface="+mn-ea"/>
              <a:cs typeface="+mn-cs"/>
            </a:rPr>
            <a:t>●  Additional systems entered here will be quantified and costed in the outputs of the tool</a:t>
          </a:r>
        </a:p>
        <a:p>
          <a:r>
            <a:rPr lang="en-US" sz="1100" b="0" baseline="0">
              <a:solidFill>
                <a:sysClr val="windowText" lastClr="000000"/>
              </a:solidFill>
              <a:effectLst/>
              <a:latin typeface="+mn-lt"/>
              <a:ea typeface="+mn-ea"/>
              <a:cs typeface="+mn-cs"/>
            </a:rPr>
            <a:t>●  The module will also calculate the estimated increase in capacity per day given the </a:t>
          </a:r>
        </a:p>
        <a:p>
          <a:r>
            <a:rPr lang="en-US" sz="1100" b="0" baseline="0">
              <a:solidFill>
                <a:sysClr val="windowText" lastClr="000000"/>
              </a:solidFill>
              <a:effectLst/>
              <a:latin typeface="+mn-lt"/>
              <a:ea typeface="+mn-ea"/>
              <a:cs typeface="+mn-cs"/>
            </a:rPr>
            <a:t>     additional systems entered here (based on shifts and operating days entered in the "Max </a:t>
          </a:r>
        </a:p>
        <a:p>
          <a:r>
            <a:rPr lang="en-US" sz="1100" b="0" baseline="0">
              <a:solidFill>
                <a:sysClr val="windowText" lastClr="000000"/>
              </a:solidFill>
              <a:effectLst/>
              <a:latin typeface="+mn-lt"/>
              <a:ea typeface="+mn-ea"/>
              <a:cs typeface="+mn-cs"/>
            </a:rPr>
            <a:t>     Tests per Day" module and assuming these platforms will be 100% dedicated to COVID-19)</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ysClr val="windowText" lastClr="000000"/>
              </a:solidFill>
              <a:effectLst/>
              <a:latin typeface="+mn-lt"/>
              <a:ea typeface="+mn-ea"/>
              <a:cs typeface="+mn-cs"/>
            </a:rPr>
            <a:t>●  Leave this section blank if you do not want to procure additional platforms</a:t>
          </a:r>
          <a:endParaRPr lang="en-US">
            <a:solidFill>
              <a:sysClr val="windowText" lastClr="000000"/>
            </a:solidFill>
            <a:effectLst/>
          </a:endParaRPr>
        </a:p>
      </xdr:txBody>
    </xdr:sp>
    <xdr:clientData/>
  </xdr:twoCellAnchor>
  <xdr:twoCellAnchor>
    <xdr:from>
      <xdr:col>5</xdr:col>
      <xdr:colOff>28575</xdr:colOff>
      <xdr:row>32</xdr:row>
      <xdr:rowOff>66675</xdr:rowOff>
    </xdr:from>
    <xdr:to>
      <xdr:col>5</xdr:col>
      <xdr:colOff>1076325</xdr:colOff>
      <xdr:row>34</xdr:row>
      <xdr:rowOff>19050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867650" y="7267575"/>
          <a:ext cx="1047750" cy="409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176893</xdr:colOff>
      <xdr:row>22</xdr:row>
      <xdr:rowOff>170969</xdr:rowOff>
    </xdr:from>
    <xdr:to>
      <xdr:col>3</xdr:col>
      <xdr:colOff>206829</xdr:colOff>
      <xdr:row>37</xdr:row>
      <xdr:rowOff>32582</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1084489</xdr:colOff>
      <xdr:row>60</xdr:row>
      <xdr:rowOff>133349</xdr:rowOff>
    </xdr:from>
    <xdr:to>
      <xdr:col>6</xdr:col>
      <xdr:colOff>1552575</xdr:colOff>
      <xdr:row>75</xdr:row>
      <xdr:rowOff>148315</xdr:rowOff>
    </xdr:to>
    <xdr:graphicFrame macro="">
      <xdr:nvGraphicFramePr>
        <xdr:cNvPr id="27" name="Chart 26">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776449</xdr:colOff>
      <xdr:row>8</xdr:row>
      <xdr:rowOff>68242</xdr:rowOff>
    </xdr:from>
    <xdr:to>
      <xdr:col>7</xdr:col>
      <xdr:colOff>806630</xdr:colOff>
      <xdr:row>9</xdr:row>
      <xdr:rowOff>124838</xdr:rowOff>
    </xdr:to>
    <xdr:sp macro="" textlink="">
      <xdr:nvSpPr>
        <xdr:cNvPr id="55" name="Rectangle 54">
          <a:extLst>
            <a:ext uri="{FF2B5EF4-FFF2-40B4-BE49-F238E27FC236}">
              <a16:creationId xmlns:a16="http://schemas.microsoft.com/office/drawing/2014/main" id="{00000000-0008-0000-0500-000037000000}"/>
            </a:ext>
          </a:extLst>
        </xdr:cNvPr>
        <xdr:cNvSpPr/>
      </xdr:nvSpPr>
      <xdr:spPr>
        <a:xfrm>
          <a:off x="9822478" y="2016785"/>
          <a:ext cx="2076695"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Determine</a:t>
          </a:r>
          <a:r>
            <a:rPr lang="en-US" sz="1200" b="1" baseline="0">
              <a:solidFill>
                <a:sysClr val="windowText" lastClr="000000"/>
              </a:solidFill>
            </a:rPr>
            <a:t> </a:t>
          </a:r>
          <a:r>
            <a:rPr lang="en-US" sz="1200" b="1">
              <a:solidFill>
                <a:sysClr val="windowText" lastClr="000000"/>
              </a:solidFill>
            </a:rPr>
            <a:t>Forecast Period</a:t>
          </a:r>
        </a:p>
      </xdr:txBody>
    </xdr:sp>
    <xdr:clientData/>
  </xdr:twoCellAnchor>
  <xdr:twoCellAnchor>
    <xdr:from>
      <xdr:col>1</xdr:col>
      <xdr:colOff>599944</xdr:colOff>
      <xdr:row>8</xdr:row>
      <xdr:rowOff>21683</xdr:rowOff>
    </xdr:from>
    <xdr:to>
      <xdr:col>2</xdr:col>
      <xdr:colOff>1699531</xdr:colOff>
      <xdr:row>9</xdr:row>
      <xdr:rowOff>130629</xdr:rowOff>
    </xdr:to>
    <xdr:sp macro="" textlink="">
      <xdr:nvSpPr>
        <xdr:cNvPr id="57" name="Rectangle 56">
          <a:extLst>
            <a:ext uri="{FF2B5EF4-FFF2-40B4-BE49-F238E27FC236}">
              <a16:creationId xmlns:a16="http://schemas.microsoft.com/office/drawing/2014/main" id="{00000000-0008-0000-0500-000039000000}"/>
            </a:ext>
          </a:extLst>
        </xdr:cNvPr>
        <xdr:cNvSpPr/>
      </xdr:nvSpPr>
      <xdr:spPr>
        <a:xfrm>
          <a:off x="876169" y="2031458"/>
          <a:ext cx="2909337" cy="3089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Define Infections &amp; Growth Rate</a:t>
          </a:r>
        </a:p>
      </xdr:txBody>
    </xdr:sp>
    <xdr:clientData/>
  </xdr:twoCellAnchor>
  <xdr:twoCellAnchor>
    <xdr:from>
      <xdr:col>6</xdr:col>
      <xdr:colOff>819992</xdr:colOff>
      <xdr:row>13</xdr:row>
      <xdr:rowOff>216103</xdr:rowOff>
    </xdr:from>
    <xdr:to>
      <xdr:col>7</xdr:col>
      <xdr:colOff>850173</xdr:colOff>
      <xdr:row>13</xdr:row>
      <xdr:rowOff>457756</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a:off x="9144842" y="3807028"/>
          <a:ext cx="2668606" cy="241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ysClr val="windowText" lastClr="000000"/>
              </a:solidFill>
            </a:rPr>
            <a:t>Testing Strategy</a:t>
          </a:r>
        </a:p>
      </xdr:txBody>
    </xdr:sp>
    <xdr:clientData/>
  </xdr:twoCellAnchor>
  <xdr:twoCellAnchor>
    <xdr:from>
      <xdr:col>6</xdr:col>
      <xdr:colOff>0</xdr:colOff>
      <xdr:row>14</xdr:row>
      <xdr:rowOff>89626</xdr:rowOff>
    </xdr:from>
    <xdr:to>
      <xdr:col>8</xdr:col>
      <xdr:colOff>13426</xdr:colOff>
      <xdr:row>14</xdr:row>
      <xdr:rowOff>171922</xdr:rowOff>
    </xdr:to>
    <xdr:sp macro="" textlink="">
      <xdr:nvSpPr>
        <xdr:cNvPr id="3" name="Rectangle 2">
          <a:extLst>
            <a:ext uri="{FF2B5EF4-FFF2-40B4-BE49-F238E27FC236}">
              <a16:creationId xmlns:a16="http://schemas.microsoft.com/office/drawing/2014/main" id="{00000000-0008-0000-0500-000003000000}"/>
            </a:ext>
          </a:extLst>
        </xdr:cNvPr>
        <xdr:cNvSpPr/>
      </xdr:nvSpPr>
      <xdr:spPr>
        <a:xfrm>
          <a:off x="9022080" y="4044406"/>
          <a:ext cx="3853906" cy="822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460914</xdr:colOff>
      <xdr:row>7</xdr:row>
      <xdr:rowOff>195283</xdr:rowOff>
    </xdr:from>
    <xdr:to>
      <xdr:col>1</xdr:col>
      <xdr:colOff>840666</xdr:colOff>
      <xdr:row>9</xdr:row>
      <xdr:rowOff>150194</xdr:rowOff>
    </xdr:to>
    <xdr:grpSp>
      <xdr:nvGrpSpPr>
        <xdr:cNvPr id="11" name="Group 10">
          <a:extLst>
            <a:ext uri="{FF2B5EF4-FFF2-40B4-BE49-F238E27FC236}">
              <a16:creationId xmlns:a16="http://schemas.microsoft.com/office/drawing/2014/main" id="{00000000-0008-0000-0500-00000B000000}"/>
            </a:ext>
          </a:extLst>
        </xdr:cNvPr>
        <xdr:cNvGrpSpPr/>
      </xdr:nvGrpSpPr>
      <xdr:grpSpPr>
        <a:xfrm rot="1530268">
          <a:off x="737139" y="1995508"/>
          <a:ext cx="379752" cy="364486"/>
          <a:chOff x="4108450" y="489175"/>
          <a:chExt cx="844175" cy="795113"/>
        </a:xfrm>
        <a:solidFill>
          <a:schemeClr val="tx1"/>
        </a:solidFill>
      </xdr:grpSpPr>
      <xdr:sp macro="" textlink="">
        <xdr:nvSpPr>
          <xdr:cNvPr id="12" name="Freeform 11">
            <a:extLst>
              <a:ext uri="{FF2B5EF4-FFF2-40B4-BE49-F238E27FC236}">
                <a16:creationId xmlns:a16="http://schemas.microsoft.com/office/drawing/2014/main" id="{00000000-0008-0000-0500-00000C000000}"/>
              </a:ext>
            </a:extLst>
          </xdr:cNvPr>
          <xdr:cNvSpPr>
            <a:spLocks/>
          </xdr:cNvSpPr>
        </xdr:nvSpPr>
        <xdr:spPr bwMode="auto">
          <a:xfrm>
            <a:off x="4108450" y="633413"/>
            <a:ext cx="785813" cy="650875"/>
          </a:xfrm>
          <a:custGeom>
            <a:avLst/>
            <a:gdLst>
              <a:gd name="T0" fmla="*/ 442 w 495"/>
              <a:gd name="T1" fmla="*/ 0 h 410"/>
              <a:gd name="T2" fmla="*/ 355 w 495"/>
              <a:gd name="T3" fmla="*/ 209 h 410"/>
              <a:gd name="T4" fmla="*/ 268 w 495"/>
              <a:gd name="T5" fmla="*/ 121 h 410"/>
              <a:gd name="T6" fmla="*/ 196 w 495"/>
              <a:gd name="T7" fmla="*/ 286 h 410"/>
              <a:gd name="T8" fmla="*/ 117 w 495"/>
              <a:gd name="T9" fmla="*/ 205 h 410"/>
              <a:gd name="T10" fmla="*/ 0 w 495"/>
              <a:gd name="T11" fmla="*/ 375 h 410"/>
              <a:gd name="T12" fmla="*/ 47 w 495"/>
              <a:gd name="T13" fmla="*/ 410 h 410"/>
              <a:gd name="T14" fmla="*/ 47 w 495"/>
              <a:gd name="T15" fmla="*/ 410 h 410"/>
              <a:gd name="T16" fmla="*/ 125 w 495"/>
              <a:gd name="T17" fmla="*/ 297 h 410"/>
              <a:gd name="T18" fmla="*/ 214 w 495"/>
              <a:gd name="T19" fmla="*/ 390 h 410"/>
              <a:gd name="T20" fmla="*/ 286 w 495"/>
              <a:gd name="T21" fmla="*/ 224 h 410"/>
              <a:gd name="T22" fmla="*/ 375 w 495"/>
              <a:gd name="T23" fmla="*/ 312 h 410"/>
              <a:gd name="T24" fmla="*/ 495 w 495"/>
              <a:gd name="T25" fmla="*/ 22 h 410"/>
              <a:gd name="T26" fmla="*/ 442 w 495"/>
              <a:gd name="T27" fmla="*/ 0 h 4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95" h="410">
                <a:moveTo>
                  <a:pt x="442" y="0"/>
                </a:moveTo>
                <a:lnTo>
                  <a:pt x="355" y="209"/>
                </a:lnTo>
                <a:lnTo>
                  <a:pt x="268" y="121"/>
                </a:lnTo>
                <a:lnTo>
                  <a:pt x="196" y="286"/>
                </a:lnTo>
                <a:lnTo>
                  <a:pt x="117" y="205"/>
                </a:lnTo>
                <a:lnTo>
                  <a:pt x="0" y="375"/>
                </a:lnTo>
                <a:lnTo>
                  <a:pt x="47" y="410"/>
                </a:lnTo>
                <a:lnTo>
                  <a:pt x="47" y="410"/>
                </a:lnTo>
                <a:lnTo>
                  <a:pt x="125" y="297"/>
                </a:lnTo>
                <a:lnTo>
                  <a:pt x="214" y="390"/>
                </a:lnTo>
                <a:lnTo>
                  <a:pt x="286" y="224"/>
                </a:lnTo>
                <a:lnTo>
                  <a:pt x="375" y="312"/>
                </a:lnTo>
                <a:lnTo>
                  <a:pt x="495" y="22"/>
                </a:lnTo>
                <a:lnTo>
                  <a:pt x="44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Freeform 12">
            <a:extLst>
              <a:ext uri="{FF2B5EF4-FFF2-40B4-BE49-F238E27FC236}">
                <a16:creationId xmlns:a16="http://schemas.microsoft.com/office/drawing/2014/main" id="{00000000-0008-0000-0500-00000D000000}"/>
              </a:ext>
            </a:extLst>
          </xdr:cNvPr>
          <xdr:cNvSpPr>
            <a:spLocks/>
          </xdr:cNvSpPr>
        </xdr:nvSpPr>
        <xdr:spPr bwMode="auto">
          <a:xfrm>
            <a:off x="4752600" y="489175"/>
            <a:ext cx="200025" cy="214313"/>
          </a:xfrm>
          <a:custGeom>
            <a:avLst/>
            <a:gdLst>
              <a:gd name="T0" fmla="*/ 72 w 85"/>
              <a:gd name="T1" fmla="*/ 88 h 91"/>
              <a:gd name="T2" fmla="*/ 83 w 85"/>
              <a:gd name="T3" fmla="*/ 75 h 91"/>
              <a:gd name="T4" fmla="*/ 75 w 85"/>
              <a:gd name="T5" fmla="*/ 13 h 91"/>
              <a:gd name="T6" fmla="*/ 58 w 85"/>
              <a:gd name="T7" fmla="*/ 6 h 91"/>
              <a:gd name="T8" fmla="*/ 8 w 85"/>
              <a:gd name="T9" fmla="*/ 44 h 91"/>
              <a:gd name="T10" fmla="*/ 7 w 85"/>
              <a:gd name="T11" fmla="*/ 61 h 91"/>
              <a:gd name="T12" fmla="*/ 39 w 85"/>
              <a:gd name="T13" fmla="*/ 74 h 91"/>
              <a:gd name="T14" fmla="*/ 41 w 85"/>
              <a:gd name="T15" fmla="*/ 75 h 91"/>
              <a:gd name="T16" fmla="*/ 72 w 85"/>
              <a:gd name="T17" fmla="*/ 88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91">
                <a:moveTo>
                  <a:pt x="72" y="88"/>
                </a:moveTo>
                <a:cubicBezTo>
                  <a:pt x="80" y="91"/>
                  <a:pt x="85" y="85"/>
                  <a:pt x="83" y="75"/>
                </a:cubicBezTo>
                <a:cubicBezTo>
                  <a:pt x="75" y="13"/>
                  <a:pt x="75" y="13"/>
                  <a:pt x="75" y="13"/>
                </a:cubicBezTo>
                <a:cubicBezTo>
                  <a:pt x="74" y="3"/>
                  <a:pt x="66" y="0"/>
                  <a:pt x="58" y="6"/>
                </a:cubicBezTo>
                <a:cubicBezTo>
                  <a:pt x="8" y="44"/>
                  <a:pt x="8" y="44"/>
                  <a:pt x="8" y="44"/>
                </a:cubicBezTo>
                <a:cubicBezTo>
                  <a:pt x="0" y="50"/>
                  <a:pt x="0" y="58"/>
                  <a:pt x="7" y="61"/>
                </a:cubicBezTo>
                <a:cubicBezTo>
                  <a:pt x="15" y="65"/>
                  <a:pt x="29" y="70"/>
                  <a:pt x="39" y="74"/>
                </a:cubicBezTo>
                <a:cubicBezTo>
                  <a:pt x="41" y="75"/>
                  <a:pt x="41" y="75"/>
                  <a:pt x="41" y="75"/>
                </a:cubicBezTo>
                <a:cubicBezTo>
                  <a:pt x="50" y="79"/>
                  <a:pt x="64" y="85"/>
                  <a:pt x="72" y="8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6</xdr:col>
      <xdr:colOff>1227523</xdr:colOff>
      <xdr:row>13</xdr:row>
      <xdr:rowOff>205313</xdr:rowOff>
    </xdr:from>
    <xdr:to>
      <xdr:col>6</xdr:col>
      <xdr:colOff>1501843</xdr:colOff>
      <xdr:row>13</xdr:row>
      <xdr:rowOff>479633</xdr:rowOff>
    </xdr:to>
    <xdr:sp macro="" textlink="">
      <xdr:nvSpPr>
        <xdr:cNvPr id="14" name="Freeform 13">
          <a:extLst>
            <a:ext uri="{FF2B5EF4-FFF2-40B4-BE49-F238E27FC236}">
              <a16:creationId xmlns:a16="http://schemas.microsoft.com/office/drawing/2014/main" id="{00000000-0008-0000-0500-00000E000000}"/>
            </a:ext>
          </a:extLst>
        </xdr:cNvPr>
        <xdr:cNvSpPr>
          <a:spLocks noEditPoints="1"/>
        </xdr:cNvSpPr>
      </xdr:nvSpPr>
      <xdr:spPr bwMode="auto">
        <a:xfrm>
          <a:off x="9537805" y="3809125"/>
          <a:ext cx="274320" cy="274320"/>
        </a:xfrm>
        <a:custGeom>
          <a:avLst/>
          <a:gdLst>
            <a:gd name="T0" fmla="*/ 152 w 312"/>
            <a:gd name="T1" fmla="*/ 10 h 309"/>
            <a:gd name="T2" fmla="*/ 302 w 312"/>
            <a:gd name="T3" fmla="*/ 150 h 309"/>
            <a:gd name="T4" fmla="*/ 310 w 312"/>
            <a:gd name="T5" fmla="*/ 160 h 309"/>
            <a:gd name="T6" fmla="*/ 162 w 312"/>
            <a:gd name="T7" fmla="*/ 309 h 309"/>
            <a:gd name="T8" fmla="*/ 13 w 312"/>
            <a:gd name="T9" fmla="*/ 160 h 309"/>
            <a:gd name="T10" fmla="*/ 199 w 312"/>
            <a:gd name="T11" fmla="*/ 150 h 309"/>
            <a:gd name="T12" fmla="*/ 199 w 312"/>
            <a:gd name="T13" fmla="*/ 154 h 309"/>
            <a:gd name="T14" fmla="*/ 199 w 312"/>
            <a:gd name="T15" fmla="*/ 154 h 309"/>
            <a:gd name="T16" fmla="*/ 199 w 312"/>
            <a:gd name="T17" fmla="*/ 155 h 309"/>
            <a:gd name="T18" fmla="*/ 163 w 312"/>
            <a:gd name="T19" fmla="*/ 216 h 309"/>
            <a:gd name="T20" fmla="*/ 153 w 312"/>
            <a:gd name="T21" fmla="*/ 178 h 309"/>
            <a:gd name="T22" fmla="*/ 134 w 312"/>
            <a:gd name="T23" fmla="*/ 160 h 309"/>
            <a:gd name="T24" fmla="*/ 117 w 312"/>
            <a:gd name="T25" fmla="*/ 150 h 309"/>
            <a:gd name="T26" fmla="*/ 152 w 312"/>
            <a:gd name="T27" fmla="*/ 113 h 309"/>
            <a:gd name="T28" fmla="*/ 153 w 312"/>
            <a:gd name="T29" fmla="*/ 113 h 309"/>
            <a:gd name="T30" fmla="*/ 153 w 312"/>
            <a:gd name="T31" fmla="*/ 113 h 309"/>
            <a:gd name="T32" fmla="*/ 153 w 312"/>
            <a:gd name="T33" fmla="*/ 113 h 309"/>
            <a:gd name="T34" fmla="*/ 154 w 312"/>
            <a:gd name="T35" fmla="*/ 113 h 309"/>
            <a:gd name="T36" fmla="*/ 155 w 312"/>
            <a:gd name="T37" fmla="*/ 113 h 309"/>
            <a:gd name="T38" fmla="*/ 155 w 312"/>
            <a:gd name="T39" fmla="*/ 113 h 309"/>
            <a:gd name="T40" fmla="*/ 155 w 312"/>
            <a:gd name="T41" fmla="*/ 113 h 309"/>
            <a:gd name="T42" fmla="*/ 155 w 312"/>
            <a:gd name="T43" fmla="*/ 113 h 309"/>
            <a:gd name="T44" fmla="*/ 155 w 312"/>
            <a:gd name="T45" fmla="*/ 113 h 309"/>
            <a:gd name="T46" fmla="*/ 155 w 312"/>
            <a:gd name="T47" fmla="*/ 113 h 309"/>
            <a:gd name="T48" fmla="*/ 156 w 312"/>
            <a:gd name="T49" fmla="*/ 113 h 309"/>
            <a:gd name="T50" fmla="*/ 156 w 312"/>
            <a:gd name="T51" fmla="*/ 113 h 309"/>
            <a:gd name="T52" fmla="*/ 156 w 312"/>
            <a:gd name="T53" fmla="*/ 113 h 309"/>
            <a:gd name="T54" fmla="*/ 156 w 312"/>
            <a:gd name="T55" fmla="*/ 113 h 309"/>
            <a:gd name="T56" fmla="*/ 156 w 312"/>
            <a:gd name="T57" fmla="*/ 113 h 309"/>
            <a:gd name="T58" fmla="*/ 156 w 312"/>
            <a:gd name="T59" fmla="*/ 113 h 309"/>
            <a:gd name="T60" fmla="*/ 157 w 312"/>
            <a:gd name="T61" fmla="*/ 113 h 309"/>
            <a:gd name="T62" fmla="*/ 157 w 312"/>
            <a:gd name="T63" fmla="*/ 113 h 309"/>
            <a:gd name="T64" fmla="*/ 157 w 312"/>
            <a:gd name="T65" fmla="*/ 113 h 309"/>
            <a:gd name="T66" fmla="*/ 157 w 312"/>
            <a:gd name="T67" fmla="*/ 113 h 309"/>
            <a:gd name="T68" fmla="*/ 157 w 312"/>
            <a:gd name="T69" fmla="*/ 113 h 309"/>
            <a:gd name="T70" fmla="*/ 199 w 312"/>
            <a:gd name="T71" fmla="*/ 150 h 309"/>
            <a:gd name="T72" fmla="*/ 182 w 312"/>
            <a:gd name="T73" fmla="*/ 160 h 309"/>
            <a:gd name="T74" fmla="*/ 158 w 312"/>
            <a:gd name="T75" fmla="*/ 196 h 309"/>
            <a:gd name="T76" fmla="*/ 158 w 312"/>
            <a:gd name="T77" fmla="*/ 196 h 309"/>
            <a:gd name="T78" fmla="*/ 158 w 312"/>
            <a:gd name="T79" fmla="*/ 196 h 309"/>
            <a:gd name="T80" fmla="*/ 152 w 312"/>
            <a:gd name="T81" fmla="*/ 216 h 309"/>
            <a:gd name="T82" fmla="*/ 116 w 312"/>
            <a:gd name="T83" fmla="*/ 155 h 309"/>
            <a:gd name="T84" fmla="*/ 116 w 312"/>
            <a:gd name="T85" fmla="*/ 154 h 309"/>
            <a:gd name="T86" fmla="*/ 116 w 312"/>
            <a:gd name="T87" fmla="*/ 154 h 309"/>
            <a:gd name="T88" fmla="*/ 152 w 312"/>
            <a:gd name="T89" fmla="*/ 93 h 309"/>
            <a:gd name="T90" fmla="*/ 162 w 312"/>
            <a:gd name="T91" fmla="*/ 129 h 309"/>
            <a:gd name="T92" fmla="*/ 219 w 312"/>
            <a:gd name="T93" fmla="*/ 150 h 309"/>
            <a:gd name="T94" fmla="*/ 116 w 312"/>
            <a:gd name="T95" fmla="*/ 154 h 309"/>
            <a:gd name="T96" fmla="*/ 158 w 312"/>
            <a:gd name="T97" fmla="*/ 172 h 309"/>
            <a:gd name="T98" fmla="*/ 244 w 312"/>
            <a:gd name="T99" fmla="*/ 150 h 309"/>
            <a:gd name="T100" fmla="*/ 244 w 312"/>
            <a:gd name="T101" fmla="*/ 160 h 309"/>
            <a:gd name="T102" fmla="*/ 244 w 312"/>
            <a:gd name="T103" fmla="*/ 160 h 309"/>
            <a:gd name="T104" fmla="*/ 152 w 312"/>
            <a:gd name="T105" fmla="*/ 270 h 309"/>
            <a:gd name="T106" fmla="*/ 152 w 312"/>
            <a:gd name="T107" fmla="*/ 39 h 3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312" h="309">
              <a:moveTo>
                <a:pt x="0" y="160"/>
              </a:moveTo>
              <a:cubicBezTo>
                <a:pt x="0" y="150"/>
                <a:pt x="0" y="150"/>
                <a:pt x="0" y="150"/>
              </a:cubicBezTo>
              <a:cubicBezTo>
                <a:pt x="13" y="150"/>
                <a:pt x="13" y="150"/>
                <a:pt x="13" y="150"/>
              </a:cubicBezTo>
              <a:cubicBezTo>
                <a:pt x="16" y="74"/>
                <a:pt x="77" y="13"/>
                <a:pt x="152" y="10"/>
              </a:cubicBezTo>
              <a:cubicBezTo>
                <a:pt x="152" y="0"/>
                <a:pt x="152" y="0"/>
                <a:pt x="152" y="0"/>
              </a:cubicBezTo>
              <a:cubicBezTo>
                <a:pt x="163" y="0"/>
                <a:pt x="163" y="0"/>
                <a:pt x="163" y="0"/>
              </a:cubicBezTo>
              <a:cubicBezTo>
                <a:pt x="163" y="10"/>
                <a:pt x="163" y="10"/>
                <a:pt x="163" y="10"/>
              </a:cubicBezTo>
              <a:cubicBezTo>
                <a:pt x="238" y="13"/>
                <a:pt x="300" y="74"/>
                <a:pt x="302" y="150"/>
              </a:cubicBezTo>
              <a:cubicBezTo>
                <a:pt x="310" y="150"/>
                <a:pt x="310" y="150"/>
                <a:pt x="310" y="150"/>
              </a:cubicBezTo>
              <a:cubicBezTo>
                <a:pt x="311" y="150"/>
                <a:pt x="312" y="150"/>
                <a:pt x="312" y="151"/>
              </a:cubicBezTo>
              <a:cubicBezTo>
                <a:pt x="312" y="159"/>
                <a:pt x="312" y="159"/>
                <a:pt x="312" y="159"/>
              </a:cubicBezTo>
              <a:cubicBezTo>
                <a:pt x="312" y="160"/>
                <a:pt x="311" y="160"/>
                <a:pt x="310" y="160"/>
              </a:cubicBezTo>
              <a:cubicBezTo>
                <a:pt x="302" y="160"/>
                <a:pt x="302" y="160"/>
                <a:pt x="302" y="160"/>
              </a:cubicBezTo>
              <a:cubicBezTo>
                <a:pt x="299" y="235"/>
                <a:pt x="238" y="296"/>
                <a:pt x="163" y="299"/>
              </a:cubicBezTo>
              <a:cubicBezTo>
                <a:pt x="163" y="308"/>
                <a:pt x="163" y="308"/>
                <a:pt x="163" y="308"/>
              </a:cubicBezTo>
              <a:cubicBezTo>
                <a:pt x="163" y="309"/>
                <a:pt x="162" y="309"/>
                <a:pt x="162" y="309"/>
              </a:cubicBezTo>
              <a:cubicBezTo>
                <a:pt x="153" y="309"/>
                <a:pt x="153" y="309"/>
                <a:pt x="153" y="309"/>
              </a:cubicBezTo>
              <a:cubicBezTo>
                <a:pt x="153" y="309"/>
                <a:pt x="152" y="309"/>
                <a:pt x="152" y="308"/>
              </a:cubicBezTo>
              <a:cubicBezTo>
                <a:pt x="152" y="299"/>
                <a:pt x="152" y="299"/>
                <a:pt x="152" y="299"/>
              </a:cubicBezTo>
              <a:cubicBezTo>
                <a:pt x="77" y="296"/>
                <a:pt x="16" y="235"/>
                <a:pt x="13" y="160"/>
              </a:cubicBezTo>
              <a:cubicBezTo>
                <a:pt x="0" y="160"/>
                <a:pt x="0" y="160"/>
                <a:pt x="0" y="160"/>
              </a:cubicBezTo>
              <a:close/>
              <a:moveTo>
                <a:pt x="163" y="113"/>
              </a:moveTo>
              <a:cubicBezTo>
                <a:pt x="182" y="116"/>
                <a:pt x="197" y="131"/>
                <a:pt x="199" y="150"/>
              </a:cubicBezTo>
              <a:cubicBezTo>
                <a:pt x="199" y="150"/>
                <a:pt x="199" y="150"/>
                <a:pt x="199" y="150"/>
              </a:cubicBezTo>
              <a:cubicBezTo>
                <a:pt x="199" y="151"/>
                <a:pt x="199" y="153"/>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4"/>
                <a:pt x="199" y="154"/>
                <a:pt x="199" y="154"/>
              </a:cubicBezTo>
              <a:cubicBezTo>
                <a:pt x="199" y="155"/>
                <a:pt x="199" y="155"/>
                <a:pt x="199" y="155"/>
              </a:cubicBezTo>
              <a:cubicBezTo>
                <a:pt x="199" y="155"/>
                <a:pt x="199" y="155"/>
                <a:pt x="199" y="155"/>
              </a:cubicBezTo>
              <a:cubicBezTo>
                <a:pt x="199" y="155"/>
                <a:pt x="199" y="155"/>
                <a:pt x="199" y="155"/>
              </a:cubicBezTo>
              <a:cubicBezTo>
                <a:pt x="199" y="157"/>
                <a:pt x="199" y="158"/>
                <a:pt x="198" y="160"/>
              </a:cubicBezTo>
              <a:cubicBezTo>
                <a:pt x="219" y="160"/>
                <a:pt x="219" y="160"/>
                <a:pt x="219" y="160"/>
              </a:cubicBezTo>
              <a:cubicBezTo>
                <a:pt x="216" y="190"/>
                <a:pt x="193" y="214"/>
                <a:pt x="163" y="216"/>
              </a:cubicBezTo>
              <a:cubicBezTo>
                <a:pt x="163" y="195"/>
                <a:pt x="163" y="195"/>
                <a:pt x="163" y="195"/>
              </a:cubicBezTo>
              <a:cubicBezTo>
                <a:pt x="163" y="178"/>
                <a:pt x="163" y="178"/>
                <a:pt x="163" y="178"/>
              </a:cubicBezTo>
              <a:cubicBezTo>
                <a:pt x="163" y="178"/>
                <a:pt x="162" y="178"/>
                <a:pt x="162" y="178"/>
              </a:cubicBezTo>
              <a:cubicBezTo>
                <a:pt x="153" y="178"/>
                <a:pt x="153" y="178"/>
                <a:pt x="153" y="178"/>
              </a:cubicBezTo>
              <a:cubicBezTo>
                <a:pt x="153" y="178"/>
                <a:pt x="152" y="178"/>
                <a:pt x="152" y="178"/>
              </a:cubicBezTo>
              <a:cubicBezTo>
                <a:pt x="152" y="195"/>
                <a:pt x="152" y="195"/>
                <a:pt x="152" y="195"/>
              </a:cubicBezTo>
              <a:cubicBezTo>
                <a:pt x="134" y="193"/>
                <a:pt x="119" y="179"/>
                <a:pt x="117" y="160"/>
              </a:cubicBezTo>
              <a:cubicBezTo>
                <a:pt x="134" y="160"/>
                <a:pt x="134" y="160"/>
                <a:pt x="134" y="160"/>
              </a:cubicBezTo>
              <a:cubicBezTo>
                <a:pt x="134" y="160"/>
                <a:pt x="134" y="160"/>
                <a:pt x="134" y="159"/>
              </a:cubicBezTo>
              <a:cubicBezTo>
                <a:pt x="134" y="151"/>
                <a:pt x="134" y="151"/>
                <a:pt x="134" y="151"/>
              </a:cubicBezTo>
              <a:cubicBezTo>
                <a:pt x="134" y="150"/>
                <a:pt x="134" y="150"/>
                <a:pt x="134" y="150"/>
              </a:cubicBezTo>
              <a:cubicBezTo>
                <a:pt x="117" y="150"/>
                <a:pt x="117" y="150"/>
                <a:pt x="117" y="150"/>
              </a:cubicBezTo>
              <a:cubicBezTo>
                <a:pt x="119" y="131"/>
                <a:pt x="134" y="116"/>
                <a:pt x="152" y="113"/>
              </a:cubicBezTo>
              <a:cubicBezTo>
                <a:pt x="152" y="113"/>
                <a:pt x="152" y="113"/>
                <a:pt x="152" y="113"/>
              </a:cubicBezTo>
              <a:cubicBezTo>
                <a:pt x="152" y="113"/>
                <a:pt x="152" y="113"/>
                <a:pt x="152" y="113"/>
              </a:cubicBezTo>
              <a:cubicBezTo>
                <a:pt x="152" y="113"/>
                <a:pt x="152" y="113"/>
                <a:pt x="152" y="113"/>
              </a:cubicBezTo>
              <a:cubicBezTo>
                <a:pt x="152" y="113"/>
                <a:pt x="152" y="113"/>
                <a:pt x="152"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3" y="113"/>
                <a:pt x="153" y="113"/>
                <a:pt x="153" y="113"/>
              </a:cubicBezTo>
              <a:cubicBezTo>
                <a:pt x="154" y="113"/>
                <a:pt x="154" y="113"/>
                <a:pt x="154" y="113"/>
              </a:cubicBezTo>
              <a:cubicBezTo>
                <a:pt x="154" y="113"/>
                <a:pt x="154" y="113"/>
                <a:pt x="154"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5" y="113"/>
                <a:pt x="155" y="113"/>
                <a:pt x="155"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6" y="113"/>
                <a:pt x="156" y="113"/>
                <a:pt x="156"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7" y="113"/>
                <a:pt x="157" y="113"/>
                <a:pt x="157" y="113"/>
              </a:cubicBezTo>
              <a:cubicBezTo>
                <a:pt x="158" y="113"/>
                <a:pt x="158" y="113"/>
                <a:pt x="158" y="113"/>
              </a:cubicBezTo>
              <a:cubicBezTo>
                <a:pt x="158" y="113"/>
                <a:pt x="158" y="113"/>
                <a:pt x="158" y="113"/>
              </a:cubicBezTo>
              <a:cubicBezTo>
                <a:pt x="159" y="113"/>
                <a:pt x="161" y="113"/>
                <a:pt x="163" y="113"/>
              </a:cubicBezTo>
              <a:close/>
              <a:moveTo>
                <a:pt x="199" y="150"/>
              </a:moveTo>
              <a:cubicBezTo>
                <a:pt x="182" y="150"/>
                <a:pt x="182" y="150"/>
                <a:pt x="182" y="150"/>
              </a:cubicBezTo>
              <a:cubicBezTo>
                <a:pt x="182" y="150"/>
                <a:pt x="182" y="150"/>
                <a:pt x="182" y="151"/>
              </a:cubicBezTo>
              <a:cubicBezTo>
                <a:pt x="182" y="159"/>
                <a:pt x="182" y="159"/>
                <a:pt x="182" y="159"/>
              </a:cubicBezTo>
              <a:cubicBezTo>
                <a:pt x="182" y="160"/>
                <a:pt x="182" y="160"/>
                <a:pt x="182" y="160"/>
              </a:cubicBezTo>
              <a:cubicBezTo>
                <a:pt x="198" y="160"/>
                <a:pt x="198" y="160"/>
                <a:pt x="198" y="160"/>
              </a:cubicBezTo>
              <a:cubicBezTo>
                <a:pt x="196" y="179"/>
                <a:pt x="181" y="193"/>
                <a:pt x="163" y="195"/>
              </a:cubicBezTo>
              <a:cubicBezTo>
                <a:pt x="161" y="196"/>
                <a:pt x="160"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8" y="196"/>
                <a:pt x="158" y="196"/>
                <a:pt x="158" y="196"/>
              </a:cubicBezTo>
              <a:cubicBezTo>
                <a:pt x="157" y="196"/>
                <a:pt x="157" y="196"/>
                <a:pt x="157" y="196"/>
              </a:cubicBezTo>
              <a:cubicBezTo>
                <a:pt x="157" y="196"/>
                <a:pt x="157" y="196"/>
                <a:pt x="157" y="196"/>
              </a:cubicBezTo>
              <a:cubicBezTo>
                <a:pt x="156" y="196"/>
                <a:pt x="154" y="196"/>
                <a:pt x="152" y="195"/>
              </a:cubicBezTo>
              <a:cubicBezTo>
                <a:pt x="152" y="216"/>
                <a:pt x="152" y="216"/>
                <a:pt x="152" y="216"/>
              </a:cubicBezTo>
              <a:cubicBezTo>
                <a:pt x="123" y="214"/>
                <a:pt x="99" y="190"/>
                <a:pt x="96" y="160"/>
              </a:cubicBezTo>
              <a:cubicBezTo>
                <a:pt x="117" y="160"/>
                <a:pt x="117" y="160"/>
                <a:pt x="117" y="160"/>
              </a:cubicBezTo>
              <a:cubicBezTo>
                <a:pt x="117" y="158"/>
                <a:pt x="116" y="156"/>
                <a:pt x="116" y="155"/>
              </a:cubicBezTo>
              <a:cubicBezTo>
                <a:pt x="116" y="155"/>
                <a:pt x="116" y="155"/>
                <a:pt x="116" y="155"/>
              </a:cubicBezTo>
              <a:cubicBezTo>
                <a:pt x="116" y="155"/>
                <a:pt x="116" y="155"/>
                <a:pt x="116" y="155"/>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4"/>
                <a:pt x="116" y="154"/>
                <a:pt x="116" y="154"/>
              </a:cubicBezTo>
              <a:cubicBezTo>
                <a:pt x="116" y="153"/>
                <a:pt x="116" y="151"/>
                <a:pt x="117" y="150"/>
              </a:cubicBezTo>
              <a:cubicBezTo>
                <a:pt x="96" y="150"/>
                <a:pt x="96" y="150"/>
                <a:pt x="96" y="150"/>
              </a:cubicBezTo>
              <a:cubicBezTo>
                <a:pt x="98" y="120"/>
                <a:pt x="122" y="95"/>
                <a:pt x="152" y="93"/>
              </a:cubicBezTo>
              <a:cubicBezTo>
                <a:pt x="152" y="113"/>
                <a:pt x="152" y="113"/>
                <a:pt x="152" y="113"/>
              </a:cubicBezTo>
              <a:cubicBezTo>
                <a:pt x="152" y="129"/>
                <a:pt x="152" y="129"/>
                <a:pt x="152" y="129"/>
              </a:cubicBezTo>
              <a:cubicBezTo>
                <a:pt x="152" y="129"/>
                <a:pt x="153" y="129"/>
                <a:pt x="153" y="129"/>
              </a:cubicBezTo>
              <a:cubicBezTo>
                <a:pt x="162" y="129"/>
                <a:pt x="162" y="129"/>
                <a:pt x="162" y="129"/>
              </a:cubicBezTo>
              <a:cubicBezTo>
                <a:pt x="162" y="129"/>
                <a:pt x="163" y="129"/>
                <a:pt x="163" y="129"/>
              </a:cubicBezTo>
              <a:cubicBezTo>
                <a:pt x="163" y="113"/>
                <a:pt x="163" y="113"/>
                <a:pt x="163" y="113"/>
              </a:cubicBezTo>
              <a:cubicBezTo>
                <a:pt x="163" y="93"/>
                <a:pt x="163" y="93"/>
                <a:pt x="163" y="93"/>
              </a:cubicBezTo>
              <a:cubicBezTo>
                <a:pt x="193" y="95"/>
                <a:pt x="217" y="120"/>
                <a:pt x="219" y="150"/>
              </a:cubicBezTo>
              <a:cubicBezTo>
                <a:pt x="199" y="150"/>
                <a:pt x="199" y="150"/>
                <a:pt x="199" y="150"/>
              </a:cubicBezTo>
              <a:cubicBezTo>
                <a:pt x="199" y="150"/>
                <a:pt x="199" y="150"/>
                <a:pt x="199" y="150"/>
              </a:cubicBezTo>
              <a:close/>
              <a:moveTo>
                <a:pt x="116" y="154"/>
              </a:moveTo>
              <a:cubicBezTo>
                <a:pt x="116" y="154"/>
                <a:pt x="116" y="154"/>
                <a:pt x="116" y="154"/>
              </a:cubicBezTo>
              <a:cubicBezTo>
                <a:pt x="116" y="154"/>
                <a:pt x="116" y="154"/>
                <a:pt x="116" y="154"/>
              </a:cubicBezTo>
              <a:close/>
              <a:moveTo>
                <a:pt x="158" y="137"/>
              </a:moveTo>
              <a:cubicBezTo>
                <a:pt x="167" y="137"/>
                <a:pt x="175" y="145"/>
                <a:pt x="175" y="154"/>
              </a:cubicBezTo>
              <a:cubicBezTo>
                <a:pt x="175" y="164"/>
                <a:pt x="167" y="172"/>
                <a:pt x="158" y="172"/>
              </a:cubicBezTo>
              <a:cubicBezTo>
                <a:pt x="148" y="172"/>
                <a:pt x="140" y="164"/>
                <a:pt x="140" y="154"/>
              </a:cubicBezTo>
              <a:cubicBezTo>
                <a:pt x="140" y="145"/>
                <a:pt x="148" y="137"/>
                <a:pt x="158" y="137"/>
              </a:cubicBezTo>
              <a:close/>
              <a:moveTo>
                <a:pt x="163" y="68"/>
              </a:moveTo>
              <a:cubicBezTo>
                <a:pt x="207" y="71"/>
                <a:pt x="242" y="106"/>
                <a:pt x="244" y="150"/>
              </a:cubicBezTo>
              <a:cubicBezTo>
                <a:pt x="273" y="150"/>
                <a:pt x="273" y="150"/>
                <a:pt x="273" y="150"/>
              </a:cubicBezTo>
              <a:cubicBezTo>
                <a:pt x="271" y="90"/>
                <a:pt x="223" y="42"/>
                <a:pt x="163" y="39"/>
              </a:cubicBezTo>
              <a:cubicBezTo>
                <a:pt x="163" y="68"/>
                <a:pt x="163" y="68"/>
                <a:pt x="163" y="68"/>
              </a:cubicBezTo>
              <a:close/>
              <a:moveTo>
                <a:pt x="244" y="160"/>
              </a:moveTo>
              <a:cubicBezTo>
                <a:pt x="241" y="204"/>
                <a:pt x="206" y="238"/>
                <a:pt x="163" y="241"/>
              </a:cubicBezTo>
              <a:cubicBezTo>
                <a:pt x="163" y="270"/>
                <a:pt x="163" y="270"/>
                <a:pt x="163" y="270"/>
              </a:cubicBezTo>
              <a:cubicBezTo>
                <a:pt x="222" y="267"/>
                <a:pt x="270" y="219"/>
                <a:pt x="273" y="160"/>
              </a:cubicBezTo>
              <a:cubicBezTo>
                <a:pt x="244" y="160"/>
                <a:pt x="244" y="160"/>
                <a:pt x="244" y="160"/>
              </a:cubicBezTo>
              <a:close/>
              <a:moveTo>
                <a:pt x="152" y="241"/>
              </a:moveTo>
              <a:cubicBezTo>
                <a:pt x="109" y="238"/>
                <a:pt x="74" y="204"/>
                <a:pt x="71" y="160"/>
              </a:cubicBezTo>
              <a:cubicBezTo>
                <a:pt x="42" y="160"/>
                <a:pt x="42" y="160"/>
                <a:pt x="42" y="160"/>
              </a:cubicBezTo>
              <a:cubicBezTo>
                <a:pt x="45" y="219"/>
                <a:pt x="93" y="267"/>
                <a:pt x="152" y="270"/>
              </a:cubicBezTo>
              <a:cubicBezTo>
                <a:pt x="152" y="241"/>
                <a:pt x="152" y="241"/>
                <a:pt x="152" y="241"/>
              </a:cubicBezTo>
              <a:close/>
              <a:moveTo>
                <a:pt x="71" y="150"/>
              </a:moveTo>
              <a:cubicBezTo>
                <a:pt x="73" y="106"/>
                <a:pt x="109" y="71"/>
                <a:pt x="152" y="68"/>
              </a:cubicBezTo>
              <a:cubicBezTo>
                <a:pt x="152" y="39"/>
                <a:pt x="152" y="39"/>
                <a:pt x="152" y="39"/>
              </a:cubicBezTo>
              <a:cubicBezTo>
                <a:pt x="93" y="42"/>
                <a:pt x="45" y="90"/>
                <a:pt x="42" y="150"/>
              </a:cubicBezTo>
              <a:cubicBezTo>
                <a:pt x="71" y="150"/>
                <a:pt x="71" y="150"/>
                <a:pt x="71" y="150"/>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6</xdr:col>
      <xdr:colOff>742043</xdr:colOff>
      <xdr:row>8</xdr:row>
      <xdr:rowOff>20339</xdr:rowOff>
    </xdr:from>
    <xdr:to>
      <xdr:col>6</xdr:col>
      <xdr:colOff>1008684</xdr:colOff>
      <xdr:row>9</xdr:row>
      <xdr:rowOff>107424</xdr:rowOff>
    </xdr:to>
    <xdr:sp macro="" textlink="">
      <xdr:nvSpPr>
        <xdr:cNvPr id="15" name="Freeform 14">
          <a:extLst>
            <a:ext uri="{FF2B5EF4-FFF2-40B4-BE49-F238E27FC236}">
              <a16:creationId xmlns:a16="http://schemas.microsoft.com/office/drawing/2014/main" id="{00000000-0008-0000-0500-00000F000000}"/>
            </a:ext>
          </a:extLst>
        </xdr:cNvPr>
        <xdr:cNvSpPr>
          <a:spLocks noEditPoints="1"/>
        </xdr:cNvSpPr>
      </xdr:nvSpPr>
      <xdr:spPr bwMode="auto">
        <a:xfrm>
          <a:off x="9777186" y="2143053"/>
          <a:ext cx="266641" cy="304800"/>
        </a:xfrm>
        <a:custGeom>
          <a:avLst/>
          <a:gdLst>
            <a:gd name="T0" fmla="*/ 269 w 354"/>
            <a:gd name="T1" fmla="*/ 109 h 361"/>
            <a:gd name="T2" fmla="*/ 206 w 354"/>
            <a:gd name="T3" fmla="*/ 109 h 361"/>
            <a:gd name="T4" fmla="*/ 130 w 354"/>
            <a:gd name="T5" fmla="*/ 167 h 361"/>
            <a:gd name="T6" fmla="*/ 124 w 354"/>
            <a:gd name="T7" fmla="*/ 177 h 361"/>
            <a:gd name="T8" fmla="*/ 187 w 354"/>
            <a:gd name="T9" fmla="*/ 109 h 361"/>
            <a:gd name="T10" fmla="*/ 124 w 354"/>
            <a:gd name="T11" fmla="*/ 109 h 361"/>
            <a:gd name="T12" fmla="*/ 145 w 354"/>
            <a:gd name="T13" fmla="*/ 149 h 361"/>
            <a:gd name="T14" fmla="*/ 41 w 354"/>
            <a:gd name="T15" fmla="*/ 268 h 361"/>
            <a:gd name="T16" fmla="*/ 104 w 354"/>
            <a:gd name="T17" fmla="*/ 268 h 361"/>
            <a:gd name="T18" fmla="*/ 43 w 354"/>
            <a:gd name="T19" fmla="*/ 227 h 361"/>
            <a:gd name="T20" fmla="*/ 41 w 354"/>
            <a:gd name="T21" fmla="*/ 208 h 361"/>
            <a:gd name="T22" fmla="*/ 104 w 354"/>
            <a:gd name="T23" fmla="*/ 208 h 361"/>
            <a:gd name="T24" fmla="*/ 43 w 354"/>
            <a:gd name="T25" fmla="*/ 167 h 361"/>
            <a:gd name="T26" fmla="*/ 238 w 354"/>
            <a:gd name="T27" fmla="*/ 41 h 361"/>
            <a:gd name="T28" fmla="*/ 244 w 354"/>
            <a:gd name="T29" fmla="*/ 65 h 361"/>
            <a:gd name="T30" fmla="*/ 221 w 354"/>
            <a:gd name="T31" fmla="*/ 55 h 361"/>
            <a:gd name="T32" fmla="*/ 88 w 354"/>
            <a:gd name="T33" fmla="*/ 41 h 361"/>
            <a:gd name="T34" fmla="*/ 93 w 354"/>
            <a:gd name="T35" fmla="*/ 65 h 361"/>
            <a:gd name="T36" fmla="*/ 71 w 354"/>
            <a:gd name="T37" fmla="*/ 55 h 361"/>
            <a:gd name="T38" fmla="*/ 16 w 354"/>
            <a:gd name="T39" fmla="*/ 41 h 361"/>
            <a:gd name="T40" fmla="*/ 126 w 354"/>
            <a:gd name="T41" fmla="*/ 311 h 361"/>
            <a:gd name="T42" fmla="*/ 0 w 354"/>
            <a:gd name="T43" fmla="*/ 45 h 361"/>
            <a:gd name="T44" fmla="*/ 72 w 354"/>
            <a:gd name="T45" fmla="*/ 8 h 361"/>
            <a:gd name="T46" fmla="*/ 88 w 354"/>
            <a:gd name="T47" fmla="*/ 25 h 361"/>
            <a:gd name="T48" fmla="*/ 230 w 354"/>
            <a:gd name="T49" fmla="*/ 0 h 361"/>
            <a:gd name="T50" fmla="*/ 291 w 354"/>
            <a:gd name="T51" fmla="*/ 25 h 361"/>
            <a:gd name="T52" fmla="*/ 295 w 354"/>
            <a:gd name="T53" fmla="*/ 126 h 361"/>
            <a:gd name="T54" fmla="*/ 41 w 354"/>
            <a:gd name="T55" fmla="*/ 147 h 361"/>
            <a:gd name="T56" fmla="*/ 104 w 354"/>
            <a:gd name="T57" fmla="*/ 147 h 361"/>
            <a:gd name="T58" fmla="*/ 43 w 354"/>
            <a:gd name="T59" fmla="*/ 107 h 361"/>
            <a:gd name="T60" fmla="*/ 161 w 354"/>
            <a:gd name="T61" fmla="*/ 319 h 361"/>
            <a:gd name="T62" fmla="*/ 174 w 354"/>
            <a:gd name="T63" fmla="*/ 180 h 361"/>
            <a:gd name="T64" fmla="*/ 174 w 354"/>
            <a:gd name="T65" fmla="*/ 305 h 361"/>
            <a:gd name="T66" fmla="*/ 230 w 354"/>
            <a:gd name="T67" fmla="*/ 249 h 361"/>
            <a:gd name="T68" fmla="*/ 291 w 354"/>
            <a:gd name="T69" fmla="*/ 188 h 361"/>
            <a:gd name="T70" fmla="*/ 206 w 354"/>
            <a:gd name="T71" fmla="*/ 203 h 361"/>
            <a:gd name="T72" fmla="*/ 229 w 354"/>
            <a:gd name="T73" fmla="*/ 296 h 361"/>
            <a:gd name="T74" fmla="*/ 244 w 354"/>
            <a:gd name="T75" fmla="*/ 313 h 361"/>
            <a:gd name="T76" fmla="*/ 229 w 354"/>
            <a:gd name="T77" fmla="*/ 296 h 361"/>
            <a:gd name="T78" fmla="*/ 314 w 354"/>
            <a:gd name="T79" fmla="*/ 243 h 361"/>
            <a:gd name="T80" fmla="*/ 282 w 354"/>
            <a:gd name="T81" fmla="*/ 243 h 361"/>
            <a:gd name="T82" fmla="*/ 229 w 354"/>
            <a:gd name="T83" fmla="*/ 190 h 361"/>
            <a:gd name="T84" fmla="*/ 244 w 354"/>
            <a:gd name="T85" fmla="*/ 173 h 361"/>
            <a:gd name="T86" fmla="*/ 159 w 354"/>
            <a:gd name="T87" fmla="*/ 243 h 361"/>
            <a:gd name="T88" fmla="*/ 191 w 354"/>
            <a:gd name="T89" fmla="*/ 243 h 361"/>
            <a:gd name="T90" fmla="*/ 159 w 354"/>
            <a:gd name="T91" fmla="*/ 243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4" h="361">
              <a:moveTo>
                <a:pt x="206" y="116"/>
              </a:moveTo>
              <a:cubicBezTo>
                <a:pt x="227" y="111"/>
                <a:pt x="248" y="111"/>
                <a:pt x="269" y="117"/>
              </a:cubicBezTo>
              <a:cubicBezTo>
                <a:pt x="269" y="109"/>
                <a:pt x="269" y="109"/>
                <a:pt x="269" y="109"/>
              </a:cubicBezTo>
              <a:cubicBezTo>
                <a:pt x="269" y="108"/>
                <a:pt x="268" y="107"/>
                <a:pt x="267" y="107"/>
              </a:cubicBezTo>
              <a:cubicBezTo>
                <a:pt x="208" y="107"/>
                <a:pt x="208" y="107"/>
                <a:pt x="208" y="107"/>
              </a:cubicBezTo>
              <a:cubicBezTo>
                <a:pt x="207" y="107"/>
                <a:pt x="206" y="108"/>
                <a:pt x="206" y="109"/>
              </a:cubicBezTo>
              <a:cubicBezTo>
                <a:pt x="206" y="116"/>
                <a:pt x="206" y="116"/>
                <a:pt x="206" y="116"/>
              </a:cubicBezTo>
              <a:close/>
              <a:moveTo>
                <a:pt x="124" y="177"/>
              </a:moveTo>
              <a:cubicBezTo>
                <a:pt x="126" y="174"/>
                <a:pt x="128" y="170"/>
                <a:pt x="130" y="167"/>
              </a:cubicBezTo>
              <a:cubicBezTo>
                <a:pt x="126" y="167"/>
                <a:pt x="126" y="167"/>
                <a:pt x="126" y="167"/>
              </a:cubicBezTo>
              <a:cubicBezTo>
                <a:pt x="125" y="167"/>
                <a:pt x="124" y="168"/>
                <a:pt x="124" y="169"/>
              </a:cubicBezTo>
              <a:cubicBezTo>
                <a:pt x="124" y="177"/>
                <a:pt x="124" y="177"/>
                <a:pt x="124" y="177"/>
              </a:cubicBezTo>
              <a:close/>
              <a:moveTo>
                <a:pt x="145" y="149"/>
              </a:moveTo>
              <a:cubicBezTo>
                <a:pt x="157" y="138"/>
                <a:pt x="171" y="129"/>
                <a:pt x="187" y="122"/>
              </a:cubicBezTo>
              <a:cubicBezTo>
                <a:pt x="187" y="109"/>
                <a:pt x="187" y="109"/>
                <a:pt x="187" y="109"/>
              </a:cubicBezTo>
              <a:cubicBezTo>
                <a:pt x="187" y="108"/>
                <a:pt x="186" y="107"/>
                <a:pt x="185" y="107"/>
              </a:cubicBezTo>
              <a:cubicBezTo>
                <a:pt x="126" y="107"/>
                <a:pt x="126" y="107"/>
                <a:pt x="126" y="107"/>
              </a:cubicBezTo>
              <a:cubicBezTo>
                <a:pt x="125" y="107"/>
                <a:pt x="124" y="108"/>
                <a:pt x="124" y="109"/>
              </a:cubicBezTo>
              <a:cubicBezTo>
                <a:pt x="124" y="147"/>
                <a:pt x="124" y="147"/>
                <a:pt x="124" y="147"/>
              </a:cubicBezTo>
              <a:cubicBezTo>
                <a:pt x="124" y="149"/>
                <a:pt x="125" y="149"/>
                <a:pt x="126" y="149"/>
              </a:cubicBezTo>
              <a:cubicBezTo>
                <a:pt x="145" y="149"/>
                <a:pt x="145" y="149"/>
                <a:pt x="145" y="149"/>
              </a:cubicBezTo>
              <a:close/>
              <a:moveTo>
                <a:pt x="43" y="227"/>
              </a:moveTo>
              <a:cubicBezTo>
                <a:pt x="42" y="227"/>
                <a:pt x="41" y="228"/>
                <a:pt x="41" y="229"/>
              </a:cubicBezTo>
              <a:cubicBezTo>
                <a:pt x="41" y="268"/>
                <a:pt x="41" y="268"/>
                <a:pt x="41" y="268"/>
              </a:cubicBezTo>
              <a:cubicBezTo>
                <a:pt x="41" y="269"/>
                <a:pt x="42" y="270"/>
                <a:pt x="43" y="270"/>
              </a:cubicBezTo>
              <a:cubicBezTo>
                <a:pt x="102" y="270"/>
                <a:pt x="102" y="270"/>
                <a:pt x="102" y="270"/>
              </a:cubicBezTo>
              <a:cubicBezTo>
                <a:pt x="103" y="270"/>
                <a:pt x="104" y="269"/>
                <a:pt x="104" y="268"/>
              </a:cubicBezTo>
              <a:cubicBezTo>
                <a:pt x="104" y="229"/>
                <a:pt x="104" y="229"/>
                <a:pt x="104" y="229"/>
              </a:cubicBezTo>
              <a:cubicBezTo>
                <a:pt x="104" y="228"/>
                <a:pt x="103" y="227"/>
                <a:pt x="102" y="227"/>
              </a:cubicBezTo>
              <a:cubicBezTo>
                <a:pt x="43" y="227"/>
                <a:pt x="43" y="227"/>
                <a:pt x="43" y="227"/>
              </a:cubicBezTo>
              <a:close/>
              <a:moveTo>
                <a:pt x="43" y="167"/>
              </a:moveTo>
              <a:cubicBezTo>
                <a:pt x="42" y="167"/>
                <a:pt x="41" y="168"/>
                <a:pt x="41" y="169"/>
              </a:cubicBezTo>
              <a:cubicBezTo>
                <a:pt x="41" y="208"/>
                <a:pt x="41" y="208"/>
                <a:pt x="41" y="208"/>
              </a:cubicBezTo>
              <a:cubicBezTo>
                <a:pt x="41" y="209"/>
                <a:pt x="42" y="209"/>
                <a:pt x="43" y="209"/>
              </a:cubicBezTo>
              <a:cubicBezTo>
                <a:pt x="102" y="209"/>
                <a:pt x="102" y="209"/>
                <a:pt x="102" y="209"/>
              </a:cubicBezTo>
              <a:cubicBezTo>
                <a:pt x="103" y="209"/>
                <a:pt x="104" y="209"/>
                <a:pt x="104" y="208"/>
              </a:cubicBezTo>
              <a:cubicBezTo>
                <a:pt x="104" y="169"/>
                <a:pt x="104" y="169"/>
                <a:pt x="104" y="169"/>
              </a:cubicBezTo>
              <a:cubicBezTo>
                <a:pt x="104" y="168"/>
                <a:pt x="103" y="167"/>
                <a:pt x="102" y="167"/>
              </a:cubicBezTo>
              <a:cubicBezTo>
                <a:pt x="43" y="167"/>
                <a:pt x="43" y="167"/>
                <a:pt x="43" y="167"/>
              </a:cubicBezTo>
              <a:close/>
              <a:moveTo>
                <a:pt x="295" y="126"/>
              </a:moveTo>
              <a:cubicBezTo>
                <a:pt x="295" y="41"/>
                <a:pt x="295" y="41"/>
                <a:pt x="295" y="41"/>
              </a:cubicBezTo>
              <a:cubicBezTo>
                <a:pt x="238" y="41"/>
                <a:pt x="238" y="41"/>
                <a:pt x="238" y="41"/>
              </a:cubicBezTo>
              <a:cubicBezTo>
                <a:pt x="238" y="54"/>
                <a:pt x="238" y="54"/>
                <a:pt x="238" y="54"/>
              </a:cubicBezTo>
              <a:cubicBezTo>
                <a:pt x="239" y="55"/>
                <a:pt x="239" y="55"/>
                <a:pt x="239" y="55"/>
              </a:cubicBezTo>
              <a:cubicBezTo>
                <a:pt x="242" y="58"/>
                <a:pt x="244" y="62"/>
                <a:pt x="244" y="65"/>
              </a:cubicBezTo>
              <a:cubicBezTo>
                <a:pt x="244" y="73"/>
                <a:pt x="238" y="79"/>
                <a:pt x="230" y="79"/>
              </a:cubicBezTo>
              <a:cubicBezTo>
                <a:pt x="223" y="79"/>
                <a:pt x="217" y="73"/>
                <a:pt x="217" y="65"/>
              </a:cubicBezTo>
              <a:cubicBezTo>
                <a:pt x="217" y="62"/>
                <a:pt x="218" y="58"/>
                <a:pt x="221" y="55"/>
              </a:cubicBezTo>
              <a:cubicBezTo>
                <a:pt x="222" y="54"/>
                <a:pt x="222" y="54"/>
                <a:pt x="222" y="54"/>
              </a:cubicBezTo>
              <a:cubicBezTo>
                <a:pt x="222" y="41"/>
                <a:pt x="222" y="41"/>
                <a:pt x="222" y="41"/>
              </a:cubicBezTo>
              <a:cubicBezTo>
                <a:pt x="88" y="41"/>
                <a:pt x="88" y="41"/>
                <a:pt x="88" y="41"/>
              </a:cubicBezTo>
              <a:cubicBezTo>
                <a:pt x="88" y="54"/>
                <a:pt x="88" y="54"/>
                <a:pt x="88" y="54"/>
              </a:cubicBezTo>
              <a:cubicBezTo>
                <a:pt x="89" y="55"/>
                <a:pt x="89" y="55"/>
                <a:pt x="89" y="55"/>
              </a:cubicBezTo>
              <a:cubicBezTo>
                <a:pt x="92" y="58"/>
                <a:pt x="93" y="62"/>
                <a:pt x="93" y="65"/>
              </a:cubicBezTo>
              <a:cubicBezTo>
                <a:pt x="93" y="73"/>
                <a:pt x="87" y="79"/>
                <a:pt x="80" y="79"/>
              </a:cubicBezTo>
              <a:cubicBezTo>
                <a:pt x="73" y="79"/>
                <a:pt x="67" y="73"/>
                <a:pt x="67" y="65"/>
              </a:cubicBezTo>
              <a:cubicBezTo>
                <a:pt x="67" y="62"/>
                <a:pt x="68" y="58"/>
                <a:pt x="71" y="55"/>
              </a:cubicBezTo>
              <a:cubicBezTo>
                <a:pt x="72" y="54"/>
                <a:pt x="72" y="54"/>
                <a:pt x="72" y="54"/>
              </a:cubicBezTo>
              <a:cubicBezTo>
                <a:pt x="72" y="41"/>
                <a:pt x="72" y="41"/>
                <a:pt x="72" y="41"/>
              </a:cubicBezTo>
              <a:cubicBezTo>
                <a:pt x="16" y="41"/>
                <a:pt x="16" y="41"/>
                <a:pt x="16" y="41"/>
              </a:cubicBezTo>
              <a:cubicBezTo>
                <a:pt x="16" y="296"/>
                <a:pt x="16" y="296"/>
                <a:pt x="16" y="296"/>
              </a:cubicBezTo>
              <a:cubicBezTo>
                <a:pt x="117" y="296"/>
                <a:pt x="117" y="296"/>
                <a:pt x="117" y="296"/>
              </a:cubicBezTo>
              <a:cubicBezTo>
                <a:pt x="120" y="301"/>
                <a:pt x="122" y="306"/>
                <a:pt x="126" y="311"/>
              </a:cubicBezTo>
              <a:cubicBezTo>
                <a:pt x="20" y="311"/>
                <a:pt x="20" y="311"/>
                <a:pt x="20" y="311"/>
              </a:cubicBezTo>
              <a:cubicBezTo>
                <a:pt x="9" y="312"/>
                <a:pt x="0" y="304"/>
                <a:pt x="0" y="292"/>
              </a:cubicBezTo>
              <a:cubicBezTo>
                <a:pt x="0" y="45"/>
                <a:pt x="0" y="45"/>
                <a:pt x="0" y="45"/>
              </a:cubicBezTo>
              <a:cubicBezTo>
                <a:pt x="0" y="33"/>
                <a:pt x="8" y="25"/>
                <a:pt x="20" y="25"/>
              </a:cubicBezTo>
              <a:cubicBezTo>
                <a:pt x="72" y="25"/>
                <a:pt x="72" y="25"/>
                <a:pt x="72" y="25"/>
              </a:cubicBezTo>
              <a:cubicBezTo>
                <a:pt x="72" y="8"/>
                <a:pt x="72" y="8"/>
                <a:pt x="72" y="8"/>
              </a:cubicBezTo>
              <a:cubicBezTo>
                <a:pt x="72" y="4"/>
                <a:pt x="76" y="0"/>
                <a:pt x="80" y="0"/>
              </a:cubicBezTo>
              <a:cubicBezTo>
                <a:pt x="84" y="0"/>
                <a:pt x="88" y="4"/>
                <a:pt x="88" y="8"/>
              </a:cubicBezTo>
              <a:cubicBezTo>
                <a:pt x="88" y="25"/>
                <a:pt x="88" y="25"/>
                <a:pt x="88" y="25"/>
              </a:cubicBezTo>
              <a:cubicBezTo>
                <a:pt x="222" y="25"/>
                <a:pt x="222" y="25"/>
                <a:pt x="222" y="25"/>
              </a:cubicBezTo>
              <a:cubicBezTo>
                <a:pt x="222" y="8"/>
                <a:pt x="222" y="8"/>
                <a:pt x="222" y="8"/>
              </a:cubicBezTo>
              <a:cubicBezTo>
                <a:pt x="222" y="4"/>
                <a:pt x="226" y="0"/>
                <a:pt x="230" y="0"/>
              </a:cubicBezTo>
              <a:cubicBezTo>
                <a:pt x="234" y="0"/>
                <a:pt x="238" y="4"/>
                <a:pt x="238" y="8"/>
              </a:cubicBezTo>
              <a:cubicBezTo>
                <a:pt x="238" y="25"/>
                <a:pt x="238" y="25"/>
                <a:pt x="238" y="25"/>
              </a:cubicBezTo>
              <a:cubicBezTo>
                <a:pt x="291" y="25"/>
                <a:pt x="291" y="25"/>
                <a:pt x="291" y="25"/>
              </a:cubicBezTo>
              <a:cubicBezTo>
                <a:pt x="302" y="25"/>
                <a:pt x="310" y="34"/>
                <a:pt x="310" y="44"/>
              </a:cubicBezTo>
              <a:cubicBezTo>
                <a:pt x="310" y="135"/>
                <a:pt x="310" y="135"/>
                <a:pt x="310" y="135"/>
              </a:cubicBezTo>
              <a:cubicBezTo>
                <a:pt x="305" y="132"/>
                <a:pt x="300" y="129"/>
                <a:pt x="295" y="126"/>
              </a:cubicBezTo>
              <a:close/>
              <a:moveTo>
                <a:pt x="43" y="107"/>
              </a:moveTo>
              <a:cubicBezTo>
                <a:pt x="42" y="107"/>
                <a:pt x="41" y="108"/>
                <a:pt x="41" y="109"/>
              </a:cubicBezTo>
              <a:cubicBezTo>
                <a:pt x="41" y="147"/>
                <a:pt x="41" y="147"/>
                <a:pt x="41" y="147"/>
              </a:cubicBezTo>
              <a:cubicBezTo>
                <a:pt x="41" y="149"/>
                <a:pt x="42" y="149"/>
                <a:pt x="43" y="149"/>
              </a:cubicBezTo>
              <a:cubicBezTo>
                <a:pt x="102" y="149"/>
                <a:pt x="102" y="149"/>
                <a:pt x="102" y="149"/>
              </a:cubicBezTo>
              <a:cubicBezTo>
                <a:pt x="103" y="149"/>
                <a:pt x="104" y="149"/>
                <a:pt x="104" y="147"/>
              </a:cubicBezTo>
              <a:cubicBezTo>
                <a:pt x="104" y="109"/>
                <a:pt x="104" y="109"/>
                <a:pt x="104" y="109"/>
              </a:cubicBezTo>
              <a:cubicBezTo>
                <a:pt x="104" y="108"/>
                <a:pt x="103" y="107"/>
                <a:pt x="102" y="107"/>
              </a:cubicBezTo>
              <a:cubicBezTo>
                <a:pt x="43" y="107"/>
                <a:pt x="43" y="107"/>
                <a:pt x="43" y="107"/>
              </a:cubicBezTo>
              <a:close/>
              <a:moveTo>
                <a:pt x="312" y="167"/>
              </a:moveTo>
              <a:cubicBezTo>
                <a:pt x="354" y="209"/>
                <a:pt x="354" y="277"/>
                <a:pt x="312" y="319"/>
              </a:cubicBezTo>
              <a:cubicBezTo>
                <a:pt x="270" y="361"/>
                <a:pt x="202" y="361"/>
                <a:pt x="161" y="319"/>
              </a:cubicBezTo>
              <a:cubicBezTo>
                <a:pt x="119" y="277"/>
                <a:pt x="119" y="209"/>
                <a:pt x="161" y="167"/>
              </a:cubicBezTo>
              <a:cubicBezTo>
                <a:pt x="202" y="125"/>
                <a:pt x="270" y="125"/>
                <a:pt x="312" y="167"/>
              </a:cubicBezTo>
              <a:close/>
              <a:moveTo>
                <a:pt x="174" y="180"/>
              </a:moveTo>
              <a:cubicBezTo>
                <a:pt x="208" y="146"/>
                <a:pt x="264" y="146"/>
                <a:pt x="299" y="180"/>
              </a:cubicBezTo>
              <a:cubicBezTo>
                <a:pt x="333" y="215"/>
                <a:pt x="333" y="271"/>
                <a:pt x="299" y="305"/>
              </a:cubicBezTo>
              <a:cubicBezTo>
                <a:pt x="264" y="340"/>
                <a:pt x="208" y="340"/>
                <a:pt x="174" y="305"/>
              </a:cubicBezTo>
              <a:cubicBezTo>
                <a:pt x="139" y="271"/>
                <a:pt x="139" y="215"/>
                <a:pt x="174" y="180"/>
              </a:cubicBezTo>
              <a:close/>
              <a:moveTo>
                <a:pt x="195" y="214"/>
              </a:moveTo>
              <a:cubicBezTo>
                <a:pt x="230" y="249"/>
                <a:pt x="230" y="249"/>
                <a:pt x="230" y="249"/>
              </a:cubicBezTo>
              <a:cubicBezTo>
                <a:pt x="233" y="252"/>
                <a:pt x="239" y="252"/>
                <a:pt x="242" y="249"/>
              </a:cubicBezTo>
              <a:cubicBezTo>
                <a:pt x="291" y="199"/>
                <a:pt x="291" y="199"/>
                <a:pt x="291" y="199"/>
              </a:cubicBezTo>
              <a:cubicBezTo>
                <a:pt x="294" y="196"/>
                <a:pt x="294" y="191"/>
                <a:pt x="291" y="188"/>
              </a:cubicBezTo>
              <a:cubicBezTo>
                <a:pt x="288" y="185"/>
                <a:pt x="283" y="185"/>
                <a:pt x="280" y="188"/>
              </a:cubicBezTo>
              <a:cubicBezTo>
                <a:pt x="236" y="232"/>
                <a:pt x="236" y="232"/>
                <a:pt x="236" y="232"/>
              </a:cubicBezTo>
              <a:cubicBezTo>
                <a:pt x="206" y="203"/>
                <a:pt x="206" y="203"/>
                <a:pt x="206" y="203"/>
              </a:cubicBezTo>
              <a:cubicBezTo>
                <a:pt x="203" y="200"/>
                <a:pt x="198" y="200"/>
                <a:pt x="195" y="203"/>
              </a:cubicBezTo>
              <a:cubicBezTo>
                <a:pt x="192" y="206"/>
                <a:pt x="192" y="211"/>
                <a:pt x="195" y="214"/>
              </a:cubicBezTo>
              <a:close/>
              <a:moveTo>
                <a:pt x="229" y="296"/>
              </a:moveTo>
              <a:cubicBezTo>
                <a:pt x="229" y="313"/>
                <a:pt x="229" y="313"/>
                <a:pt x="229" y="313"/>
              </a:cubicBezTo>
              <a:cubicBezTo>
                <a:pt x="229" y="317"/>
                <a:pt x="232" y="320"/>
                <a:pt x="236" y="320"/>
              </a:cubicBezTo>
              <a:cubicBezTo>
                <a:pt x="240" y="320"/>
                <a:pt x="244" y="317"/>
                <a:pt x="244" y="313"/>
              </a:cubicBezTo>
              <a:cubicBezTo>
                <a:pt x="244" y="296"/>
                <a:pt x="244" y="296"/>
                <a:pt x="244" y="296"/>
              </a:cubicBezTo>
              <a:cubicBezTo>
                <a:pt x="244" y="292"/>
                <a:pt x="240" y="288"/>
                <a:pt x="236" y="288"/>
              </a:cubicBezTo>
              <a:cubicBezTo>
                <a:pt x="232" y="288"/>
                <a:pt x="229" y="292"/>
                <a:pt x="229" y="296"/>
              </a:cubicBezTo>
              <a:close/>
              <a:moveTo>
                <a:pt x="289" y="250"/>
              </a:moveTo>
              <a:cubicBezTo>
                <a:pt x="307" y="250"/>
                <a:pt x="307" y="250"/>
                <a:pt x="307" y="250"/>
              </a:cubicBezTo>
              <a:cubicBezTo>
                <a:pt x="311" y="250"/>
                <a:pt x="314" y="247"/>
                <a:pt x="314" y="243"/>
              </a:cubicBezTo>
              <a:cubicBezTo>
                <a:pt x="314" y="239"/>
                <a:pt x="311" y="236"/>
                <a:pt x="307" y="236"/>
              </a:cubicBezTo>
              <a:cubicBezTo>
                <a:pt x="289" y="236"/>
                <a:pt x="289" y="236"/>
                <a:pt x="289" y="236"/>
              </a:cubicBezTo>
              <a:cubicBezTo>
                <a:pt x="285" y="236"/>
                <a:pt x="282" y="239"/>
                <a:pt x="282" y="243"/>
              </a:cubicBezTo>
              <a:cubicBezTo>
                <a:pt x="282" y="247"/>
                <a:pt x="285" y="250"/>
                <a:pt x="289" y="250"/>
              </a:cubicBezTo>
              <a:close/>
              <a:moveTo>
                <a:pt x="229" y="173"/>
              </a:moveTo>
              <a:cubicBezTo>
                <a:pt x="229" y="190"/>
                <a:pt x="229" y="190"/>
                <a:pt x="229" y="190"/>
              </a:cubicBezTo>
              <a:cubicBezTo>
                <a:pt x="229" y="194"/>
                <a:pt x="232" y="197"/>
                <a:pt x="236" y="197"/>
              </a:cubicBezTo>
              <a:cubicBezTo>
                <a:pt x="240" y="197"/>
                <a:pt x="244" y="194"/>
                <a:pt x="244" y="190"/>
              </a:cubicBezTo>
              <a:cubicBezTo>
                <a:pt x="244" y="173"/>
                <a:pt x="244" y="173"/>
                <a:pt x="244" y="173"/>
              </a:cubicBezTo>
              <a:cubicBezTo>
                <a:pt x="244" y="169"/>
                <a:pt x="240" y="165"/>
                <a:pt x="236" y="165"/>
              </a:cubicBezTo>
              <a:cubicBezTo>
                <a:pt x="232" y="165"/>
                <a:pt x="229" y="169"/>
                <a:pt x="229" y="173"/>
              </a:cubicBezTo>
              <a:close/>
              <a:moveTo>
                <a:pt x="159" y="243"/>
              </a:moveTo>
              <a:cubicBezTo>
                <a:pt x="159" y="247"/>
                <a:pt x="162" y="250"/>
                <a:pt x="166" y="250"/>
              </a:cubicBezTo>
              <a:cubicBezTo>
                <a:pt x="184" y="250"/>
                <a:pt x="184" y="250"/>
                <a:pt x="184" y="250"/>
              </a:cubicBezTo>
              <a:cubicBezTo>
                <a:pt x="188" y="250"/>
                <a:pt x="191" y="247"/>
                <a:pt x="191" y="243"/>
              </a:cubicBezTo>
              <a:cubicBezTo>
                <a:pt x="191" y="239"/>
                <a:pt x="188" y="236"/>
                <a:pt x="184" y="236"/>
              </a:cubicBezTo>
              <a:cubicBezTo>
                <a:pt x="166" y="236"/>
                <a:pt x="166" y="236"/>
                <a:pt x="166" y="236"/>
              </a:cubicBezTo>
              <a:cubicBezTo>
                <a:pt x="162" y="236"/>
                <a:pt x="159" y="239"/>
                <a:pt x="159" y="243"/>
              </a:cubicBezTo>
              <a:close/>
            </a:path>
          </a:pathLst>
        </a:custGeom>
        <a:solidFill>
          <a:schemeClr val="tx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4</xdr:col>
      <xdr:colOff>101783</xdr:colOff>
      <xdr:row>78</xdr:row>
      <xdr:rowOff>174140</xdr:rowOff>
    </xdr:from>
    <xdr:to>
      <xdr:col>9</xdr:col>
      <xdr:colOff>1094509</xdr:colOff>
      <xdr:row>93</xdr:row>
      <xdr:rowOff>51526</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190500</xdr:colOff>
      <xdr:row>60</xdr:row>
      <xdr:rowOff>152942</xdr:rowOff>
    </xdr:from>
    <xdr:to>
      <xdr:col>3</xdr:col>
      <xdr:colOff>180975</xdr:colOff>
      <xdr:row>75</xdr:row>
      <xdr:rowOff>156481</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174171</xdr:colOff>
      <xdr:row>41</xdr:row>
      <xdr:rowOff>129267</xdr:rowOff>
    </xdr:from>
    <xdr:to>
      <xdr:col>3</xdr:col>
      <xdr:colOff>217714</xdr:colOff>
      <xdr:row>56</xdr:row>
      <xdr:rowOff>1766</xdr:rowOff>
    </xdr:to>
    <xdr:graphicFrame macro="">
      <xdr:nvGraphicFramePr>
        <xdr:cNvPr id="19" name="Chart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510268</xdr:colOff>
      <xdr:row>41</xdr:row>
      <xdr:rowOff>119742</xdr:rowOff>
    </xdr:from>
    <xdr:to>
      <xdr:col>9</xdr:col>
      <xdr:colOff>1043667</xdr:colOff>
      <xdr:row>55</xdr:row>
      <xdr:rowOff>174172</xdr:rowOff>
    </xdr:to>
    <xdr:graphicFrame macro="">
      <xdr:nvGraphicFramePr>
        <xdr:cNvPr id="20" name="Chart 19">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511630</xdr:colOff>
      <xdr:row>22</xdr:row>
      <xdr:rowOff>188322</xdr:rowOff>
    </xdr:from>
    <xdr:to>
      <xdr:col>9</xdr:col>
      <xdr:colOff>1045029</xdr:colOff>
      <xdr:row>37</xdr:row>
      <xdr:rowOff>54429</xdr:rowOff>
    </xdr:to>
    <xdr:graphicFrame macro="">
      <xdr:nvGraphicFramePr>
        <xdr:cNvPr id="22" name="Chart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18</xdr:col>
          <xdr:colOff>1057275</xdr:colOff>
          <xdr:row>8</xdr:row>
          <xdr:rowOff>28575</xdr:rowOff>
        </xdr:from>
        <xdr:to>
          <xdr:col>22</xdr:col>
          <xdr:colOff>66675</xdr:colOff>
          <xdr:row>9</xdr:row>
          <xdr:rowOff>142875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500-00001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41</xdr:col>
      <xdr:colOff>38101</xdr:colOff>
      <xdr:row>8</xdr:row>
      <xdr:rowOff>97970</xdr:rowOff>
    </xdr:from>
    <xdr:to>
      <xdr:col>50</xdr:col>
      <xdr:colOff>887187</xdr:colOff>
      <xdr:row>18</xdr:row>
      <xdr:rowOff>10886</xdr:rowOff>
    </xdr:to>
    <xdr:graphicFrame macro="">
      <xdr:nvGraphicFramePr>
        <xdr:cNvPr id="24" name="Chart 23">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219075</xdr:colOff>
          <xdr:row>13</xdr:row>
          <xdr:rowOff>66675</xdr:rowOff>
        </xdr:from>
        <xdr:to>
          <xdr:col>28</xdr:col>
          <xdr:colOff>180975</xdr:colOff>
          <xdr:row>13</xdr:row>
          <xdr:rowOff>390525</xdr:rowOff>
        </xdr:to>
        <xdr:sp macro="" textlink="">
          <xdr:nvSpPr>
            <xdr:cNvPr id="2081" name="Option Button 33" hidden="1">
              <a:extLst>
                <a:ext uri="{63B3BB69-23CF-44E3-9099-C40C66FF867C}">
                  <a14:compatExt spid="_x0000_s2081"/>
                </a:ext>
                <a:ext uri="{FF2B5EF4-FFF2-40B4-BE49-F238E27FC236}">
                  <a16:creationId xmlns:a16="http://schemas.microsoft.com/office/drawing/2014/main" id="{00000000-0008-0000-0500-00002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13</xdr:row>
          <xdr:rowOff>485775</xdr:rowOff>
        </xdr:from>
        <xdr:to>
          <xdr:col>27</xdr:col>
          <xdr:colOff>323850</xdr:colOff>
          <xdr:row>15</xdr:row>
          <xdr:rowOff>0</xdr:rowOff>
        </xdr:to>
        <xdr:sp macro="" textlink="">
          <xdr:nvSpPr>
            <xdr:cNvPr id="2082" name="Option Button 34" hidden="1">
              <a:extLst>
                <a:ext uri="{63B3BB69-23CF-44E3-9099-C40C66FF867C}">
                  <a14:compatExt spid="_x0000_s2082"/>
                </a:ext>
                <a:ext uri="{FF2B5EF4-FFF2-40B4-BE49-F238E27FC236}">
                  <a16:creationId xmlns:a16="http://schemas.microsoft.com/office/drawing/2014/main" id="{00000000-0008-0000-05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xdr:from>
      <xdr:col>1</xdr:col>
      <xdr:colOff>0</xdr:colOff>
      <xdr:row>9</xdr:row>
      <xdr:rowOff>174535</xdr:rowOff>
    </xdr:from>
    <xdr:to>
      <xdr:col>3</xdr:col>
      <xdr:colOff>5256</xdr:colOff>
      <xdr:row>10</xdr:row>
      <xdr:rowOff>73951</xdr:rowOff>
    </xdr:to>
    <xdr:sp macro="" textlink="">
      <xdr:nvSpPr>
        <xdr:cNvPr id="25" name="Rectangle 24">
          <a:extLst>
            <a:ext uri="{FF2B5EF4-FFF2-40B4-BE49-F238E27FC236}">
              <a16:creationId xmlns:a16="http://schemas.microsoft.com/office/drawing/2014/main" id="{00000000-0008-0000-0500-000019000000}"/>
            </a:ext>
          </a:extLst>
        </xdr:cNvPr>
        <xdr:cNvSpPr/>
      </xdr:nvSpPr>
      <xdr:spPr>
        <a:xfrm>
          <a:off x="272143" y="2297249"/>
          <a:ext cx="4501056" cy="84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1187670</xdr:colOff>
      <xdr:row>9</xdr:row>
      <xdr:rowOff>152763</xdr:rowOff>
    </xdr:from>
    <xdr:to>
      <xdr:col>7</xdr:col>
      <xdr:colOff>1416270</xdr:colOff>
      <xdr:row>10</xdr:row>
      <xdr:rowOff>52179</xdr:rowOff>
    </xdr:to>
    <xdr:sp macro="" textlink="">
      <xdr:nvSpPr>
        <xdr:cNvPr id="26" name="Rectangle 25">
          <a:extLst>
            <a:ext uri="{FF2B5EF4-FFF2-40B4-BE49-F238E27FC236}">
              <a16:creationId xmlns:a16="http://schemas.microsoft.com/office/drawing/2014/main" id="{00000000-0008-0000-0500-00001A000000}"/>
            </a:ext>
          </a:extLst>
        </xdr:cNvPr>
        <xdr:cNvSpPr/>
      </xdr:nvSpPr>
      <xdr:spPr>
        <a:xfrm>
          <a:off x="9014499" y="2493192"/>
          <a:ext cx="3842657" cy="8447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161366</xdr:colOff>
      <xdr:row>78</xdr:row>
      <xdr:rowOff>161364</xdr:rowOff>
    </xdr:from>
    <xdr:to>
      <xdr:col>3</xdr:col>
      <xdr:colOff>1524001</xdr:colOff>
      <xdr:row>93</xdr:row>
      <xdr:rowOff>53787</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xdr:col>
      <xdr:colOff>259976</xdr:colOff>
      <xdr:row>1</xdr:row>
      <xdr:rowOff>80682</xdr:rowOff>
    </xdr:from>
    <xdr:ext cx="1117600" cy="349087"/>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537882" y="197223"/>
          <a:ext cx="1117600" cy="349087"/>
        </a:xfrm>
        <a:prstGeom prst="rect">
          <a:avLst/>
        </a:prstGeom>
      </xdr:spPr>
    </xdr:pic>
    <xdr:clientData/>
  </xdr:oneCellAnchor>
  <xdr:twoCellAnchor>
    <xdr:from>
      <xdr:col>22</xdr:col>
      <xdr:colOff>19050</xdr:colOff>
      <xdr:row>8</xdr:row>
      <xdr:rowOff>19050</xdr:rowOff>
    </xdr:from>
    <xdr:to>
      <xdr:col>22</xdr:col>
      <xdr:colOff>5095875</xdr:colOff>
      <xdr:row>8</xdr:row>
      <xdr:rowOff>190500</xdr:rowOff>
    </xdr:to>
    <xdr:sp macro="" textlink="">
      <xdr:nvSpPr>
        <xdr:cNvPr id="8" name="Rectangle 7">
          <a:extLst>
            <a:ext uri="{FF2B5EF4-FFF2-40B4-BE49-F238E27FC236}">
              <a16:creationId xmlns:a16="http://schemas.microsoft.com/office/drawing/2014/main" id="{00000000-0008-0000-0500-000008000000}"/>
            </a:ext>
          </a:extLst>
        </xdr:cNvPr>
        <xdr:cNvSpPr/>
      </xdr:nvSpPr>
      <xdr:spPr>
        <a:xfrm>
          <a:off x="26127075" y="2028825"/>
          <a:ext cx="50768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1076324</xdr:colOff>
      <xdr:row>13</xdr:row>
      <xdr:rowOff>419100</xdr:rowOff>
    </xdr:from>
    <xdr:to>
      <xdr:col>31</xdr:col>
      <xdr:colOff>247649</xdr:colOff>
      <xdr:row>15</xdr:row>
      <xdr:rowOff>123825</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a:xfrm>
          <a:off x="36518849" y="4010025"/>
          <a:ext cx="923925" cy="485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108993</xdr:colOff>
      <xdr:row>90</xdr:row>
      <xdr:rowOff>104775</xdr:rowOff>
    </xdr:from>
    <xdr:ext cx="565155" cy="233205"/>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85218" y="19240500"/>
          <a:ext cx="56515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Hygiene</a:t>
          </a:r>
        </a:p>
      </xdr:txBody>
    </xdr:sp>
    <xdr:clientData/>
  </xdr:oneCellAnchor>
  <xdr:oneCellAnchor>
    <xdr:from>
      <xdr:col>1</xdr:col>
      <xdr:colOff>890920</xdr:colOff>
      <xdr:row>90</xdr:row>
      <xdr:rowOff>104775</xdr:rowOff>
    </xdr:from>
    <xdr:ext cx="360290" cy="233205"/>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1167145" y="19240500"/>
          <a:ext cx="36029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PPE</a:t>
          </a:r>
        </a:p>
      </xdr:txBody>
    </xdr:sp>
    <xdr:clientData/>
  </xdr:oneCellAnchor>
  <xdr:oneCellAnchor>
    <xdr:from>
      <xdr:col>1</xdr:col>
      <xdr:colOff>1483872</xdr:colOff>
      <xdr:row>90</xdr:row>
      <xdr:rowOff>104775</xdr:rowOff>
    </xdr:from>
    <xdr:ext cx="717439" cy="233205"/>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1760097" y="19240500"/>
          <a:ext cx="71743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Diagnostics</a:t>
          </a:r>
        </a:p>
      </xdr:txBody>
    </xdr:sp>
    <xdr:clientData/>
  </xdr:oneCellAnchor>
  <xdr:oneCellAnchor>
    <xdr:from>
      <xdr:col>2</xdr:col>
      <xdr:colOff>1148636</xdr:colOff>
      <xdr:row>90</xdr:row>
      <xdr:rowOff>104775</xdr:rowOff>
    </xdr:from>
    <xdr:ext cx="702115" cy="374077"/>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3234611" y="19240500"/>
          <a:ext cx="70211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Biomedical</a:t>
          </a:r>
          <a:br>
            <a:rPr lang="en-US" sz="900"/>
          </a:br>
          <a:r>
            <a:rPr lang="en-US" sz="900"/>
            <a:t>Equipment</a:t>
          </a:r>
        </a:p>
      </xdr:txBody>
    </xdr:sp>
    <xdr:clientData/>
  </xdr:oneCellAnchor>
  <xdr:oneCellAnchor>
    <xdr:from>
      <xdr:col>3</xdr:col>
      <xdr:colOff>888560</xdr:colOff>
      <xdr:row>90</xdr:row>
      <xdr:rowOff>104775</xdr:rowOff>
    </xdr:from>
    <xdr:ext cx="422167" cy="233205"/>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4860485" y="19240500"/>
          <a:ext cx="42216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Total</a:t>
          </a:r>
        </a:p>
      </xdr:txBody>
    </xdr:sp>
    <xdr:clientData/>
  </xdr:oneCellAnchor>
  <xdr:oneCellAnchor>
    <xdr:from>
      <xdr:col>2</xdr:col>
      <xdr:colOff>341852</xdr:colOff>
      <xdr:row>90</xdr:row>
      <xdr:rowOff>104775</xdr:rowOff>
    </xdr:from>
    <xdr:ext cx="810735" cy="374077"/>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2427827" y="19240500"/>
          <a:ext cx="810735"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Drugs &amp; </a:t>
          </a:r>
          <a:br>
            <a:rPr lang="en-US" sz="900"/>
          </a:br>
          <a:r>
            <a:rPr lang="en-US" sz="900"/>
            <a:t>Consumables</a:t>
          </a:r>
        </a:p>
      </xdr:txBody>
    </xdr:sp>
    <xdr:clientData/>
  </xdr:oneCellAnchor>
  <xdr:oneCellAnchor>
    <xdr:from>
      <xdr:col>2</xdr:col>
      <xdr:colOff>1790860</xdr:colOff>
      <xdr:row>90</xdr:row>
      <xdr:rowOff>104775</xdr:rowOff>
    </xdr:from>
    <xdr:ext cx="941668" cy="514949"/>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3876835" y="19240500"/>
          <a:ext cx="941668"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900"/>
            <a:t>Biomedical</a:t>
          </a:r>
          <a:br>
            <a:rPr lang="en-US" sz="900"/>
          </a:br>
          <a:r>
            <a:rPr lang="en-US" sz="900"/>
            <a:t>Consumables &amp; </a:t>
          </a:r>
          <a:br>
            <a:rPr lang="en-US" sz="900"/>
          </a:br>
          <a:r>
            <a:rPr lang="en-US" sz="900"/>
            <a:t>Accessories</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ashboar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hyperlink" Target="http://apps.who.int/gho/data/node.wrapper.imr?x-id=5322" TargetMode="External"/><Relationship Id="rId7" Type="http://schemas.openxmlformats.org/officeDocument/2006/relationships/hyperlink" Target="https://apps.who.int/gho/data/node.wrapper.imr?x-id=5321" TargetMode="External"/><Relationship Id="rId2" Type="http://schemas.openxmlformats.org/officeDocument/2006/relationships/hyperlink" Target="http://apps.who.int/gho/data/node.wrapper.imr?x-id=5321" TargetMode="External"/><Relationship Id="rId1" Type="http://schemas.openxmlformats.org/officeDocument/2006/relationships/hyperlink" Target="http://apps.who.int/gho/data/node.wrapper.imr?x-id=5320" TargetMode="External"/><Relationship Id="rId6" Type="http://schemas.openxmlformats.org/officeDocument/2006/relationships/hyperlink" Target="https://apps.who.int/gho/data/node.wrapper.imr?x-id=5321" TargetMode="External"/><Relationship Id="rId5" Type="http://schemas.openxmlformats.org/officeDocument/2006/relationships/hyperlink" Target="http://apps.who.int/gho/data/node.wrapper.imr?x-id=5315" TargetMode="External"/><Relationship Id="rId4" Type="http://schemas.openxmlformats.org/officeDocument/2006/relationships/hyperlink" Target="http://apps.who.int/gho/data/node.wrapper.imr?x-id=53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L13"/>
  <sheetViews>
    <sheetView showGridLines="0" tabSelected="1" zoomScale="90" zoomScaleNormal="90" workbookViewId="0">
      <selection activeCell="D2" sqref="D2"/>
    </sheetView>
  </sheetViews>
  <sheetFormatPr defaultColWidth="8.86328125" defaultRowHeight="14.75" x14ac:dyDescent="0.75"/>
  <cols>
    <col min="1" max="1" width="3.40625" customWidth="1"/>
    <col min="4" max="4" width="27.40625" customWidth="1"/>
    <col min="5" max="5" width="28.40625" customWidth="1"/>
    <col min="6" max="6" width="26.40625" customWidth="1"/>
    <col min="7" max="7" width="29.40625" customWidth="1"/>
    <col min="8" max="8" width="23.40625" customWidth="1"/>
  </cols>
  <sheetData>
    <row r="1" spans="1:12" s="43" customFormat="1" ht="8.15" customHeight="1" x14ac:dyDescent="0.75">
      <c r="B1" s="4"/>
      <c r="C1" s="4"/>
    </row>
    <row r="2" spans="1:12" s="51" customFormat="1" ht="39" customHeight="1" x14ac:dyDescent="1">
      <c r="C2" s="52"/>
      <c r="D2" s="1124" t="s">
        <v>905</v>
      </c>
    </row>
    <row r="3" spans="1:12" s="43" customFormat="1" x14ac:dyDescent="0.75">
      <c r="A3" s="53"/>
      <c r="B3" s="53" t="s">
        <v>1877</v>
      </c>
    </row>
    <row r="4" spans="1:12" s="43" customFormat="1" ht="15.5" thickBot="1" x14ac:dyDescent="0.9">
      <c r="B4" s="53"/>
    </row>
    <row r="5" spans="1:12" s="43" customFormat="1" ht="45" thickBot="1" x14ac:dyDescent="0.9">
      <c r="B5" s="1342" t="s">
        <v>808</v>
      </c>
      <c r="C5" s="1343"/>
      <c r="D5" s="1343"/>
      <c r="E5" s="1343"/>
      <c r="F5" s="1343"/>
      <c r="G5" s="1343"/>
      <c r="H5" s="160" t="s">
        <v>819</v>
      </c>
      <c r="I5" s="9" t="s">
        <v>811</v>
      </c>
    </row>
    <row r="6" spans="1:12" s="43" customFormat="1" ht="60.65" customHeight="1" x14ac:dyDescent="0.75">
      <c r="B6" s="1344" t="s">
        <v>1810</v>
      </c>
      <c r="C6" s="1345"/>
      <c r="D6" s="1345"/>
      <c r="E6" s="1345"/>
      <c r="F6" s="1345"/>
      <c r="G6" s="1345"/>
      <c r="H6" s="1350"/>
      <c r="I6" s="9">
        <f>IF(ISBLANK(H6),0,1)</f>
        <v>0</v>
      </c>
      <c r="L6" s="9" t="s">
        <v>809</v>
      </c>
    </row>
    <row r="7" spans="1:12" s="43" customFormat="1" ht="60" customHeight="1" x14ac:dyDescent="0.75">
      <c r="B7" s="1346" t="s">
        <v>1851</v>
      </c>
      <c r="C7" s="1347"/>
      <c r="D7" s="1347"/>
      <c r="E7" s="1347"/>
      <c r="F7" s="1347"/>
      <c r="G7" s="1347"/>
      <c r="H7" s="1351"/>
      <c r="I7" s="9">
        <f>IF(ISBLANK(H7),0,1)</f>
        <v>0</v>
      </c>
      <c r="L7" s="9"/>
    </row>
    <row r="8" spans="1:12" ht="45" customHeight="1" x14ac:dyDescent="0.75">
      <c r="B8" s="1346" t="s">
        <v>1803</v>
      </c>
      <c r="C8" s="1347"/>
      <c r="D8" s="1347"/>
      <c r="E8" s="1347"/>
      <c r="F8" s="1347"/>
      <c r="G8" s="1347"/>
      <c r="H8" s="1351"/>
      <c r="I8" s="9">
        <f>IF(ISBLANK(H8),0,1)</f>
        <v>0</v>
      </c>
    </row>
    <row r="9" spans="1:12" s="43" customFormat="1" ht="58.9" customHeight="1" x14ac:dyDescent="0.75">
      <c r="B9" s="1346" t="s">
        <v>1804</v>
      </c>
      <c r="C9" s="1347"/>
      <c r="D9" s="1347"/>
      <c r="E9" s="1347"/>
      <c r="F9" s="1347"/>
      <c r="G9" s="1347"/>
      <c r="H9" s="1351"/>
      <c r="I9" s="9">
        <f>IF(ISBLANK(H9),0,1)</f>
        <v>0</v>
      </c>
    </row>
    <row r="10" spans="1:12" ht="34.4" customHeight="1" thickBot="1" x14ac:dyDescent="0.9">
      <c r="B10" s="1348" t="s">
        <v>1799</v>
      </c>
      <c r="C10" s="1349"/>
      <c r="D10" s="1349"/>
      <c r="E10" s="1349"/>
      <c r="F10" s="1349"/>
      <c r="G10" s="1349"/>
      <c r="H10" s="1352"/>
      <c r="I10" s="9">
        <f>IF(ISBLANK(H10),0,1)</f>
        <v>0</v>
      </c>
    </row>
    <row r="11" spans="1:12" x14ac:dyDescent="0.75">
      <c r="B11" s="43"/>
      <c r="I11" s="9">
        <f>SUM(I6:I10)</f>
        <v>0</v>
      </c>
    </row>
    <row r="13" spans="1:12" x14ac:dyDescent="0.75">
      <c r="B13" s="4" t="s">
        <v>810</v>
      </c>
      <c r="G13" s="1340" t="str">
        <f>IF(I11=1,"COMPLETE, please proceed to the following tabs","Please review disclaimer")</f>
        <v>Please review disclaimer</v>
      </c>
      <c r="H13" s="1341"/>
    </row>
  </sheetData>
  <sheetProtection algorithmName="SHA-512" hashValue="4Xcqylw37eR3kd5xgb82ojTPlklqn0xmt41ybW+dJg2gQqWEr2abta+KZ4JYcbtFY0/FA+yip2+/bMquuSY56g==" saltValue="HUQ1H/Q+ljhctx8yssx4IQ==" spinCount="100000" sheet="1" objects="1" scenarios="1"/>
  <mergeCells count="8">
    <mergeCell ref="G13:H13"/>
    <mergeCell ref="B5:G5"/>
    <mergeCell ref="B6:G6"/>
    <mergeCell ref="B8:G8"/>
    <mergeCell ref="B10:G10"/>
    <mergeCell ref="B7:G7"/>
    <mergeCell ref="B9:G9"/>
    <mergeCell ref="H6:H10"/>
  </mergeCells>
  <conditionalFormatting sqref="G13">
    <cfRule type="expression" dxfId="106" priority="2">
      <formula>IF(G13="Please review disclaimer",TRUE,FALSE)</formula>
    </cfRule>
  </conditionalFormatting>
  <conditionalFormatting sqref="B22">
    <cfRule type="expression" priority="1">
      <formula>IF($I$11=1,TRUE,FALSE)</formula>
    </cfRule>
  </conditionalFormatting>
  <dataValidations count="1">
    <dataValidation type="list" allowBlank="1" showInputMessage="1" showErrorMessage="1" sqref="H6" xr:uid="{00000000-0002-0000-0000-000000000000}">
      <formula1>$L$6:$L$7</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2:BH51"/>
  <sheetViews>
    <sheetView showGridLines="0" zoomScale="80" zoomScaleNormal="80" workbookViewId="0"/>
  </sheetViews>
  <sheetFormatPr defaultColWidth="8.86328125" defaultRowHeight="14.75" x14ac:dyDescent="0.75"/>
  <cols>
    <col min="1" max="1" width="3.40625" customWidth="1"/>
    <col min="2" max="2" width="47.40625" customWidth="1"/>
    <col min="3" max="3" width="8" style="132" customWidth="1"/>
    <col min="4" max="4" width="20.40625" customWidth="1"/>
    <col min="5" max="5" width="14" style="43" customWidth="1"/>
    <col min="6" max="9" width="14" customWidth="1"/>
    <col min="10" max="54" width="14" style="43" customWidth="1"/>
    <col min="55" max="56" width="14" customWidth="1"/>
    <col min="58" max="58" width="31.40625" customWidth="1"/>
    <col min="59" max="59" width="4.40625" customWidth="1"/>
    <col min="60" max="60" width="28.40625" style="29" customWidth="1"/>
  </cols>
  <sheetData>
    <row r="2" spans="2:60" s="24" customFormat="1" ht="18.5" x14ac:dyDescent="0.9">
      <c r="B2" s="24" t="s">
        <v>747</v>
      </c>
      <c r="E2" s="25"/>
      <c r="F2" s="25"/>
      <c r="G2" s="25"/>
    </row>
    <row r="4" spans="2:60" s="132" customFormat="1" x14ac:dyDescent="0.75">
      <c r="B4" s="1540" t="s">
        <v>1611</v>
      </c>
      <c r="C4" s="1540"/>
      <c r="D4" s="1540"/>
      <c r="E4" s="1540"/>
      <c r="F4" s="1540"/>
      <c r="G4" s="1540"/>
      <c r="H4" s="1540"/>
      <c r="I4" s="1540"/>
      <c r="J4" s="1540"/>
      <c r="K4" s="1540"/>
      <c r="BH4" s="29"/>
    </row>
    <row r="5" spans="2:60" s="804" customFormat="1" x14ac:dyDescent="0.75">
      <c r="B5" s="965" t="s">
        <v>1613</v>
      </c>
      <c r="C5" s="965"/>
      <c r="D5" s="965"/>
      <c r="E5" s="965"/>
      <c r="F5" s="965"/>
      <c r="G5" s="965"/>
      <c r="I5" s="1122" t="s">
        <v>1446</v>
      </c>
      <c r="J5" s="958"/>
      <c r="K5" s="958"/>
      <c r="BH5" s="29"/>
    </row>
    <row r="6" spans="2:60" s="132" customFormat="1" x14ac:dyDescent="0.75">
      <c r="BH6" s="29"/>
    </row>
    <row r="7" spans="2:60" s="26" customFormat="1" x14ac:dyDescent="0.75">
      <c r="B7" s="180" t="s">
        <v>786</v>
      </c>
      <c r="C7" s="180"/>
    </row>
    <row r="8" spans="2:60" s="43" customFormat="1" x14ac:dyDescent="0.75">
      <c r="C8" s="132"/>
    </row>
    <row r="9" spans="2:60" s="43" customFormat="1" x14ac:dyDescent="0.75">
      <c r="B9" s="43" t="s">
        <v>904</v>
      </c>
      <c r="C9" s="132"/>
      <c r="D9" s="245">
        <f ca="1">IF(ISBLANK(Inputs!$I$62),'Back Calculations'!$C$30,Inputs!$I$62*Inputs!$I$66)</f>
        <v>8370.5634892178605</v>
      </c>
      <c r="E9" s="132" t="s">
        <v>1070</v>
      </c>
    </row>
    <row r="10" spans="2:60" s="43" customFormat="1" x14ac:dyDescent="0.75">
      <c r="B10" s="1" t="s">
        <v>1608</v>
      </c>
      <c r="C10" s="1"/>
      <c r="D10" s="715">
        <f ca="1">IF(ISBLANK(Inputs!$I$62),'Back Calculations'!$C$31,Inputs!$I$62*Inputs!$I$67)</f>
        <v>913.83651078213904</v>
      </c>
      <c r="E10" s="70" t="s">
        <v>1070</v>
      </c>
    </row>
    <row r="11" spans="2:60" s="43" customFormat="1" x14ac:dyDescent="0.75">
      <c r="B11" s="43" t="s">
        <v>818</v>
      </c>
      <c r="C11" s="132"/>
      <c r="D11" s="245">
        <f>IF(ISBLANK(Inputs!$I$163),'Back Calculations'!$C$32,IF(ISBLANK(Inputs!I165),Inputs!$I$163,Inputs!$I$163*Inputs!I165))</f>
        <v>312</v>
      </c>
      <c r="E11" s="43" t="s">
        <v>1385</v>
      </c>
      <c r="H11" s="57"/>
    </row>
    <row r="12" spans="2:60" s="43" customFormat="1" x14ac:dyDescent="0.75">
      <c r="B12" s="43" t="s">
        <v>903</v>
      </c>
      <c r="C12" s="132"/>
      <c r="D12" s="245">
        <f ca="1">'Back Calculations'!$C$33</f>
        <v>15635.667431429827</v>
      </c>
      <c r="E12" s="43" t="s">
        <v>1807</v>
      </c>
      <c r="H12" s="57"/>
    </row>
    <row r="13" spans="2:60" s="43" customFormat="1" x14ac:dyDescent="0.75">
      <c r="C13" s="132"/>
    </row>
    <row r="14" spans="2:60" ht="29.5" x14ac:dyDescent="0.75">
      <c r="D14" s="996" t="s">
        <v>1673</v>
      </c>
      <c r="E14" s="971" t="s">
        <v>1672</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c r="AT14" s="970"/>
      <c r="AU14" s="970"/>
      <c r="AV14" s="970"/>
      <c r="AW14" s="970"/>
      <c r="AX14" s="970"/>
      <c r="AY14" s="970"/>
      <c r="AZ14" s="970"/>
      <c r="BA14" s="970"/>
      <c r="BB14" s="970"/>
      <c r="BC14" s="970"/>
      <c r="BD14" s="970"/>
    </row>
    <row r="15" spans="2:60" x14ac:dyDescent="0.75">
      <c r="D15" s="21">
        <v>0</v>
      </c>
      <c r="E15" s="21">
        <v>1</v>
      </c>
      <c r="F15" s="21">
        <v>2</v>
      </c>
      <c r="G15" s="21">
        <v>3</v>
      </c>
      <c r="H15" s="21">
        <v>4</v>
      </c>
      <c r="I15" s="38">
        <v>5</v>
      </c>
      <c r="J15" s="21">
        <v>6</v>
      </c>
      <c r="K15" s="21">
        <v>7</v>
      </c>
      <c r="L15" s="21">
        <v>8</v>
      </c>
      <c r="M15" s="21">
        <v>9</v>
      </c>
      <c r="N15" s="21">
        <v>10</v>
      </c>
      <c r="O15" s="38">
        <v>11</v>
      </c>
      <c r="P15" s="21">
        <v>12</v>
      </c>
      <c r="Q15" s="21">
        <v>13</v>
      </c>
      <c r="R15" s="21">
        <v>14</v>
      </c>
      <c r="S15" s="21">
        <v>15</v>
      </c>
      <c r="T15" s="21">
        <v>16</v>
      </c>
      <c r="U15" s="38">
        <v>17</v>
      </c>
      <c r="V15" s="21">
        <v>18</v>
      </c>
      <c r="W15" s="21">
        <v>19</v>
      </c>
      <c r="X15" s="21">
        <v>20</v>
      </c>
      <c r="Y15" s="21">
        <v>21</v>
      </c>
      <c r="Z15" s="21">
        <v>22</v>
      </c>
      <c r="AA15" s="38">
        <v>23</v>
      </c>
      <c r="AB15" s="21">
        <v>24</v>
      </c>
      <c r="AC15" s="21">
        <v>25</v>
      </c>
      <c r="AD15" s="21">
        <v>26</v>
      </c>
      <c r="AE15" s="21">
        <v>27</v>
      </c>
      <c r="AF15" s="21">
        <v>28</v>
      </c>
      <c r="AG15" s="38">
        <v>29</v>
      </c>
      <c r="AH15" s="21">
        <v>30</v>
      </c>
      <c r="AI15" s="21">
        <v>31</v>
      </c>
      <c r="AJ15" s="21">
        <v>32</v>
      </c>
      <c r="AK15" s="21">
        <v>33</v>
      </c>
      <c r="AL15" s="21">
        <v>34</v>
      </c>
      <c r="AM15" s="38">
        <v>35</v>
      </c>
      <c r="AN15" s="21">
        <v>36</v>
      </c>
      <c r="AO15" s="21">
        <v>37</v>
      </c>
      <c r="AP15" s="21">
        <v>38</v>
      </c>
      <c r="AQ15" s="21">
        <v>39</v>
      </c>
      <c r="AR15" s="21">
        <v>40</v>
      </c>
      <c r="AS15" s="38">
        <v>41</v>
      </c>
      <c r="AT15" s="21">
        <v>42</v>
      </c>
      <c r="AU15" s="21">
        <v>43</v>
      </c>
      <c r="AV15" s="21">
        <v>44</v>
      </c>
      <c r="AW15" s="21">
        <v>45</v>
      </c>
      <c r="AX15" s="21">
        <v>46</v>
      </c>
      <c r="AY15" s="38">
        <v>47</v>
      </c>
      <c r="AZ15" s="21">
        <v>48</v>
      </c>
      <c r="BA15" s="21">
        <v>49</v>
      </c>
      <c r="BB15" s="21">
        <v>50</v>
      </c>
      <c r="BC15" s="21">
        <v>51</v>
      </c>
      <c r="BD15" s="21">
        <v>52</v>
      </c>
    </row>
    <row r="16" spans="2:60" s="255" customFormat="1" x14ac:dyDescent="0.75">
      <c r="B16" s="254" t="s">
        <v>1386</v>
      </c>
      <c r="C16" s="254"/>
      <c r="BH16" s="260"/>
    </row>
    <row r="17" spans="1:60" s="26" customFormat="1" ht="18.75" customHeight="1" x14ac:dyDescent="0.75">
      <c r="B17" s="180" t="s">
        <v>1000</v>
      </c>
      <c r="C17" s="180"/>
      <c r="D17" s="1539"/>
      <c r="E17" s="1539"/>
      <c r="F17" s="1539"/>
      <c r="G17" s="1539"/>
      <c r="H17" s="1539"/>
      <c r="I17" s="1539"/>
      <c r="J17" s="1539"/>
      <c r="K17" s="1539"/>
      <c r="L17" s="1539"/>
      <c r="M17" s="1539"/>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c r="AL17" s="1539"/>
      <c r="AM17" s="1539"/>
      <c r="AN17" s="1539"/>
      <c r="AO17" s="1539"/>
      <c r="AP17" s="1539"/>
      <c r="AQ17" s="1539"/>
      <c r="AR17" s="1539"/>
      <c r="AS17" s="1539"/>
      <c r="AT17" s="1539"/>
      <c r="AU17" s="1539"/>
      <c r="AV17" s="1539"/>
      <c r="AW17" s="1539"/>
      <c r="AX17" s="1539"/>
      <c r="AY17" s="1539"/>
      <c r="AZ17" s="1539"/>
      <c r="BA17" s="1539"/>
      <c r="BB17" s="1539"/>
      <c r="BC17" s="1539"/>
      <c r="BD17" s="1539"/>
      <c r="BF17" s="257" t="s">
        <v>310</v>
      </c>
      <c r="BH17" s="783" t="s">
        <v>589</v>
      </c>
    </row>
    <row r="18" spans="1:60" s="32" customFormat="1" x14ac:dyDescent="0.75">
      <c r="B18" s="32" t="s">
        <v>1861</v>
      </c>
      <c r="D18" s="248">
        <f ca="1">IFERROR(INDEX(Patients!$D$51:$BD$51,1,MATCH('HCW &amp; Staff'!D$15,Patients!$D$31:$BD$31,0)),0)</f>
        <v>0.15</v>
      </c>
      <c r="E18" s="248">
        <f ca="1">IFERROR(INDEX(Patients!$D$51:$BD$51,1,MATCH('HCW &amp; Staff'!E$15,Patients!$D$31:$BD$31,0)),0)</f>
        <v>0.44705810885949004</v>
      </c>
      <c r="F18" s="248">
        <f ca="1">IFERROR(INDEX(Patients!$D$51:$BD$51,1,MATCH('HCW &amp; Staff'!F$15,Patients!$D$31:$BD$31,0)),0)</f>
        <v>1.536318730001371</v>
      </c>
      <c r="G18" s="248">
        <f ca="1">IFERROR(INDEX(Patients!$D$51:$BD$51,1,MATCH('HCW &amp; Staff'!G$15,Patients!$D$31:$BD$31,0)),0)</f>
        <v>5.2795195958472325</v>
      </c>
      <c r="H18" s="248">
        <f ca="1">IFERROR(INDEX(Patients!$D$51:$BD$51,1,MATCH('HCW &amp; Staff'!H$15,Patients!$D$31:$BD$31,0)),0)</f>
        <v>18.14231992911089</v>
      </c>
      <c r="I18" s="248">
        <f ca="1">IFERROR(INDEX(Patients!$D$51:$BD$51,1,MATCH('HCW &amp; Staff'!I$15,Patients!$D$31:$BD$31,0)),0)</f>
        <v>62.336274096810314</v>
      </c>
      <c r="J18" s="248">
        <f ca="1">IFERROR(INDEX(Patients!$D$51:$BD$51,1,MATCH('HCW &amp; Staff'!J$15,Patients!$D$31:$BD$31,0)),0)</f>
        <v>214.0995325998839</v>
      </c>
      <c r="K18" s="248">
        <f ca="1">IFERROR(INDEX(Patients!$D$51:$BD$51,1,MATCH('HCW &amp; Staff'!K$15,Patients!$D$31:$BD$31,0)),0)</f>
        <v>734.33822062734316</v>
      </c>
      <c r="L18" s="248">
        <f ca="1">IFERROR(INDEX(Patients!$D$51:$BD$51,1,MATCH('HCW &amp; Staff'!L$15,Patients!$D$31:$BD$31,0)),0)</f>
        <v>2506.9170551750631</v>
      </c>
      <c r="M18" s="248">
        <f ca="1">IFERROR(INDEX(Patients!$D$51:$BD$51,1,MATCH('HCW &amp; Staff'!M$15,Patients!$D$31:$BD$31,0)),0)</f>
        <v>8422.8414875842282</v>
      </c>
      <c r="N18" s="248">
        <f ca="1">IFERROR(INDEX(Patients!$D$51:$BD$51,1,MATCH('HCW &amp; Staff'!N$15,Patients!$D$31:$BD$31,0)),0)</f>
        <v>21185.721600000001</v>
      </c>
      <c r="O18" s="248">
        <f ca="1">IFERROR(INDEX(Patients!$D$51:$BD$51,1,MATCH('HCW &amp; Staff'!O$15,Patients!$D$31:$BD$31,0)),0)</f>
        <v>21185.721600000001</v>
      </c>
      <c r="P18" s="248">
        <f ca="1">IFERROR(INDEX(Patients!$D$51:$BD$51,1,MATCH('HCW &amp; Staff'!P$15,Patients!$D$31:$BD$31,0)),0)</f>
        <v>21185.721600000001</v>
      </c>
      <c r="Q18" s="248">
        <f>IFERROR(INDEX(Patients!$D$51:$BD$51,1,MATCH('HCW &amp; Staff'!Q$15,Patients!$D$31:$BD$31,0)),0)</f>
        <v>0</v>
      </c>
      <c r="R18" s="248">
        <f>IFERROR(INDEX(Patients!$D$51:$BD$51,1,MATCH('HCW &amp; Staff'!R$15,Patients!$D$31:$BD$31,0)),0)</f>
        <v>0</v>
      </c>
      <c r="S18" s="248">
        <f>IFERROR(INDEX(Patients!$D$51:$BD$51,1,MATCH('HCW &amp; Staff'!S$15,Patients!$D$31:$BD$31,0)),0)</f>
        <v>0</v>
      </c>
      <c r="T18" s="248">
        <f>IFERROR(INDEX(Patients!$D$51:$BD$51,1,MATCH('HCW &amp; Staff'!T$15,Patients!$D$31:$BD$31,0)),0)</f>
        <v>0</v>
      </c>
      <c r="U18" s="248">
        <f>IFERROR(INDEX(Patients!$D$51:$BD$51,1,MATCH('HCW &amp; Staff'!U$15,Patients!$D$31:$BD$31,0)),0)</f>
        <v>0</v>
      </c>
      <c r="V18" s="248">
        <f>IFERROR(INDEX(Patients!$D$51:$BD$51,1,MATCH('HCW &amp; Staff'!V$15,Patients!$D$31:$BD$31,0)),0)</f>
        <v>0</v>
      </c>
      <c r="W18" s="248">
        <f>IFERROR(INDEX(Patients!$D$51:$BD$51,1,MATCH('HCW &amp; Staff'!W$15,Patients!$D$31:$BD$31,0)),0)</f>
        <v>0</v>
      </c>
      <c r="X18" s="248">
        <f>IFERROR(INDEX(Patients!$D$51:$BD$51,1,MATCH('HCW &amp; Staff'!X$15,Patients!$D$31:$BD$31,0)),0)</f>
        <v>0</v>
      </c>
      <c r="Y18" s="248">
        <f>IFERROR(INDEX(Patients!$D$51:$BD$51,1,MATCH('HCW &amp; Staff'!Y$15,Patients!$D$31:$BD$31,0)),0)</f>
        <v>0</v>
      </c>
      <c r="Z18" s="248">
        <f>IFERROR(INDEX(Patients!$D$51:$BD$51,1,MATCH('HCW &amp; Staff'!Z$15,Patients!$D$31:$BD$31,0)),0)</f>
        <v>0</v>
      </c>
      <c r="AA18" s="248">
        <f>IFERROR(INDEX(Patients!$D$51:$BD$51,1,MATCH('HCW &amp; Staff'!AA$15,Patients!$D$31:$BD$31,0)),0)</f>
        <v>0</v>
      </c>
      <c r="AB18" s="248">
        <f>IFERROR(INDEX(Patients!$D$51:$BD$51,1,MATCH('HCW &amp; Staff'!AB$15,Patients!$D$31:$BD$31,0)),0)</f>
        <v>0</v>
      </c>
      <c r="AC18" s="248">
        <f>IFERROR(INDEX(Patients!$D$51:$BD$51,1,MATCH('HCW &amp; Staff'!AC$15,Patients!$D$31:$BD$31,0)),0)</f>
        <v>0</v>
      </c>
      <c r="AD18" s="248">
        <f>IFERROR(INDEX(Patients!$D$51:$BD$51,1,MATCH('HCW &amp; Staff'!AD$15,Patients!$D$31:$BD$31,0)),0)</f>
        <v>0</v>
      </c>
      <c r="AE18" s="248">
        <f>IFERROR(INDEX(Patients!$D$51:$BD$51,1,MATCH('HCW &amp; Staff'!AE$15,Patients!$D$31:$BD$31,0)),0)</f>
        <v>0</v>
      </c>
      <c r="AF18" s="248">
        <f>IFERROR(INDEX(Patients!$D$51:$BD$51,1,MATCH('HCW &amp; Staff'!AF$15,Patients!$D$31:$BD$31,0)),0)</f>
        <v>0</v>
      </c>
      <c r="AG18" s="248">
        <f>IFERROR(INDEX(Patients!$D$51:$BD$51,1,MATCH('HCW &amp; Staff'!AG$15,Patients!$D$31:$BD$31,0)),0)</f>
        <v>0</v>
      </c>
      <c r="AH18" s="248">
        <f>IFERROR(INDEX(Patients!$D$51:$BD$51,1,MATCH('HCW &amp; Staff'!AH$15,Patients!$D$31:$BD$31,0)),0)</f>
        <v>0</v>
      </c>
      <c r="AI18" s="248">
        <f>IFERROR(INDEX(Patients!$D$51:$BD$51,1,MATCH('HCW &amp; Staff'!AI$15,Patients!$D$31:$BD$31,0)),0)</f>
        <v>0</v>
      </c>
      <c r="AJ18" s="248">
        <f>IFERROR(INDEX(Patients!$D$51:$BD$51,1,MATCH('HCW &amp; Staff'!AJ$15,Patients!$D$31:$BD$31,0)),0)</f>
        <v>0</v>
      </c>
      <c r="AK18" s="248">
        <f>IFERROR(INDEX(Patients!$D$51:$BD$51,1,MATCH('HCW &amp; Staff'!AK$15,Patients!$D$31:$BD$31,0)),0)</f>
        <v>0</v>
      </c>
      <c r="AL18" s="248">
        <f>IFERROR(INDEX(Patients!$D$51:$BD$51,1,MATCH('HCW &amp; Staff'!AL$15,Patients!$D$31:$BD$31,0)),0)</f>
        <v>0</v>
      </c>
      <c r="AM18" s="248">
        <f>IFERROR(INDEX(Patients!$D$51:$BD$51,1,MATCH('HCW &amp; Staff'!AM$15,Patients!$D$31:$BD$31,0)),0)</f>
        <v>0</v>
      </c>
      <c r="AN18" s="248">
        <f>IFERROR(INDEX(Patients!$D$51:$BD$51,1,MATCH('HCW &amp; Staff'!AN$15,Patients!$D$31:$BD$31,0)),0)</f>
        <v>0</v>
      </c>
      <c r="AO18" s="248">
        <f>IFERROR(INDEX(Patients!$D$51:$BD$51,1,MATCH('HCW &amp; Staff'!AO$15,Patients!$D$31:$BD$31,0)),0)</f>
        <v>0</v>
      </c>
      <c r="AP18" s="248">
        <f>IFERROR(INDEX(Patients!$D$51:$BD$51,1,MATCH('HCW &amp; Staff'!AP$15,Patients!$D$31:$BD$31,0)),0)</f>
        <v>0</v>
      </c>
      <c r="AQ18" s="248">
        <f>IFERROR(INDEX(Patients!$D$51:$BD$51,1,MATCH('HCW &amp; Staff'!AQ$15,Patients!$D$31:$BD$31,0)),0)</f>
        <v>0</v>
      </c>
      <c r="AR18" s="248">
        <f>IFERROR(INDEX(Patients!$D$51:$BD$51,1,MATCH('HCW &amp; Staff'!AR$15,Patients!$D$31:$BD$31,0)),0)</f>
        <v>0</v>
      </c>
      <c r="AS18" s="248">
        <f>IFERROR(INDEX(Patients!$D$51:$BD$51,1,MATCH('HCW &amp; Staff'!AS$15,Patients!$D$31:$BD$31,0)),0)</f>
        <v>0</v>
      </c>
      <c r="AT18" s="248">
        <f>IFERROR(INDEX(Patients!$D$51:$BD$51,1,MATCH('HCW &amp; Staff'!AT$15,Patients!$D$31:$BD$31,0)),0)</f>
        <v>0</v>
      </c>
      <c r="AU18" s="248">
        <f>IFERROR(INDEX(Patients!$D$51:$BD$51,1,MATCH('HCW &amp; Staff'!AU$15,Patients!$D$31:$BD$31,0)),0)</f>
        <v>0</v>
      </c>
      <c r="AV18" s="248">
        <f>IFERROR(INDEX(Patients!$D$51:$BD$51,1,MATCH('HCW &amp; Staff'!AV$15,Patients!$D$31:$BD$31,0)),0)</f>
        <v>0</v>
      </c>
      <c r="AW18" s="248">
        <f>IFERROR(INDEX(Patients!$D$51:$BD$51,1,MATCH('HCW &amp; Staff'!AW$15,Patients!$D$31:$BD$31,0)),0)</f>
        <v>0</v>
      </c>
      <c r="AX18" s="248">
        <f>IFERROR(INDEX(Patients!$D$51:$BD$51,1,MATCH('HCW &amp; Staff'!AX$15,Patients!$D$31:$BD$31,0)),0)</f>
        <v>0</v>
      </c>
      <c r="AY18" s="248">
        <f>IFERROR(INDEX(Patients!$D$51:$BD$51,1,MATCH('HCW &amp; Staff'!AY$15,Patients!$D$31:$BD$31,0)),0)</f>
        <v>0</v>
      </c>
      <c r="AZ18" s="248">
        <f>IFERROR(INDEX(Patients!$D$51:$BD$51,1,MATCH('HCW &amp; Staff'!AZ$15,Patients!$D$31:$BD$31,0)),0)</f>
        <v>0</v>
      </c>
      <c r="BA18" s="248">
        <f>IFERROR(INDEX(Patients!$D$51:$BD$51,1,MATCH('HCW &amp; Staff'!BA$15,Patients!$D$31:$BD$31,0)),0)</f>
        <v>0</v>
      </c>
      <c r="BB18" s="248">
        <f>IFERROR(INDEX(Patients!$D$51:$BD$51,1,MATCH('HCW &amp; Staff'!BB$15,Patients!$D$31:$BD$31,0)),0)</f>
        <v>0</v>
      </c>
      <c r="BC18" s="248">
        <f>IFERROR(INDEX(Patients!$D$51:$BD$51,1,MATCH('HCW &amp; Staff'!BC$15,Patients!$D$31:$BD$31,0)),0)</f>
        <v>0</v>
      </c>
      <c r="BD18" s="248">
        <f>IFERROR(INDEX(Patients!$D$51:$BD$51,1,MATCH('HCW &amp; Staff'!BD$15,Patients!$D$31:$BD$31,0)),0)</f>
        <v>0</v>
      </c>
      <c r="BF18" s="367">
        <f ca="1">SUMIFS($D18:$BD18,$D$15:$BD$15,"&lt;="&amp;WeekSuppliedUntil,$D$15:$BD$15,"&gt;="&amp;Start_week_for_forecasting)</f>
        <v>75523.102586447159</v>
      </c>
      <c r="BG18" s="5"/>
      <c r="BH18" s="367">
        <f t="array" aca="1" ref="BH18" ca="1">MAX(IF(D$15:BD$15&gt;=Start_week_for_forecasting,IF(D$15:BD$15&lt;=WeekSuppliedUntil,D18:BD18)))</f>
        <v>21185.721600000001</v>
      </c>
    </row>
    <row r="19" spans="1:60" s="32" customFormat="1" x14ac:dyDescent="0.75">
      <c r="B19" s="32" t="s">
        <v>1862</v>
      </c>
      <c r="D19" s="248">
        <f ca="1">IFERROR(INDEX(Patients!$D$52:$BD$52,1,MATCH('HCW &amp; Staff'!D$15,Patients!$D$31:$BD$31,0)),0)</f>
        <v>0.05</v>
      </c>
      <c r="E19" s="248">
        <f ca="1">IFERROR(INDEX(Patients!$D$52:$BD$52,1,MATCH('HCW &amp; Staff'!E$15,Patients!$D$31:$BD$31,0)),0)</f>
        <v>0.19901936961983005</v>
      </c>
      <c r="F19" s="248">
        <f ca="1">IFERROR(INDEX(Patients!$D$52:$BD$52,1,MATCH('HCW &amp; Staff'!F$15,Patients!$D$31:$BD$31,0)),0)</f>
        <v>0.66112561295362027</v>
      </c>
      <c r="G19" s="248">
        <f ca="1">IFERROR(INDEX(Patients!$D$52:$BD$52,1,MATCH('HCW &amp; Staff'!G$15,Patients!$D$31:$BD$31,0)),0)</f>
        <v>2.2719461086162016</v>
      </c>
      <c r="H19" s="248">
        <f ca="1">IFERROR(INDEX(Patients!$D$52:$BD$52,1,MATCH('HCW &amp; Staff'!H$15,Patients!$D$31:$BD$31,0)),0)</f>
        <v>7.8072798416527087</v>
      </c>
      <c r="I19" s="248">
        <f ca="1">IFERROR(INDEX(Patients!$D$52:$BD$52,1,MATCH('HCW &amp; Staff'!I$15,Patients!$D$31:$BD$31,0)),0)</f>
        <v>26.826198008640404</v>
      </c>
      <c r="J19" s="248">
        <f ca="1">IFERROR(INDEX(Patients!$D$52:$BD$52,1,MATCH('HCW &amp; Staff'!J$15,Patients!$D$31:$BD$31,0)),0)</f>
        <v>92.145268898898095</v>
      </c>
      <c r="K19" s="248">
        <f ca="1">IFERROR(INDEX(Patients!$D$52:$BD$52,1,MATCH('HCW &amp; Staff'!K$15,Patients!$D$31:$BD$31,0)),0)</f>
        <v>316.1459177424091</v>
      </c>
      <c r="L19" s="248">
        <f ca="1">IFERROR(INDEX(Patients!$D$52:$BD$52,1,MATCH('HCW &amp; Staff'!L$15,Patients!$D$31:$BD$31,0)),0)</f>
        <v>875.0784000000001</v>
      </c>
      <c r="M19" s="248">
        <f ca="1">IFERROR(INDEX(Patients!$D$52:$BD$52,1,MATCH('HCW &amp; Staff'!M$15,Patients!$D$31:$BD$31,0)),0)</f>
        <v>875.0784000000001</v>
      </c>
      <c r="N19" s="248">
        <f ca="1">IFERROR(INDEX(Patients!$D$52:$BD$52,1,MATCH('HCW &amp; Staff'!N$15,Patients!$D$31:$BD$31,0)),0)</f>
        <v>875.0784000000001</v>
      </c>
      <c r="O19" s="248">
        <f ca="1">IFERROR(INDEX(Patients!$D$52:$BD$52,1,MATCH('HCW &amp; Staff'!O$15,Patients!$D$31:$BD$31,0)),0)</f>
        <v>875.0784000000001</v>
      </c>
      <c r="P19" s="248">
        <f ca="1">IFERROR(INDEX(Patients!$D$52:$BD$52,1,MATCH('HCW &amp; Staff'!P$15,Patients!$D$31:$BD$31,0)),0)</f>
        <v>875.0784000000001</v>
      </c>
      <c r="Q19" s="248">
        <f>IFERROR(INDEX(Patients!$D$52:$BD$52,1,MATCH('HCW &amp; Staff'!Q$15,Patients!$D$31:$BD$31,0)),0)</f>
        <v>0</v>
      </c>
      <c r="R19" s="248">
        <f>IFERROR(INDEX(Patients!$D$52:$BD$52,1,MATCH('HCW &amp; Staff'!R$15,Patients!$D$31:$BD$31,0)),0)</f>
        <v>0</v>
      </c>
      <c r="S19" s="248">
        <f>IFERROR(INDEX(Patients!$D$52:$BD$52,1,MATCH('HCW &amp; Staff'!S$15,Patients!$D$31:$BD$31,0)),0)</f>
        <v>0</v>
      </c>
      <c r="T19" s="248">
        <f>IFERROR(INDEX(Patients!$D$52:$BD$52,1,MATCH('HCW &amp; Staff'!T$15,Patients!$D$31:$BD$31,0)),0)</f>
        <v>0</v>
      </c>
      <c r="U19" s="248">
        <f>IFERROR(INDEX(Patients!$D$52:$BD$52,1,MATCH('HCW &amp; Staff'!U$15,Patients!$D$31:$BD$31,0)),0)</f>
        <v>0</v>
      </c>
      <c r="V19" s="248">
        <f>IFERROR(INDEX(Patients!$D$52:$BD$52,1,MATCH('HCW &amp; Staff'!V$15,Patients!$D$31:$BD$31,0)),0)</f>
        <v>0</v>
      </c>
      <c r="W19" s="248">
        <f>IFERROR(INDEX(Patients!$D$52:$BD$52,1,MATCH('HCW &amp; Staff'!W$15,Patients!$D$31:$BD$31,0)),0)</f>
        <v>0</v>
      </c>
      <c r="X19" s="248">
        <f>IFERROR(INDEX(Patients!$D$52:$BD$52,1,MATCH('HCW &amp; Staff'!X$15,Patients!$D$31:$BD$31,0)),0)</f>
        <v>0</v>
      </c>
      <c r="Y19" s="248">
        <f>IFERROR(INDEX(Patients!$D$52:$BD$52,1,MATCH('HCW &amp; Staff'!Y$15,Patients!$D$31:$BD$31,0)),0)</f>
        <v>0</v>
      </c>
      <c r="Z19" s="248">
        <f>IFERROR(INDEX(Patients!$D$52:$BD$52,1,MATCH('HCW &amp; Staff'!Z$15,Patients!$D$31:$BD$31,0)),0)</f>
        <v>0</v>
      </c>
      <c r="AA19" s="248">
        <f>IFERROR(INDEX(Patients!$D$52:$BD$52,1,MATCH('HCW &amp; Staff'!AA$15,Patients!$D$31:$BD$31,0)),0)</f>
        <v>0</v>
      </c>
      <c r="AB19" s="248">
        <f>IFERROR(INDEX(Patients!$D$52:$BD$52,1,MATCH('HCW &amp; Staff'!AB$15,Patients!$D$31:$BD$31,0)),0)</f>
        <v>0</v>
      </c>
      <c r="AC19" s="248">
        <f>IFERROR(INDEX(Patients!$D$52:$BD$52,1,MATCH('HCW &amp; Staff'!AC$15,Patients!$D$31:$BD$31,0)),0)</f>
        <v>0</v>
      </c>
      <c r="AD19" s="248">
        <f>IFERROR(INDEX(Patients!$D$52:$BD$52,1,MATCH('HCW &amp; Staff'!AD$15,Patients!$D$31:$BD$31,0)),0)</f>
        <v>0</v>
      </c>
      <c r="AE19" s="248">
        <f>IFERROR(INDEX(Patients!$D$52:$BD$52,1,MATCH('HCW &amp; Staff'!AE$15,Patients!$D$31:$BD$31,0)),0)</f>
        <v>0</v>
      </c>
      <c r="AF19" s="248">
        <f>IFERROR(INDEX(Patients!$D$52:$BD$52,1,MATCH('HCW &amp; Staff'!AF$15,Patients!$D$31:$BD$31,0)),0)</f>
        <v>0</v>
      </c>
      <c r="AG19" s="248">
        <f>IFERROR(INDEX(Patients!$D$52:$BD$52,1,MATCH('HCW &amp; Staff'!AG$15,Patients!$D$31:$BD$31,0)),0)</f>
        <v>0</v>
      </c>
      <c r="AH19" s="248">
        <f>IFERROR(INDEX(Patients!$D$52:$BD$52,1,MATCH('HCW &amp; Staff'!AH$15,Patients!$D$31:$BD$31,0)),0)</f>
        <v>0</v>
      </c>
      <c r="AI19" s="248">
        <f>IFERROR(INDEX(Patients!$D$52:$BD$52,1,MATCH('HCW &amp; Staff'!AI$15,Patients!$D$31:$BD$31,0)),0)</f>
        <v>0</v>
      </c>
      <c r="AJ19" s="248">
        <f>IFERROR(INDEX(Patients!$D$52:$BD$52,1,MATCH('HCW &amp; Staff'!AJ$15,Patients!$D$31:$BD$31,0)),0)</f>
        <v>0</v>
      </c>
      <c r="AK19" s="248">
        <f>IFERROR(INDEX(Patients!$D$52:$BD$52,1,MATCH('HCW &amp; Staff'!AK$15,Patients!$D$31:$BD$31,0)),0)</f>
        <v>0</v>
      </c>
      <c r="AL19" s="248">
        <f>IFERROR(INDEX(Patients!$D$52:$BD$52,1,MATCH('HCW &amp; Staff'!AL$15,Patients!$D$31:$BD$31,0)),0)</f>
        <v>0</v>
      </c>
      <c r="AM19" s="248">
        <f>IFERROR(INDEX(Patients!$D$52:$BD$52,1,MATCH('HCW &amp; Staff'!AM$15,Patients!$D$31:$BD$31,0)),0)</f>
        <v>0</v>
      </c>
      <c r="AN19" s="248">
        <f>IFERROR(INDEX(Patients!$D$52:$BD$52,1,MATCH('HCW &amp; Staff'!AN$15,Patients!$D$31:$BD$31,0)),0)</f>
        <v>0</v>
      </c>
      <c r="AO19" s="248">
        <f>IFERROR(INDEX(Patients!$D$52:$BD$52,1,MATCH('HCW &amp; Staff'!AO$15,Patients!$D$31:$BD$31,0)),0)</f>
        <v>0</v>
      </c>
      <c r="AP19" s="248">
        <f>IFERROR(INDEX(Patients!$D$52:$BD$52,1,MATCH('HCW &amp; Staff'!AP$15,Patients!$D$31:$BD$31,0)),0)</f>
        <v>0</v>
      </c>
      <c r="AQ19" s="248">
        <f>IFERROR(INDEX(Patients!$D$52:$BD$52,1,MATCH('HCW &amp; Staff'!AQ$15,Patients!$D$31:$BD$31,0)),0)</f>
        <v>0</v>
      </c>
      <c r="AR19" s="248">
        <f>IFERROR(INDEX(Patients!$D$52:$BD$52,1,MATCH('HCW &amp; Staff'!AR$15,Patients!$D$31:$BD$31,0)),0)</f>
        <v>0</v>
      </c>
      <c r="AS19" s="248">
        <f>IFERROR(INDEX(Patients!$D$52:$BD$52,1,MATCH('HCW &amp; Staff'!AS$15,Patients!$D$31:$BD$31,0)),0)</f>
        <v>0</v>
      </c>
      <c r="AT19" s="248">
        <f>IFERROR(INDEX(Patients!$D$52:$BD$52,1,MATCH('HCW &amp; Staff'!AT$15,Patients!$D$31:$BD$31,0)),0)</f>
        <v>0</v>
      </c>
      <c r="AU19" s="248">
        <f>IFERROR(INDEX(Patients!$D$52:$BD$52,1,MATCH('HCW &amp; Staff'!AU$15,Patients!$D$31:$BD$31,0)),0)</f>
        <v>0</v>
      </c>
      <c r="AV19" s="248">
        <f>IFERROR(INDEX(Patients!$D$52:$BD$52,1,MATCH('HCW &amp; Staff'!AV$15,Patients!$D$31:$BD$31,0)),0)</f>
        <v>0</v>
      </c>
      <c r="AW19" s="248">
        <f>IFERROR(INDEX(Patients!$D$52:$BD$52,1,MATCH('HCW &amp; Staff'!AW$15,Patients!$D$31:$BD$31,0)),0)</f>
        <v>0</v>
      </c>
      <c r="AX19" s="248">
        <f>IFERROR(INDEX(Patients!$D$52:$BD$52,1,MATCH('HCW &amp; Staff'!AX$15,Patients!$D$31:$BD$31,0)),0)</f>
        <v>0</v>
      </c>
      <c r="AY19" s="248">
        <f>IFERROR(INDEX(Patients!$D$52:$BD$52,1,MATCH('HCW &amp; Staff'!AY$15,Patients!$D$31:$BD$31,0)),0)</f>
        <v>0</v>
      </c>
      <c r="AZ19" s="248">
        <f>IFERROR(INDEX(Patients!$D$52:$BD$52,1,MATCH('HCW &amp; Staff'!AZ$15,Patients!$D$31:$BD$31,0)),0)</f>
        <v>0</v>
      </c>
      <c r="BA19" s="248">
        <f>IFERROR(INDEX(Patients!$D$52:$BD$52,1,MATCH('HCW &amp; Staff'!BA$15,Patients!$D$31:$BD$31,0)),0)</f>
        <v>0</v>
      </c>
      <c r="BB19" s="248">
        <f>IFERROR(INDEX(Patients!$D$52:$BD$52,1,MATCH('HCW &amp; Staff'!BB$15,Patients!$D$31:$BD$31,0)),0)</f>
        <v>0</v>
      </c>
      <c r="BC19" s="248">
        <f>IFERROR(INDEX(Patients!$D$52:$BD$52,1,MATCH('HCW &amp; Staff'!BC$15,Patients!$D$31:$BD$31,0)),0)</f>
        <v>0</v>
      </c>
      <c r="BD19" s="248">
        <f>IFERROR(INDEX(Patients!$D$52:$BD$52,1,MATCH('HCW &amp; Staff'!BD$15,Patients!$D$31:$BD$31,0)),0)</f>
        <v>0</v>
      </c>
      <c r="BF19" s="367">
        <f ca="1">SUMIFS($D19:$BD19,$D$15:$BD$15,"&lt;="&amp;WeekSuppliedUntil,$D$15:$BD$15,"&gt;="&amp;Start_week_for_forecasting)</f>
        <v>4821.4487555827909</v>
      </c>
      <c r="BG19" s="5"/>
      <c r="BH19" s="367">
        <f t="array" aca="1" ref="BH19" ca="1">MAX(IF(D$15:BD$15&gt;=Start_week_for_forecasting,IF(D$15:BD$15&lt;=WeekSuppliedUntil,D19:BD19)))</f>
        <v>875.0784000000001</v>
      </c>
    </row>
    <row r="20" spans="1:60" s="32" customFormat="1" ht="15.5" thickBot="1" x14ac:dyDescent="0.9">
      <c r="B20" s="32" t="s">
        <v>590</v>
      </c>
      <c r="D20" s="250">
        <f t="shared" ref="D20:AI20" ca="1" si="0">IFERROR(IF(D18="","",SUM(D18:D19)),"")</f>
        <v>0.2</v>
      </c>
      <c r="E20" s="250">
        <f t="shared" ca="1" si="0"/>
        <v>0.64607747847932007</v>
      </c>
      <c r="F20" s="250">
        <f t="shared" ca="1" si="0"/>
        <v>2.1974443429549915</v>
      </c>
      <c r="G20" s="250">
        <f t="shared" ca="1" si="0"/>
        <v>7.5514657044634337</v>
      </c>
      <c r="H20" s="250">
        <f t="shared" ca="1" si="0"/>
        <v>25.949599770763598</v>
      </c>
      <c r="I20" s="250">
        <f t="shared" ca="1" si="0"/>
        <v>89.162472105450718</v>
      </c>
      <c r="J20" s="250">
        <f t="shared" ca="1" si="0"/>
        <v>306.24480149878201</v>
      </c>
      <c r="K20" s="250">
        <f t="shared" ca="1" si="0"/>
        <v>1050.4841383697521</v>
      </c>
      <c r="L20" s="250">
        <f t="shared" ca="1" si="0"/>
        <v>3381.9954551750634</v>
      </c>
      <c r="M20" s="250">
        <f t="shared" ca="1" si="0"/>
        <v>9297.9198875842285</v>
      </c>
      <c r="N20" s="250">
        <f t="shared" ca="1" si="0"/>
        <v>22060.799999999999</v>
      </c>
      <c r="O20" s="250">
        <f t="shared" ca="1" si="0"/>
        <v>22060.799999999999</v>
      </c>
      <c r="P20" s="250">
        <f t="shared" ca="1" si="0"/>
        <v>22060.799999999999</v>
      </c>
      <c r="Q20" s="250">
        <f t="shared" si="0"/>
        <v>0</v>
      </c>
      <c r="R20" s="250">
        <f t="shared" si="0"/>
        <v>0</v>
      </c>
      <c r="S20" s="250">
        <f t="shared" si="0"/>
        <v>0</v>
      </c>
      <c r="T20" s="250">
        <f t="shared" si="0"/>
        <v>0</v>
      </c>
      <c r="U20" s="250">
        <f t="shared" si="0"/>
        <v>0</v>
      </c>
      <c r="V20" s="250">
        <f t="shared" si="0"/>
        <v>0</v>
      </c>
      <c r="W20" s="250">
        <f t="shared" si="0"/>
        <v>0</v>
      </c>
      <c r="X20" s="250">
        <f t="shared" si="0"/>
        <v>0</v>
      </c>
      <c r="Y20" s="250">
        <f t="shared" si="0"/>
        <v>0</v>
      </c>
      <c r="Z20" s="250">
        <f t="shared" si="0"/>
        <v>0</v>
      </c>
      <c r="AA20" s="250">
        <f t="shared" si="0"/>
        <v>0</v>
      </c>
      <c r="AB20" s="250">
        <f t="shared" si="0"/>
        <v>0</v>
      </c>
      <c r="AC20" s="250">
        <f t="shared" si="0"/>
        <v>0</v>
      </c>
      <c r="AD20" s="250">
        <f t="shared" si="0"/>
        <v>0</v>
      </c>
      <c r="AE20" s="250">
        <f t="shared" si="0"/>
        <v>0</v>
      </c>
      <c r="AF20" s="250">
        <f t="shared" si="0"/>
        <v>0</v>
      </c>
      <c r="AG20" s="250">
        <f t="shared" si="0"/>
        <v>0</v>
      </c>
      <c r="AH20" s="250">
        <f t="shared" si="0"/>
        <v>0</v>
      </c>
      <c r="AI20" s="250">
        <f t="shared" si="0"/>
        <v>0</v>
      </c>
      <c r="AJ20" s="250">
        <f t="shared" ref="AJ20:BD20" si="1">IFERROR(IF(AJ18="","",SUM(AJ18:AJ19)),"")</f>
        <v>0</v>
      </c>
      <c r="AK20" s="250">
        <f t="shared" si="1"/>
        <v>0</v>
      </c>
      <c r="AL20" s="250">
        <f t="shared" si="1"/>
        <v>0</v>
      </c>
      <c r="AM20" s="250">
        <f t="shared" si="1"/>
        <v>0</v>
      </c>
      <c r="AN20" s="250">
        <f t="shared" si="1"/>
        <v>0</v>
      </c>
      <c r="AO20" s="250">
        <f t="shared" si="1"/>
        <v>0</v>
      </c>
      <c r="AP20" s="250">
        <f t="shared" si="1"/>
        <v>0</v>
      </c>
      <c r="AQ20" s="250">
        <f t="shared" si="1"/>
        <v>0</v>
      </c>
      <c r="AR20" s="250">
        <f t="shared" si="1"/>
        <v>0</v>
      </c>
      <c r="AS20" s="250">
        <f t="shared" si="1"/>
        <v>0</v>
      </c>
      <c r="AT20" s="250">
        <f t="shared" si="1"/>
        <v>0</v>
      </c>
      <c r="AU20" s="250">
        <f t="shared" si="1"/>
        <v>0</v>
      </c>
      <c r="AV20" s="250">
        <f t="shared" si="1"/>
        <v>0</v>
      </c>
      <c r="AW20" s="250">
        <f t="shared" si="1"/>
        <v>0</v>
      </c>
      <c r="AX20" s="250">
        <f t="shared" si="1"/>
        <v>0</v>
      </c>
      <c r="AY20" s="250">
        <f t="shared" si="1"/>
        <v>0</v>
      </c>
      <c r="AZ20" s="250">
        <f t="shared" si="1"/>
        <v>0</v>
      </c>
      <c r="BA20" s="250">
        <f t="shared" si="1"/>
        <v>0</v>
      </c>
      <c r="BB20" s="250">
        <f t="shared" si="1"/>
        <v>0</v>
      </c>
      <c r="BC20" s="250">
        <f t="shared" si="1"/>
        <v>0</v>
      </c>
      <c r="BD20" s="250">
        <f t="shared" si="1"/>
        <v>0</v>
      </c>
      <c r="BF20" s="712">
        <f ca="1">SUMIFS($D20:$BD20,$D$15:$BD$15,"&lt;="&amp;WeekSuppliedUntil,$D$15:$BD$15,"&gt;="&amp;Start_week_for_forecasting)</f>
        <v>80344.551342029939</v>
      </c>
      <c r="BG20" s="5"/>
      <c r="BH20" s="712">
        <f t="array" aca="1" ref="BH20" ca="1">MAX(IF(D$15:BD$15&gt;=Start_week_for_forecasting,IF(D$15:BD$15&lt;=WeekSuppliedUntil,D20:BD20)))</f>
        <v>22060.799999999999</v>
      </c>
    </row>
    <row r="21" spans="1:60" s="6" customFormat="1" ht="18" customHeight="1" x14ac:dyDescent="0.75">
      <c r="B21" s="642" t="s">
        <v>1384</v>
      </c>
      <c r="C21" s="642"/>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F21" s="37"/>
      <c r="BH21" s="76"/>
    </row>
    <row r="22" spans="1:60" x14ac:dyDescent="0.75">
      <c r="B22" s="42" t="s">
        <v>270</v>
      </c>
      <c r="C22" s="42"/>
      <c r="D22" s="245">
        <f t="shared" ref="D22:AI22" ca="1" si="2">IFERROR(IF(D20*HCWs_per_bed&lt;$D$9,D20*HCWs_per_bed,$D$9),"")</f>
        <v>0.32059314622029761</v>
      </c>
      <c r="E22" s="245">
        <f t="shared" ca="1" si="2"/>
        <v>1.0356400576388092</v>
      </c>
      <c r="F22" s="245">
        <f t="shared" ca="1" si="2"/>
        <v>3.5224279777596768</v>
      </c>
      <c r="G22" s="245">
        <f t="shared" ca="1" si="2"/>
        <v>12.104740743843042</v>
      </c>
      <c r="H22" s="245">
        <f t="shared" ca="1" si="2"/>
        <v>41.596319168333075</v>
      </c>
      <c r="I22" s="245">
        <f t="shared" ca="1" si="2"/>
        <v>142.92438728532983</v>
      </c>
      <c r="J22" s="245">
        <f t="shared" ca="1" si="2"/>
        <v>490.89992213052517</v>
      </c>
      <c r="K22" s="245">
        <f t="shared" ca="1" si="2"/>
        <v>1683.8900748723863</v>
      </c>
      <c r="L22" s="245">
        <f t="shared" ca="1" si="2"/>
        <v>5421.2228173866051</v>
      </c>
      <c r="M22" s="245">
        <f t="shared" ca="1" si="2"/>
        <v>8370.5634892178605</v>
      </c>
      <c r="N22" s="245">
        <f t="shared" ca="1" si="2"/>
        <v>8370.5634892178605</v>
      </c>
      <c r="O22" s="245">
        <f t="shared" ca="1" si="2"/>
        <v>8370.5634892178605</v>
      </c>
      <c r="P22" s="245">
        <f t="shared" ca="1" si="2"/>
        <v>8370.5634892178605</v>
      </c>
      <c r="Q22" s="245">
        <f t="shared" ca="1" si="2"/>
        <v>0</v>
      </c>
      <c r="R22" s="245">
        <f t="shared" ca="1" si="2"/>
        <v>0</v>
      </c>
      <c r="S22" s="245">
        <f t="shared" ca="1" si="2"/>
        <v>0</v>
      </c>
      <c r="T22" s="245">
        <f t="shared" ca="1" si="2"/>
        <v>0</v>
      </c>
      <c r="U22" s="245">
        <f t="shared" ca="1" si="2"/>
        <v>0</v>
      </c>
      <c r="V22" s="245">
        <f t="shared" ca="1" si="2"/>
        <v>0</v>
      </c>
      <c r="W22" s="245">
        <f t="shared" ca="1" si="2"/>
        <v>0</v>
      </c>
      <c r="X22" s="245">
        <f t="shared" ca="1" si="2"/>
        <v>0</v>
      </c>
      <c r="Y22" s="245">
        <f t="shared" ca="1" si="2"/>
        <v>0</v>
      </c>
      <c r="Z22" s="245">
        <f t="shared" ca="1" si="2"/>
        <v>0</v>
      </c>
      <c r="AA22" s="245">
        <f t="shared" ca="1" si="2"/>
        <v>0</v>
      </c>
      <c r="AB22" s="245">
        <f t="shared" ca="1" si="2"/>
        <v>0</v>
      </c>
      <c r="AC22" s="245">
        <f t="shared" ca="1" si="2"/>
        <v>0</v>
      </c>
      <c r="AD22" s="245">
        <f t="shared" ca="1" si="2"/>
        <v>0</v>
      </c>
      <c r="AE22" s="245">
        <f t="shared" ca="1" si="2"/>
        <v>0</v>
      </c>
      <c r="AF22" s="245">
        <f t="shared" ca="1" si="2"/>
        <v>0</v>
      </c>
      <c r="AG22" s="245">
        <f t="shared" ca="1" si="2"/>
        <v>0</v>
      </c>
      <c r="AH22" s="245">
        <f t="shared" ca="1" si="2"/>
        <v>0</v>
      </c>
      <c r="AI22" s="245">
        <f t="shared" ca="1" si="2"/>
        <v>0</v>
      </c>
      <c r="AJ22" s="245">
        <f t="shared" ref="AJ22:BD22" ca="1" si="3">IFERROR(IF(AJ20*HCWs_per_bed&lt;$D$9,AJ20*HCWs_per_bed,$D$9),"")</f>
        <v>0</v>
      </c>
      <c r="AK22" s="245">
        <f t="shared" ca="1" si="3"/>
        <v>0</v>
      </c>
      <c r="AL22" s="245">
        <f t="shared" ca="1" si="3"/>
        <v>0</v>
      </c>
      <c r="AM22" s="245">
        <f t="shared" ca="1" si="3"/>
        <v>0</v>
      </c>
      <c r="AN22" s="245">
        <f t="shared" ca="1" si="3"/>
        <v>0</v>
      </c>
      <c r="AO22" s="245">
        <f t="shared" ca="1" si="3"/>
        <v>0</v>
      </c>
      <c r="AP22" s="245">
        <f t="shared" ca="1" si="3"/>
        <v>0</v>
      </c>
      <c r="AQ22" s="245">
        <f t="shared" ca="1" si="3"/>
        <v>0</v>
      </c>
      <c r="AR22" s="245">
        <f t="shared" ca="1" si="3"/>
        <v>0</v>
      </c>
      <c r="AS22" s="245">
        <f t="shared" ca="1" si="3"/>
        <v>0</v>
      </c>
      <c r="AT22" s="245">
        <f t="shared" ca="1" si="3"/>
        <v>0</v>
      </c>
      <c r="AU22" s="245">
        <f t="shared" ca="1" si="3"/>
        <v>0</v>
      </c>
      <c r="AV22" s="245">
        <f t="shared" ca="1" si="3"/>
        <v>0</v>
      </c>
      <c r="AW22" s="245">
        <f t="shared" ca="1" si="3"/>
        <v>0</v>
      </c>
      <c r="AX22" s="245">
        <f t="shared" ca="1" si="3"/>
        <v>0</v>
      </c>
      <c r="AY22" s="245">
        <f t="shared" ca="1" si="3"/>
        <v>0</v>
      </c>
      <c r="AZ22" s="245">
        <f t="shared" ca="1" si="3"/>
        <v>0</v>
      </c>
      <c r="BA22" s="245">
        <f t="shared" ca="1" si="3"/>
        <v>0</v>
      </c>
      <c r="BB22" s="245">
        <f t="shared" ca="1" si="3"/>
        <v>0</v>
      </c>
      <c r="BC22" s="245">
        <f t="shared" ca="1" si="3"/>
        <v>0</v>
      </c>
      <c r="BD22" s="245">
        <f t="shared" ca="1" si="3"/>
        <v>0</v>
      </c>
      <c r="BF22" s="367">
        <f ca="1">SUMIFS($D22:$BD22,$D$15:$BD$15,"&lt;="&amp;WeekSuppliedUntil,$D$15:$BD$15,"&gt;="&amp;Start_week_for_forecasting)</f>
        <v>41279.450286493869</v>
      </c>
      <c r="BG22" s="5"/>
      <c r="BH22" s="367">
        <f t="array" aca="1" ref="BH22" ca="1">MAX(IF(D$15:BD$15&gt;=Start_week_for_forecasting,IF(D$15:BD$15&lt;=WeekSuppliedUntil,D22:BD22)))</f>
        <v>8370.5634892178605</v>
      </c>
    </row>
    <row r="23" spans="1:60" x14ac:dyDescent="0.75">
      <c r="B23" s="42" t="s">
        <v>844</v>
      </c>
      <c r="C23" s="42"/>
      <c r="D23" s="245">
        <f t="shared" ref="D23:AI23" ca="1" si="4">IFERROR(IF(D20*Hygienists_per_bed&lt;$D$12,D20*Hygienists_per_bed,$D$12),"")</f>
        <v>8.5050410310214472E-2</v>
      </c>
      <c r="E23" s="245">
        <f t="shared" ca="1" si="4"/>
        <v>0.27474577318427462</v>
      </c>
      <c r="F23" s="245">
        <f t="shared" ca="1" si="4"/>
        <v>0.93446771501090831</v>
      </c>
      <c r="G23" s="245">
        <f t="shared" ca="1" si="4"/>
        <v>3.2112762830406387</v>
      </c>
      <c r="H23" s="245">
        <f t="shared" ca="1" si="4"/>
        <v>11.035120539446456</v>
      </c>
      <c r="I23" s="245">
        <f t="shared" ca="1" si="4"/>
        <v>37.916524184208178</v>
      </c>
      <c r="J23" s="245">
        <f t="shared" ca="1" si="4"/>
        <v>130.23123011420796</v>
      </c>
      <c r="K23" s="245">
        <f t="shared" ca="1" si="4"/>
        <v>446.72053496359763</v>
      </c>
      <c r="L23" s="245">
        <f t="shared" ca="1" si="4"/>
        <v>1438.2005056495984</v>
      </c>
      <c r="M23" s="245">
        <f t="shared" ca="1" si="4"/>
        <v>3953.9595073527089</v>
      </c>
      <c r="N23" s="245">
        <f t="shared" ca="1" si="4"/>
        <v>9381.4004588578955</v>
      </c>
      <c r="O23" s="245">
        <f t="shared" ca="1" si="4"/>
        <v>9381.4004588578955</v>
      </c>
      <c r="P23" s="245">
        <f t="shared" ca="1" si="4"/>
        <v>9381.4004588578955</v>
      </c>
      <c r="Q23" s="245">
        <f t="shared" ca="1" si="4"/>
        <v>0</v>
      </c>
      <c r="R23" s="245">
        <f t="shared" ca="1" si="4"/>
        <v>0</v>
      </c>
      <c r="S23" s="245">
        <f t="shared" ca="1" si="4"/>
        <v>0</v>
      </c>
      <c r="T23" s="245">
        <f t="shared" ca="1" si="4"/>
        <v>0</v>
      </c>
      <c r="U23" s="245">
        <f t="shared" ca="1" si="4"/>
        <v>0</v>
      </c>
      <c r="V23" s="245">
        <f t="shared" ca="1" si="4"/>
        <v>0</v>
      </c>
      <c r="W23" s="245">
        <f t="shared" ca="1" si="4"/>
        <v>0</v>
      </c>
      <c r="X23" s="245">
        <f t="shared" ca="1" si="4"/>
        <v>0</v>
      </c>
      <c r="Y23" s="245">
        <f t="shared" ca="1" si="4"/>
        <v>0</v>
      </c>
      <c r="Z23" s="245">
        <f t="shared" ca="1" si="4"/>
        <v>0</v>
      </c>
      <c r="AA23" s="245">
        <f t="shared" ca="1" si="4"/>
        <v>0</v>
      </c>
      <c r="AB23" s="245">
        <f t="shared" ca="1" si="4"/>
        <v>0</v>
      </c>
      <c r="AC23" s="245">
        <f t="shared" ca="1" si="4"/>
        <v>0</v>
      </c>
      <c r="AD23" s="245">
        <f t="shared" ca="1" si="4"/>
        <v>0</v>
      </c>
      <c r="AE23" s="245">
        <f t="shared" ca="1" si="4"/>
        <v>0</v>
      </c>
      <c r="AF23" s="245">
        <f t="shared" ca="1" si="4"/>
        <v>0</v>
      </c>
      <c r="AG23" s="245">
        <f t="shared" ca="1" si="4"/>
        <v>0</v>
      </c>
      <c r="AH23" s="245">
        <f t="shared" ca="1" si="4"/>
        <v>0</v>
      </c>
      <c r="AI23" s="245">
        <f t="shared" ca="1" si="4"/>
        <v>0</v>
      </c>
      <c r="AJ23" s="245">
        <f t="shared" ref="AJ23:BD23" ca="1" si="5">IFERROR(IF(AJ20*Hygienists_per_bed&lt;$D$12,AJ20*Hygienists_per_bed,$D$12),"")</f>
        <v>0</v>
      </c>
      <c r="AK23" s="245">
        <f t="shared" ca="1" si="5"/>
        <v>0</v>
      </c>
      <c r="AL23" s="245">
        <f t="shared" ca="1" si="5"/>
        <v>0</v>
      </c>
      <c r="AM23" s="245">
        <f t="shared" ca="1" si="5"/>
        <v>0</v>
      </c>
      <c r="AN23" s="245">
        <f t="shared" ca="1" si="5"/>
        <v>0</v>
      </c>
      <c r="AO23" s="245">
        <f t="shared" ca="1" si="5"/>
        <v>0</v>
      </c>
      <c r="AP23" s="245">
        <f t="shared" ca="1" si="5"/>
        <v>0</v>
      </c>
      <c r="AQ23" s="245">
        <f t="shared" ca="1" si="5"/>
        <v>0</v>
      </c>
      <c r="AR23" s="245">
        <f t="shared" ca="1" si="5"/>
        <v>0</v>
      </c>
      <c r="AS23" s="245">
        <f t="shared" ca="1" si="5"/>
        <v>0</v>
      </c>
      <c r="AT23" s="245">
        <f t="shared" ca="1" si="5"/>
        <v>0</v>
      </c>
      <c r="AU23" s="245">
        <f t="shared" ca="1" si="5"/>
        <v>0</v>
      </c>
      <c r="AV23" s="245">
        <f t="shared" ca="1" si="5"/>
        <v>0</v>
      </c>
      <c r="AW23" s="245">
        <f t="shared" ca="1" si="5"/>
        <v>0</v>
      </c>
      <c r="AX23" s="245">
        <f t="shared" ca="1" si="5"/>
        <v>0</v>
      </c>
      <c r="AY23" s="245">
        <f t="shared" ca="1" si="5"/>
        <v>0</v>
      </c>
      <c r="AZ23" s="245">
        <f t="shared" ca="1" si="5"/>
        <v>0</v>
      </c>
      <c r="BA23" s="245">
        <f t="shared" ca="1" si="5"/>
        <v>0</v>
      </c>
      <c r="BB23" s="245">
        <f t="shared" ca="1" si="5"/>
        <v>0</v>
      </c>
      <c r="BC23" s="245">
        <f t="shared" ca="1" si="5"/>
        <v>0</v>
      </c>
      <c r="BD23" s="245">
        <f t="shared" ca="1" si="5"/>
        <v>0</v>
      </c>
      <c r="BF23" s="367">
        <f ca="1">SUMIFS($D23:$BD23,$D$15:$BD$15,"&lt;="&amp;WeekSuppliedUntil,$D$15:$BD$15,"&gt;="&amp;Start_week_for_forecasting)</f>
        <v>34166.685289148692</v>
      </c>
      <c r="BG23" s="5"/>
      <c r="BH23" s="367">
        <f t="array" aca="1" ref="BH23" ca="1">MAX(IF(D$15:BD$15&gt;=Start_week_for_forecasting,IF(D$15:BD$15&lt;=WeekSuppliedUntil,D23:BD23)))</f>
        <v>9381.4004588578955</v>
      </c>
    </row>
    <row r="24" spans="1:60" x14ac:dyDescent="0.75">
      <c r="B24" s="42" t="s">
        <v>1592</v>
      </c>
      <c r="C24" s="42"/>
      <c r="D24" s="245">
        <f ca="1">IFERROR(D20*Caretakers_per_bed,"")</f>
        <v>0</v>
      </c>
      <c r="E24" s="245">
        <f t="shared" ref="E24:AI24" ca="1" si="6">IFERROR(E20*Caretakers_per_bed,"")</f>
        <v>0</v>
      </c>
      <c r="F24" s="245">
        <f t="shared" ca="1" si="6"/>
        <v>0</v>
      </c>
      <c r="G24" s="245">
        <f t="shared" ca="1" si="6"/>
        <v>0</v>
      </c>
      <c r="H24" s="245">
        <f t="shared" ca="1" si="6"/>
        <v>0</v>
      </c>
      <c r="I24" s="245">
        <f t="shared" ca="1" si="6"/>
        <v>0</v>
      </c>
      <c r="J24" s="245">
        <f t="shared" ca="1" si="6"/>
        <v>0</v>
      </c>
      <c r="K24" s="245">
        <f t="shared" ca="1" si="6"/>
        <v>0</v>
      </c>
      <c r="L24" s="245">
        <f t="shared" ca="1" si="6"/>
        <v>0</v>
      </c>
      <c r="M24" s="245">
        <f t="shared" ca="1" si="6"/>
        <v>0</v>
      </c>
      <c r="N24" s="245">
        <f t="shared" ca="1" si="6"/>
        <v>0</v>
      </c>
      <c r="O24" s="245">
        <f t="shared" ca="1" si="6"/>
        <v>0</v>
      </c>
      <c r="P24" s="245">
        <f t="shared" ca="1" si="6"/>
        <v>0</v>
      </c>
      <c r="Q24" s="245">
        <f t="shared" si="6"/>
        <v>0</v>
      </c>
      <c r="R24" s="245">
        <f t="shared" si="6"/>
        <v>0</v>
      </c>
      <c r="S24" s="245">
        <f t="shared" si="6"/>
        <v>0</v>
      </c>
      <c r="T24" s="245">
        <f t="shared" si="6"/>
        <v>0</v>
      </c>
      <c r="U24" s="245">
        <f t="shared" si="6"/>
        <v>0</v>
      </c>
      <c r="V24" s="245">
        <f t="shared" si="6"/>
        <v>0</v>
      </c>
      <c r="W24" s="245">
        <f t="shared" si="6"/>
        <v>0</v>
      </c>
      <c r="X24" s="245">
        <f t="shared" si="6"/>
        <v>0</v>
      </c>
      <c r="Y24" s="245">
        <f t="shared" si="6"/>
        <v>0</v>
      </c>
      <c r="Z24" s="245">
        <f t="shared" si="6"/>
        <v>0</v>
      </c>
      <c r="AA24" s="245">
        <f t="shared" si="6"/>
        <v>0</v>
      </c>
      <c r="AB24" s="245">
        <f t="shared" si="6"/>
        <v>0</v>
      </c>
      <c r="AC24" s="245">
        <f t="shared" si="6"/>
        <v>0</v>
      </c>
      <c r="AD24" s="245">
        <f t="shared" si="6"/>
        <v>0</v>
      </c>
      <c r="AE24" s="245">
        <f t="shared" si="6"/>
        <v>0</v>
      </c>
      <c r="AF24" s="245">
        <f t="shared" si="6"/>
        <v>0</v>
      </c>
      <c r="AG24" s="245">
        <f t="shared" si="6"/>
        <v>0</v>
      </c>
      <c r="AH24" s="245">
        <f t="shared" si="6"/>
        <v>0</v>
      </c>
      <c r="AI24" s="245">
        <f t="shared" si="6"/>
        <v>0</v>
      </c>
      <c r="AJ24" s="245">
        <f t="shared" ref="AJ24:BD24" si="7">IFERROR(AJ20*Caretakers_per_bed,"")</f>
        <v>0</v>
      </c>
      <c r="AK24" s="245">
        <f t="shared" si="7"/>
        <v>0</v>
      </c>
      <c r="AL24" s="245">
        <f t="shared" si="7"/>
        <v>0</v>
      </c>
      <c r="AM24" s="245">
        <f t="shared" si="7"/>
        <v>0</v>
      </c>
      <c r="AN24" s="245">
        <f t="shared" si="7"/>
        <v>0</v>
      </c>
      <c r="AO24" s="245">
        <f t="shared" si="7"/>
        <v>0</v>
      </c>
      <c r="AP24" s="245">
        <f t="shared" si="7"/>
        <v>0</v>
      </c>
      <c r="AQ24" s="245">
        <f t="shared" si="7"/>
        <v>0</v>
      </c>
      <c r="AR24" s="245">
        <f t="shared" si="7"/>
        <v>0</v>
      </c>
      <c r="AS24" s="245">
        <f t="shared" si="7"/>
        <v>0</v>
      </c>
      <c r="AT24" s="245">
        <f t="shared" si="7"/>
        <v>0</v>
      </c>
      <c r="AU24" s="245">
        <f t="shared" si="7"/>
        <v>0</v>
      </c>
      <c r="AV24" s="245">
        <f t="shared" si="7"/>
        <v>0</v>
      </c>
      <c r="AW24" s="245">
        <f t="shared" si="7"/>
        <v>0</v>
      </c>
      <c r="AX24" s="245">
        <f t="shared" si="7"/>
        <v>0</v>
      </c>
      <c r="AY24" s="245">
        <f t="shared" si="7"/>
        <v>0</v>
      </c>
      <c r="AZ24" s="245">
        <f t="shared" si="7"/>
        <v>0</v>
      </c>
      <c r="BA24" s="245">
        <f t="shared" si="7"/>
        <v>0</v>
      </c>
      <c r="BB24" s="245">
        <f t="shared" si="7"/>
        <v>0</v>
      </c>
      <c r="BC24" s="245">
        <f t="shared" si="7"/>
        <v>0</v>
      </c>
      <c r="BD24" s="245">
        <f t="shared" si="7"/>
        <v>0</v>
      </c>
      <c r="BF24" s="367">
        <f ca="1">SUMIFS($D24:$BD24,$D$15:$BD$15,"&lt;="&amp;WeekSuppliedUntil,$D$15:$BD$15,"&gt;="&amp;Start_week_for_forecasting)</f>
        <v>0</v>
      </c>
      <c r="BG24" s="5"/>
      <c r="BH24" s="367">
        <f t="array" aca="1" ref="BH24" ca="1">MAX(IF(D$15:BD$15&gt;=Start_week_for_forecasting,IF(D$15:BD$15&lt;=WeekSuppliedUntil,D24:BD24)))</f>
        <v>0</v>
      </c>
    </row>
    <row r="25" spans="1:60" x14ac:dyDescent="0.75">
      <c r="B25" s="42" t="s">
        <v>846</v>
      </c>
      <c r="C25" s="42"/>
      <c r="D25" s="245">
        <f t="shared" ref="D25:AI25" ca="1" si="8">IFERROR(D20*Ambulanciers_per_bed,"")</f>
        <v>1.2E-2</v>
      </c>
      <c r="E25" s="245">
        <f t="shared" ca="1" si="8"/>
        <v>3.8764648708759203E-2</v>
      </c>
      <c r="F25" s="245">
        <f t="shared" ca="1" si="8"/>
        <v>0.13184666057729949</v>
      </c>
      <c r="G25" s="245">
        <f t="shared" ca="1" si="8"/>
        <v>0.45308794226780602</v>
      </c>
      <c r="H25" s="245">
        <f t="shared" ca="1" si="8"/>
        <v>1.5569759862458159</v>
      </c>
      <c r="I25" s="245">
        <f t="shared" ca="1" si="8"/>
        <v>5.3497483263270427</v>
      </c>
      <c r="J25" s="245">
        <f t="shared" ca="1" si="8"/>
        <v>18.37468808992692</v>
      </c>
      <c r="K25" s="245">
        <f t="shared" ca="1" si="8"/>
        <v>63.029048302185124</v>
      </c>
      <c r="L25" s="245">
        <f t="shared" ca="1" si="8"/>
        <v>202.91972731050379</v>
      </c>
      <c r="M25" s="245">
        <f t="shared" ca="1" si="8"/>
        <v>557.87519325505366</v>
      </c>
      <c r="N25" s="245">
        <f t="shared" ca="1" si="8"/>
        <v>1323.6479999999999</v>
      </c>
      <c r="O25" s="245">
        <f t="shared" ca="1" si="8"/>
        <v>1323.6479999999999</v>
      </c>
      <c r="P25" s="245">
        <f t="shared" ca="1" si="8"/>
        <v>1323.6479999999999</v>
      </c>
      <c r="Q25" s="245">
        <f t="shared" si="8"/>
        <v>0</v>
      </c>
      <c r="R25" s="245">
        <f t="shared" si="8"/>
        <v>0</v>
      </c>
      <c r="S25" s="245">
        <f t="shared" si="8"/>
        <v>0</v>
      </c>
      <c r="T25" s="245">
        <f t="shared" si="8"/>
        <v>0</v>
      </c>
      <c r="U25" s="245">
        <f t="shared" si="8"/>
        <v>0</v>
      </c>
      <c r="V25" s="245">
        <f t="shared" si="8"/>
        <v>0</v>
      </c>
      <c r="W25" s="245">
        <f t="shared" si="8"/>
        <v>0</v>
      </c>
      <c r="X25" s="245">
        <f t="shared" si="8"/>
        <v>0</v>
      </c>
      <c r="Y25" s="245">
        <f t="shared" si="8"/>
        <v>0</v>
      </c>
      <c r="Z25" s="245">
        <f t="shared" si="8"/>
        <v>0</v>
      </c>
      <c r="AA25" s="245">
        <f t="shared" si="8"/>
        <v>0</v>
      </c>
      <c r="AB25" s="245">
        <f t="shared" si="8"/>
        <v>0</v>
      </c>
      <c r="AC25" s="245">
        <f t="shared" si="8"/>
        <v>0</v>
      </c>
      <c r="AD25" s="245">
        <f t="shared" si="8"/>
        <v>0</v>
      </c>
      <c r="AE25" s="245">
        <f t="shared" si="8"/>
        <v>0</v>
      </c>
      <c r="AF25" s="245">
        <f t="shared" si="8"/>
        <v>0</v>
      </c>
      <c r="AG25" s="245">
        <f t="shared" si="8"/>
        <v>0</v>
      </c>
      <c r="AH25" s="245">
        <f t="shared" si="8"/>
        <v>0</v>
      </c>
      <c r="AI25" s="245">
        <f t="shared" si="8"/>
        <v>0</v>
      </c>
      <c r="AJ25" s="245">
        <f t="shared" ref="AJ25:BD25" si="9">IFERROR(AJ20*Ambulanciers_per_bed,"")</f>
        <v>0</v>
      </c>
      <c r="AK25" s="245">
        <f t="shared" si="9"/>
        <v>0</v>
      </c>
      <c r="AL25" s="245">
        <f t="shared" si="9"/>
        <v>0</v>
      </c>
      <c r="AM25" s="245">
        <f t="shared" si="9"/>
        <v>0</v>
      </c>
      <c r="AN25" s="245">
        <f t="shared" si="9"/>
        <v>0</v>
      </c>
      <c r="AO25" s="245">
        <f t="shared" si="9"/>
        <v>0</v>
      </c>
      <c r="AP25" s="245">
        <f t="shared" si="9"/>
        <v>0</v>
      </c>
      <c r="AQ25" s="245">
        <f t="shared" si="9"/>
        <v>0</v>
      </c>
      <c r="AR25" s="245">
        <f t="shared" si="9"/>
        <v>0</v>
      </c>
      <c r="AS25" s="245">
        <f t="shared" si="9"/>
        <v>0</v>
      </c>
      <c r="AT25" s="245">
        <f t="shared" si="9"/>
        <v>0</v>
      </c>
      <c r="AU25" s="245">
        <f t="shared" si="9"/>
        <v>0</v>
      </c>
      <c r="AV25" s="245">
        <f t="shared" si="9"/>
        <v>0</v>
      </c>
      <c r="AW25" s="245">
        <f t="shared" si="9"/>
        <v>0</v>
      </c>
      <c r="AX25" s="245">
        <f t="shared" si="9"/>
        <v>0</v>
      </c>
      <c r="AY25" s="245">
        <f t="shared" si="9"/>
        <v>0</v>
      </c>
      <c r="AZ25" s="245">
        <f t="shared" si="9"/>
        <v>0</v>
      </c>
      <c r="BA25" s="245">
        <f t="shared" si="9"/>
        <v>0</v>
      </c>
      <c r="BB25" s="245">
        <f t="shared" si="9"/>
        <v>0</v>
      </c>
      <c r="BC25" s="245">
        <f t="shared" si="9"/>
        <v>0</v>
      </c>
      <c r="BD25" s="245">
        <f t="shared" si="9"/>
        <v>0</v>
      </c>
      <c r="BF25" s="367">
        <f ca="1">SUMIFS($D25:$BD25,$D$15:$BD$15,"&lt;="&amp;WeekSuppliedUntil,$D$15:$BD$15,"&gt;="&amp;Start_week_for_forecasting)</f>
        <v>4820.6730805217967</v>
      </c>
      <c r="BG25" s="5"/>
      <c r="BH25" s="367">
        <f t="array" aca="1" ref="BH25" ca="1">MAX(IF(D$15:BD$15&gt;=Start_week_for_forecasting,IF(D$15:BD$15&lt;=WeekSuppliedUntil,D25:BD25)))</f>
        <v>1323.6479999999999</v>
      </c>
    </row>
    <row r="26" spans="1:60" s="804" customFormat="1" x14ac:dyDescent="0.75">
      <c r="B26" s="42" t="s">
        <v>1617</v>
      </c>
      <c r="C26" s="42"/>
      <c r="D26" s="245">
        <f t="shared" ref="D26:AI26" ca="1" si="10">IFERROR(D20*BiomedEngineers_per_bed,"")</f>
        <v>4.0000000000000001E-3</v>
      </c>
      <c r="E26" s="245">
        <f t="shared" ca="1" si="10"/>
        <v>1.2921549569586402E-2</v>
      </c>
      <c r="F26" s="245">
        <f t="shared" ca="1" si="10"/>
        <v>4.3948886859099832E-2</v>
      </c>
      <c r="G26" s="245">
        <f t="shared" ca="1" si="10"/>
        <v>0.15102931408926867</v>
      </c>
      <c r="H26" s="245">
        <f t="shared" ca="1" si="10"/>
        <v>0.51899199541527197</v>
      </c>
      <c r="I26" s="245">
        <f t="shared" ca="1" si="10"/>
        <v>1.7832494421090144</v>
      </c>
      <c r="J26" s="245">
        <f t="shared" ca="1" si="10"/>
        <v>6.1248960299756403</v>
      </c>
      <c r="K26" s="245">
        <f t="shared" ca="1" si="10"/>
        <v>21.009682767395045</v>
      </c>
      <c r="L26" s="245">
        <f t="shared" ca="1" si="10"/>
        <v>67.639909103501267</v>
      </c>
      <c r="M26" s="245">
        <f t="shared" ca="1" si="10"/>
        <v>185.95839775168457</v>
      </c>
      <c r="N26" s="245">
        <f t="shared" ca="1" si="10"/>
        <v>441.21600000000001</v>
      </c>
      <c r="O26" s="245">
        <f t="shared" ca="1" si="10"/>
        <v>441.21600000000001</v>
      </c>
      <c r="P26" s="245">
        <f t="shared" ca="1" si="10"/>
        <v>441.21600000000001</v>
      </c>
      <c r="Q26" s="245">
        <f t="shared" si="10"/>
        <v>0</v>
      </c>
      <c r="R26" s="245">
        <f t="shared" si="10"/>
        <v>0</v>
      </c>
      <c r="S26" s="245">
        <f t="shared" si="10"/>
        <v>0</v>
      </c>
      <c r="T26" s="245">
        <f t="shared" si="10"/>
        <v>0</v>
      </c>
      <c r="U26" s="245">
        <f t="shared" si="10"/>
        <v>0</v>
      </c>
      <c r="V26" s="245">
        <f t="shared" si="10"/>
        <v>0</v>
      </c>
      <c r="W26" s="245">
        <f t="shared" si="10"/>
        <v>0</v>
      </c>
      <c r="X26" s="245">
        <f t="shared" si="10"/>
        <v>0</v>
      </c>
      <c r="Y26" s="245">
        <f t="shared" si="10"/>
        <v>0</v>
      </c>
      <c r="Z26" s="245">
        <f t="shared" si="10"/>
        <v>0</v>
      </c>
      <c r="AA26" s="245">
        <f t="shared" si="10"/>
        <v>0</v>
      </c>
      <c r="AB26" s="245">
        <f t="shared" si="10"/>
        <v>0</v>
      </c>
      <c r="AC26" s="245">
        <f t="shared" si="10"/>
        <v>0</v>
      </c>
      <c r="AD26" s="245">
        <f t="shared" si="10"/>
        <v>0</v>
      </c>
      <c r="AE26" s="245">
        <f t="shared" si="10"/>
        <v>0</v>
      </c>
      <c r="AF26" s="245">
        <f t="shared" si="10"/>
        <v>0</v>
      </c>
      <c r="AG26" s="245">
        <f t="shared" si="10"/>
        <v>0</v>
      </c>
      <c r="AH26" s="245">
        <f t="shared" si="10"/>
        <v>0</v>
      </c>
      <c r="AI26" s="245">
        <f t="shared" si="10"/>
        <v>0</v>
      </c>
      <c r="AJ26" s="245">
        <f t="shared" ref="AJ26:BD26" si="11">IFERROR(AJ20*BiomedEngineers_per_bed,"")</f>
        <v>0</v>
      </c>
      <c r="AK26" s="245">
        <f t="shared" si="11"/>
        <v>0</v>
      </c>
      <c r="AL26" s="245">
        <f t="shared" si="11"/>
        <v>0</v>
      </c>
      <c r="AM26" s="245">
        <f t="shared" si="11"/>
        <v>0</v>
      </c>
      <c r="AN26" s="245">
        <f t="shared" si="11"/>
        <v>0</v>
      </c>
      <c r="AO26" s="245">
        <f t="shared" si="11"/>
        <v>0</v>
      </c>
      <c r="AP26" s="245">
        <f t="shared" si="11"/>
        <v>0</v>
      </c>
      <c r="AQ26" s="245">
        <f t="shared" si="11"/>
        <v>0</v>
      </c>
      <c r="AR26" s="245">
        <f t="shared" si="11"/>
        <v>0</v>
      </c>
      <c r="AS26" s="245">
        <f t="shared" si="11"/>
        <v>0</v>
      </c>
      <c r="AT26" s="245">
        <f t="shared" si="11"/>
        <v>0</v>
      </c>
      <c r="AU26" s="245">
        <f t="shared" si="11"/>
        <v>0</v>
      </c>
      <c r="AV26" s="245">
        <f t="shared" si="11"/>
        <v>0</v>
      </c>
      <c r="AW26" s="245">
        <f t="shared" si="11"/>
        <v>0</v>
      </c>
      <c r="AX26" s="245">
        <f t="shared" si="11"/>
        <v>0</v>
      </c>
      <c r="AY26" s="245">
        <f t="shared" si="11"/>
        <v>0</v>
      </c>
      <c r="AZ26" s="245">
        <f t="shared" si="11"/>
        <v>0</v>
      </c>
      <c r="BA26" s="245">
        <f t="shared" si="11"/>
        <v>0</v>
      </c>
      <c r="BB26" s="245">
        <f t="shared" si="11"/>
        <v>0</v>
      </c>
      <c r="BC26" s="245">
        <f t="shared" si="11"/>
        <v>0</v>
      </c>
      <c r="BD26" s="245">
        <f t="shared" si="11"/>
        <v>0</v>
      </c>
      <c r="BF26" s="367">
        <f ca="1">SUMIFS($D26:$BD26,$D$15:$BD$15,"&lt;="&amp;WeekSuppliedUntil,$D$15:$BD$15,"&gt;="&amp;Start_week_for_forecasting)</f>
        <v>1606.8910268405989</v>
      </c>
      <c r="BG26" s="5"/>
      <c r="BH26" s="367">
        <f t="array" aca="1" ref="BH26" ca="1">MAX(IF(D$15:BD$15&gt;=Start_week_for_forecasting,IF(D$15:BD$15&lt;=WeekSuppliedUntil,D26:BD26)))</f>
        <v>441.21600000000001</v>
      </c>
    </row>
    <row r="27" spans="1:60" s="6" customFormat="1" x14ac:dyDescent="0.75">
      <c r="B27" s="42"/>
      <c r="C27" s="42"/>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F27" s="718"/>
      <c r="BG27" s="3"/>
      <c r="BH27" s="718"/>
    </row>
    <row r="28" spans="1:60" s="6" customFormat="1" x14ac:dyDescent="0.75">
      <c r="B28" s="256" t="s">
        <v>787</v>
      </c>
      <c r="C28" s="256"/>
      <c r="D28" s="248">
        <f t="shared" ref="D28:AI28" ca="1" si="12">IFERROR(D20*HCWs_per_bed,"")</f>
        <v>0.32059314622029761</v>
      </c>
      <c r="E28" s="248">
        <f t="shared" ca="1" si="12"/>
        <v>1.0356400576388092</v>
      </c>
      <c r="F28" s="248">
        <f t="shared" ca="1" si="12"/>
        <v>3.5224279777596768</v>
      </c>
      <c r="G28" s="248">
        <f t="shared" ca="1" si="12"/>
        <v>12.104740743843042</v>
      </c>
      <c r="H28" s="248">
        <f t="shared" ca="1" si="12"/>
        <v>41.596319168333075</v>
      </c>
      <c r="I28" s="248">
        <f t="shared" ca="1" si="12"/>
        <v>142.92438728532983</v>
      </c>
      <c r="J28" s="248">
        <f t="shared" ca="1" si="12"/>
        <v>490.89992213052517</v>
      </c>
      <c r="K28" s="248">
        <f t="shared" ca="1" si="12"/>
        <v>1683.8900748723863</v>
      </c>
      <c r="L28" s="248">
        <f t="shared" ca="1" si="12"/>
        <v>5421.2228173866051</v>
      </c>
      <c r="M28" s="248">
        <f t="shared" ca="1" si="12"/>
        <v>14904.246950324517</v>
      </c>
      <c r="N28" s="248">
        <f t="shared" ca="1" si="12"/>
        <v>35362.706400683703</v>
      </c>
      <c r="O28" s="248">
        <f t="shared" ca="1" si="12"/>
        <v>35362.706400683703</v>
      </c>
      <c r="P28" s="248">
        <f t="shared" ca="1" si="12"/>
        <v>35362.706400683703</v>
      </c>
      <c r="Q28" s="248">
        <f t="shared" ca="1" si="12"/>
        <v>0</v>
      </c>
      <c r="R28" s="248">
        <f t="shared" ca="1" si="12"/>
        <v>0</v>
      </c>
      <c r="S28" s="248">
        <f t="shared" ca="1" si="12"/>
        <v>0</v>
      </c>
      <c r="T28" s="248">
        <f t="shared" ca="1" si="12"/>
        <v>0</v>
      </c>
      <c r="U28" s="248">
        <f t="shared" ca="1" si="12"/>
        <v>0</v>
      </c>
      <c r="V28" s="248">
        <f t="shared" ca="1" si="12"/>
        <v>0</v>
      </c>
      <c r="W28" s="248">
        <f t="shared" ca="1" si="12"/>
        <v>0</v>
      </c>
      <c r="X28" s="248">
        <f t="shared" ca="1" si="12"/>
        <v>0</v>
      </c>
      <c r="Y28" s="248">
        <f t="shared" ca="1" si="12"/>
        <v>0</v>
      </c>
      <c r="Z28" s="248">
        <f t="shared" ca="1" si="12"/>
        <v>0</v>
      </c>
      <c r="AA28" s="248">
        <f t="shared" ca="1" si="12"/>
        <v>0</v>
      </c>
      <c r="AB28" s="248">
        <f t="shared" ca="1" si="12"/>
        <v>0</v>
      </c>
      <c r="AC28" s="248">
        <f t="shared" ca="1" si="12"/>
        <v>0</v>
      </c>
      <c r="AD28" s="248">
        <f t="shared" ca="1" si="12"/>
        <v>0</v>
      </c>
      <c r="AE28" s="248">
        <f t="shared" ca="1" si="12"/>
        <v>0</v>
      </c>
      <c r="AF28" s="248">
        <f t="shared" ca="1" si="12"/>
        <v>0</v>
      </c>
      <c r="AG28" s="248">
        <f t="shared" ca="1" si="12"/>
        <v>0</v>
      </c>
      <c r="AH28" s="248">
        <f t="shared" ca="1" si="12"/>
        <v>0</v>
      </c>
      <c r="AI28" s="248">
        <f t="shared" ca="1" si="12"/>
        <v>0</v>
      </c>
      <c r="AJ28" s="248">
        <f t="shared" ref="AJ28:BD28" ca="1" si="13">IFERROR(AJ20*HCWs_per_bed,"")</f>
        <v>0</v>
      </c>
      <c r="AK28" s="248">
        <f t="shared" ca="1" si="13"/>
        <v>0</v>
      </c>
      <c r="AL28" s="248">
        <f t="shared" ca="1" si="13"/>
        <v>0</v>
      </c>
      <c r="AM28" s="248">
        <f t="shared" ca="1" si="13"/>
        <v>0</v>
      </c>
      <c r="AN28" s="248">
        <f t="shared" ca="1" si="13"/>
        <v>0</v>
      </c>
      <c r="AO28" s="248">
        <f t="shared" ca="1" si="13"/>
        <v>0</v>
      </c>
      <c r="AP28" s="248">
        <f t="shared" ca="1" si="13"/>
        <v>0</v>
      </c>
      <c r="AQ28" s="248">
        <f t="shared" ca="1" si="13"/>
        <v>0</v>
      </c>
      <c r="AR28" s="248">
        <f t="shared" ca="1" si="13"/>
        <v>0</v>
      </c>
      <c r="AS28" s="248">
        <f t="shared" ca="1" si="13"/>
        <v>0</v>
      </c>
      <c r="AT28" s="248">
        <f t="shared" ca="1" si="13"/>
        <v>0</v>
      </c>
      <c r="AU28" s="248">
        <f t="shared" ca="1" si="13"/>
        <v>0</v>
      </c>
      <c r="AV28" s="248">
        <f t="shared" ca="1" si="13"/>
        <v>0</v>
      </c>
      <c r="AW28" s="248">
        <f t="shared" ca="1" si="13"/>
        <v>0</v>
      </c>
      <c r="AX28" s="248">
        <f t="shared" ca="1" si="13"/>
        <v>0</v>
      </c>
      <c r="AY28" s="248">
        <f t="shared" ca="1" si="13"/>
        <v>0</v>
      </c>
      <c r="AZ28" s="248">
        <f t="shared" ca="1" si="13"/>
        <v>0</v>
      </c>
      <c r="BA28" s="248">
        <f t="shared" ca="1" si="13"/>
        <v>0</v>
      </c>
      <c r="BB28" s="248">
        <f t="shared" ca="1" si="13"/>
        <v>0</v>
      </c>
      <c r="BC28" s="248">
        <f t="shared" ca="1" si="13"/>
        <v>0</v>
      </c>
      <c r="BD28" s="248">
        <f t="shared" ca="1" si="13"/>
        <v>0</v>
      </c>
      <c r="BF28" s="248">
        <f ca="1">SUMIFS(D28:BD28,$D$15:$BD$15,"&gt;="&amp;Start_week_for_forecasting,$D$15:$BD$15,"&lt;="&amp;WeekSuppliedUntil)</f>
        <v>128789.56248199804</v>
      </c>
      <c r="BG28" s="32"/>
      <c r="BH28" s="248">
        <f t="array" aca="1" ref="BH28" ca="1">MAX(IF(D$15:BD$15&gt;=Start_week_for_forecasting,IF(D$15:BD$15&lt;=WeekSuppliedUntil,D28:BD28)))</f>
        <v>35362.706400683703</v>
      </c>
    </row>
    <row r="29" spans="1:60" x14ac:dyDescent="0.75">
      <c r="E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H29"/>
    </row>
    <row r="30" spans="1:60" s="26" customFormat="1" hidden="1" x14ac:dyDescent="0.75">
      <c r="A30" s="432" t="s">
        <v>1402</v>
      </c>
      <c r="B30" s="180" t="s">
        <v>999</v>
      </c>
      <c r="C30" s="180"/>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F30" s="259"/>
      <c r="BH30" s="258"/>
    </row>
    <row r="31" spans="1:60" s="6" customFormat="1" hidden="1" x14ac:dyDescent="0.75">
      <c r="A31" s="432" t="s">
        <v>1402</v>
      </c>
      <c r="B31" s="32" t="s">
        <v>1400</v>
      </c>
      <c r="C31" s="32"/>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F31" s="37"/>
      <c r="BH31" s="76"/>
    </row>
    <row r="32" spans="1:60" s="132" customFormat="1" hidden="1" x14ac:dyDescent="0.75">
      <c r="A32" s="432" t="s">
        <v>1402</v>
      </c>
      <c r="B32" s="42" t="s">
        <v>270</v>
      </c>
      <c r="C32" s="42"/>
      <c r="D32" s="245">
        <f>IFERROR(D38*Inputs!$I$86,"")</f>
        <v>0</v>
      </c>
      <c r="E32" s="245">
        <f>IFERROR(E38*Inputs!$I$86,"")</f>
        <v>0</v>
      </c>
      <c r="F32" s="245">
        <f>IFERROR(F38*Inputs!$I$86,"")</f>
        <v>0</v>
      </c>
      <c r="G32" s="245">
        <f>IFERROR(G38*Inputs!$I$86,"")</f>
        <v>0</v>
      </c>
      <c r="H32" s="245">
        <f>IFERROR(H38*Inputs!$I$86,"")</f>
        <v>0</v>
      </c>
      <c r="I32" s="245">
        <f>IFERROR(I38*Inputs!$I$86,"")</f>
        <v>0</v>
      </c>
      <c r="J32" s="245">
        <f>IFERROR(J38*Inputs!$I$86,"")</f>
        <v>0</v>
      </c>
      <c r="K32" s="245">
        <f>IFERROR(K38*Inputs!$I$86,"")</f>
        <v>0</v>
      </c>
      <c r="L32" s="245">
        <f>IFERROR(L38*Inputs!$I$86,"")</f>
        <v>0</v>
      </c>
      <c r="M32" s="245">
        <f>IFERROR(M38*Inputs!$I$86,"")</f>
        <v>0</v>
      </c>
      <c r="N32" s="245">
        <f>IFERROR(N38*Inputs!$I$86,"")</f>
        <v>0</v>
      </c>
      <c r="O32" s="245">
        <f>IFERROR(O38*Inputs!$I$86,"")</f>
        <v>0</v>
      </c>
      <c r="P32" s="245">
        <f>IFERROR(P38*Inputs!$I$86,"")</f>
        <v>0</v>
      </c>
      <c r="Q32" s="245">
        <f>IFERROR(Q38*Inputs!$I$86,"")</f>
        <v>0</v>
      </c>
      <c r="R32" s="245">
        <f>IFERROR(R38*Inputs!$I$86,"")</f>
        <v>0</v>
      </c>
      <c r="S32" s="245">
        <f>IFERROR(S38*Inputs!$I$86,"")</f>
        <v>0</v>
      </c>
      <c r="T32" s="245">
        <f>IFERROR(T38*Inputs!$I$86,"")</f>
        <v>0</v>
      </c>
      <c r="U32" s="245">
        <f>IFERROR(U38*Inputs!$I$86,"")</f>
        <v>0</v>
      </c>
      <c r="V32" s="245">
        <f>IFERROR(V38*Inputs!$I$86,"")</f>
        <v>0</v>
      </c>
      <c r="W32" s="245">
        <f>IFERROR(W38*Inputs!$I$86,"")</f>
        <v>0</v>
      </c>
      <c r="X32" s="245">
        <f>IFERROR(X38*Inputs!$I$86,"")</f>
        <v>0</v>
      </c>
      <c r="Y32" s="245">
        <f>IFERROR(Y38*Inputs!$I$86,"")</f>
        <v>0</v>
      </c>
      <c r="Z32" s="245">
        <f>IFERROR(Z38*Inputs!$I$86,"")</f>
        <v>0</v>
      </c>
      <c r="AA32" s="245">
        <f>IFERROR(AA38*Inputs!$I$86,"")</f>
        <v>0</v>
      </c>
      <c r="AB32" s="245">
        <f>IFERROR(AB38*Inputs!$I$86,"")</f>
        <v>0</v>
      </c>
      <c r="AC32" s="245">
        <f>IFERROR(AC38*Inputs!$I$86,"")</f>
        <v>0</v>
      </c>
      <c r="AD32" s="245">
        <f>IFERROR(AD38*Inputs!$I$86,"")</f>
        <v>0</v>
      </c>
      <c r="AE32" s="245">
        <f>IFERROR(AE38*Inputs!$I$86,"")</f>
        <v>0</v>
      </c>
      <c r="AF32" s="245">
        <f>IFERROR(AF38*Inputs!$I$86,"")</f>
        <v>0</v>
      </c>
      <c r="AG32" s="245">
        <f>IFERROR(AG38*Inputs!$I$86,"")</f>
        <v>0</v>
      </c>
      <c r="AH32" s="245">
        <f>IFERROR(AH38*Inputs!$I$86,"")</f>
        <v>0</v>
      </c>
      <c r="AI32" s="245">
        <f>IFERROR(AI38*Inputs!$I$86,"")</f>
        <v>0</v>
      </c>
      <c r="AJ32" s="245">
        <f>IFERROR(AJ38*Inputs!$I$86,"")</f>
        <v>0</v>
      </c>
      <c r="AK32" s="245">
        <f>IFERROR(AK38*Inputs!$I$86,"")</f>
        <v>0</v>
      </c>
      <c r="AL32" s="245">
        <f>IFERROR(AL38*Inputs!$I$86,"")</f>
        <v>0</v>
      </c>
      <c r="AM32" s="245">
        <f>IFERROR(AM38*Inputs!$I$86,"")</f>
        <v>0</v>
      </c>
      <c r="AN32" s="245">
        <f>IFERROR(AN38*Inputs!$I$86,"")</f>
        <v>0</v>
      </c>
      <c r="AO32" s="245">
        <f>IFERROR(AO38*Inputs!$I$86,"")</f>
        <v>0</v>
      </c>
      <c r="AP32" s="245">
        <f>IFERROR(AP38*Inputs!$I$86,"")</f>
        <v>0</v>
      </c>
      <c r="AQ32" s="245">
        <f>IFERROR(AQ38*Inputs!$I$86,"")</f>
        <v>0</v>
      </c>
      <c r="AR32" s="245">
        <f>IFERROR(AR38*Inputs!$I$86,"")</f>
        <v>0</v>
      </c>
      <c r="AS32" s="245">
        <f>IFERROR(AS38*Inputs!$I$86,"")</f>
        <v>0</v>
      </c>
      <c r="AT32" s="245">
        <f>IFERROR(AT38*Inputs!$I$86,"")</f>
        <v>0</v>
      </c>
      <c r="AU32" s="245">
        <f>IFERROR(AU38*Inputs!$I$86,"")</f>
        <v>0</v>
      </c>
      <c r="AV32" s="245">
        <f>IFERROR(AV38*Inputs!$I$86,"")</f>
        <v>0</v>
      </c>
      <c r="AW32" s="245">
        <f>IFERROR(AW38*Inputs!$I$86,"")</f>
        <v>0</v>
      </c>
      <c r="AX32" s="245">
        <f>IFERROR(AX38*Inputs!$I$86,"")</f>
        <v>0</v>
      </c>
      <c r="AY32" s="245">
        <f>IFERROR(AY38*Inputs!$I$86,"")</f>
        <v>0</v>
      </c>
      <c r="AZ32" s="245">
        <f>IFERROR(AZ38*Inputs!$I$86,"")</f>
        <v>0</v>
      </c>
      <c r="BA32" s="245">
        <f>IFERROR(BA38*Inputs!$I$86,"")</f>
        <v>0</v>
      </c>
      <c r="BB32" s="245">
        <f>IFERROR(BB38*Inputs!$I$86,"")</f>
        <v>0</v>
      </c>
      <c r="BC32" s="245">
        <f>IFERROR(BC38*Inputs!$I$86,"")</f>
        <v>0</v>
      </c>
      <c r="BD32" s="245">
        <f>IFERROR(BD38*Inputs!$I$86,"")</f>
        <v>0</v>
      </c>
      <c r="BF32" s="245">
        <f>SUMIFS($D32:$BD32,$D$15:$BD$15,"&lt;="&amp;WeekSuppliedUntil,$D$15:$BD$15,"&gt;="&amp;Start_week_for_forecasting)</f>
        <v>0</v>
      </c>
      <c r="BH32" s="367">
        <f t="array" ref="BH32">MAX(IF(D$15:BD$15&gt;=Start_week_for_forecasting,IF(D$15:BD$15&lt;=WeekSuppliedUntil,D32:BD32)))</f>
        <v>0</v>
      </c>
    </row>
    <row r="33" spans="1:60" s="132" customFormat="1" hidden="1" x14ac:dyDescent="0.75">
      <c r="A33" s="432" t="s">
        <v>1402</v>
      </c>
      <c r="B33" s="42" t="s">
        <v>844</v>
      </c>
      <c r="C33" s="42"/>
      <c r="D33" s="245">
        <f>IFERROR(D38*Inputs!$I$87,"")</f>
        <v>0</v>
      </c>
      <c r="E33" s="245">
        <f>IFERROR(E38*Inputs!$I$87,"")</f>
        <v>0</v>
      </c>
      <c r="F33" s="245">
        <f>IFERROR(F38*Inputs!$I$87,"")</f>
        <v>0</v>
      </c>
      <c r="G33" s="245">
        <f>IFERROR(G38*Inputs!$I$87,"")</f>
        <v>0</v>
      </c>
      <c r="H33" s="245">
        <f>IFERROR(H38*Inputs!$I$87,"")</f>
        <v>0</v>
      </c>
      <c r="I33" s="245">
        <f>IFERROR(I38*Inputs!$I$87,"")</f>
        <v>0</v>
      </c>
      <c r="J33" s="245">
        <f>IFERROR(J38*Inputs!$I$87,"")</f>
        <v>0</v>
      </c>
      <c r="K33" s="245">
        <f>IFERROR(K38*Inputs!$I$87,"")</f>
        <v>0</v>
      </c>
      <c r="L33" s="245">
        <f>IFERROR(L38*Inputs!$I$87,"")</f>
        <v>0</v>
      </c>
      <c r="M33" s="245">
        <f>IFERROR(M38*Inputs!$I$87,"")</f>
        <v>0</v>
      </c>
      <c r="N33" s="245">
        <f>IFERROR(N38*Inputs!$I$87,"")</f>
        <v>0</v>
      </c>
      <c r="O33" s="245">
        <f>IFERROR(O38*Inputs!$I$87,"")</f>
        <v>0</v>
      </c>
      <c r="P33" s="245">
        <f>IFERROR(P38*Inputs!$I$87,"")</f>
        <v>0</v>
      </c>
      <c r="Q33" s="245">
        <f>IFERROR(Q38*Inputs!$I$87,"")</f>
        <v>0</v>
      </c>
      <c r="R33" s="245">
        <f>IFERROR(R38*Inputs!$I$87,"")</f>
        <v>0</v>
      </c>
      <c r="S33" s="245">
        <f>IFERROR(S38*Inputs!$I$87,"")</f>
        <v>0</v>
      </c>
      <c r="T33" s="245">
        <f>IFERROR(T38*Inputs!$I$87,"")</f>
        <v>0</v>
      </c>
      <c r="U33" s="245">
        <f>IFERROR(U38*Inputs!$I$87,"")</f>
        <v>0</v>
      </c>
      <c r="V33" s="245">
        <f>IFERROR(V38*Inputs!$I$87,"")</f>
        <v>0</v>
      </c>
      <c r="W33" s="245">
        <f>IFERROR(W38*Inputs!$I$87,"")</f>
        <v>0</v>
      </c>
      <c r="X33" s="245">
        <f>IFERROR(X38*Inputs!$I$87,"")</f>
        <v>0</v>
      </c>
      <c r="Y33" s="245">
        <f>IFERROR(Y38*Inputs!$I$87,"")</f>
        <v>0</v>
      </c>
      <c r="Z33" s="245">
        <f>IFERROR(Z38*Inputs!$I$87,"")</f>
        <v>0</v>
      </c>
      <c r="AA33" s="245">
        <f>IFERROR(AA38*Inputs!$I$87,"")</f>
        <v>0</v>
      </c>
      <c r="AB33" s="245">
        <f>IFERROR(AB38*Inputs!$I$87,"")</f>
        <v>0</v>
      </c>
      <c r="AC33" s="245">
        <f>IFERROR(AC38*Inputs!$I$87,"")</f>
        <v>0</v>
      </c>
      <c r="AD33" s="245">
        <f>IFERROR(AD38*Inputs!$I$87,"")</f>
        <v>0</v>
      </c>
      <c r="AE33" s="245">
        <f>IFERROR(AE38*Inputs!$I$87,"")</f>
        <v>0</v>
      </c>
      <c r="AF33" s="245">
        <f>IFERROR(AF38*Inputs!$I$87,"")</f>
        <v>0</v>
      </c>
      <c r="AG33" s="245">
        <f>IFERROR(AG38*Inputs!$I$87,"")</f>
        <v>0</v>
      </c>
      <c r="AH33" s="245">
        <f>IFERROR(AH38*Inputs!$I$87,"")</f>
        <v>0</v>
      </c>
      <c r="AI33" s="245">
        <f>IFERROR(AI38*Inputs!$I$87,"")</f>
        <v>0</v>
      </c>
      <c r="AJ33" s="245">
        <f>IFERROR(AJ38*Inputs!$I$87,"")</f>
        <v>0</v>
      </c>
      <c r="AK33" s="245">
        <f>IFERROR(AK38*Inputs!$I$87,"")</f>
        <v>0</v>
      </c>
      <c r="AL33" s="245">
        <f>IFERROR(AL38*Inputs!$I$87,"")</f>
        <v>0</v>
      </c>
      <c r="AM33" s="245">
        <f>IFERROR(AM38*Inputs!$I$87,"")</f>
        <v>0</v>
      </c>
      <c r="AN33" s="245">
        <f>IFERROR(AN38*Inputs!$I$87,"")</f>
        <v>0</v>
      </c>
      <c r="AO33" s="245">
        <f>IFERROR(AO38*Inputs!$I$87,"")</f>
        <v>0</v>
      </c>
      <c r="AP33" s="245">
        <f>IFERROR(AP38*Inputs!$I$87,"")</f>
        <v>0</v>
      </c>
      <c r="AQ33" s="245">
        <f>IFERROR(AQ38*Inputs!$I$87,"")</f>
        <v>0</v>
      </c>
      <c r="AR33" s="245">
        <f>IFERROR(AR38*Inputs!$I$87,"")</f>
        <v>0</v>
      </c>
      <c r="AS33" s="245">
        <f>IFERROR(AS38*Inputs!$I$87,"")</f>
        <v>0</v>
      </c>
      <c r="AT33" s="245">
        <f>IFERROR(AT38*Inputs!$I$87,"")</f>
        <v>0</v>
      </c>
      <c r="AU33" s="245">
        <f>IFERROR(AU38*Inputs!$I$87,"")</f>
        <v>0</v>
      </c>
      <c r="AV33" s="245">
        <f>IFERROR(AV38*Inputs!$I$87,"")</f>
        <v>0</v>
      </c>
      <c r="AW33" s="245">
        <f>IFERROR(AW38*Inputs!$I$87,"")</f>
        <v>0</v>
      </c>
      <c r="AX33" s="245">
        <f>IFERROR(AX38*Inputs!$I$87,"")</f>
        <v>0</v>
      </c>
      <c r="AY33" s="245">
        <f>IFERROR(AY38*Inputs!$I$87,"")</f>
        <v>0</v>
      </c>
      <c r="AZ33" s="245">
        <f>IFERROR(AZ38*Inputs!$I$87,"")</f>
        <v>0</v>
      </c>
      <c r="BA33" s="245">
        <f>IFERROR(BA38*Inputs!$I$87,"")</f>
        <v>0</v>
      </c>
      <c r="BB33" s="245">
        <f>IFERROR(BB38*Inputs!$I$87,"")</f>
        <v>0</v>
      </c>
      <c r="BC33" s="245">
        <f>IFERROR(BC38*Inputs!$I$87,"")</f>
        <v>0</v>
      </c>
      <c r="BD33" s="245">
        <f>IFERROR(BD38*Inputs!$I$87,"")</f>
        <v>0</v>
      </c>
      <c r="BF33" s="245">
        <f>SUMIFS($D33:$BD33,$D$15:$BD$15,"&lt;="&amp;WeekSuppliedUntil,$D$15:$BD$15,"&gt;="&amp;Start_week_for_forecasting)</f>
        <v>0</v>
      </c>
      <c r="BH33" s="367">
        <f t="array" ref="BH33">MAX(IF(D$15:BD$15&gt;=Start_week_for_forecasting,IF(D$15:BD$15&lt;=WeekSuppliedUntil,D33:BD33)))</f>
        <v>0</v>
      </c>
    </row>
    <row r="34" spans="1:60" s="132" customFormat="1" hidden="1" x14ac:dyDescent="0.75">
      <c r="A34" s="432" t="s">
        <v>1402</v>
      </c>
      <c r="B34" s="42" t="s">
        <v>283</v>
      </c>
      <c r="C34" s="42"/>
      <c r="D34" s="245">
        <f>IFERROR(D38*Inputs!$I$88,"")</f>
        <v>0</v>
      </c>
      <c r="E34" s="245">
        <f>IFERROR(E38*Inputs!$I$88,"")</f>
        <v>0</v>
      </c>
      <c r="F34" s="245">
        <f>IFERROR(F38*Inputs!$I$88,"")</f>
        <v>0</v>
      </c>
      <c r="G34" s="245">
        <f>IFERROR(G38*Inputs!$I$88,"")</f>
        <v>0</v>
      </c>
      <c r="H34" s="245">
        <f>IFERROR(H38*Inputs!$I$88,"")</f>
        <v>0</v>
      </c>
      <c r="I34" s="245">
        <f>IFERROR(I38*Inputs!$I$88,"")</f>
        <v>0</v>
      </c>
      <c r="J34" s="245">
        <f>IFERROR(J38*Inputs!$I$88,"")</f>
        <v>0</v>
      </c>
      <c r="K34" s="245">
        <f>IFERROR(K38*Inputs!$I$88,"")</f>
        <v>0</v>
      </c>
      <c r="L34" s="245">
        <f>IFERROR(L38*Inputs!$I$88,"")</f>
        <v>0</v>
      </c>
      <c r="M34" s="245">
        <f>IFERROR(M38*Inputs!$I$88,"")</f>
        <v>0</v>
      </c>
      <c r="N34" s="245">
        <f>IFERROR(N38*Inputs!$I$88,"")</f>
        <v>0</v>
      </c>
      <c r="O34" s="245">
        <f>IFERROR(O38*Inputs!$I$88,"")</f>
        <v>0</v>
      </c>
      <c r="P34" s="245">
        <f>IFERROR(P38*Inputs!$I$88,"")</f>
        <v>0</v>
      </c>
      <c r="Q34" s="245">
        <f>IFERROR(Q38*Inputs!$I$88,"")</f>
        <v>0</v>
      </c>
      <c r="R34" s="245">
        <f>IFERROR(R38*Inputs!$I$88,"")</f>
        <v>0</v>
      </c>
      <c r="S34" s="245">
        <f>IFERROR(S38*Inputs!$I$88,"")</f>
        <v>0</v>
      </c>
      <c r="T34" s="245">
        <f>IFERROR(T38*Inputs!$I$88,"")</f>
        <v>0</v>
      </c>
      <c r="U34" s="245">
        <f>IFERROR(U38*Inputs!$I$88,"")</f>
        <v>0</v>
      </c>
      <c r="V34" s="245">
        <f>IFERROR(V38*Inputs!$I$88,"")</f>
        <v>0</v>
      </c>
      <c r="W34" s="245">
        <f>IFERROR(W38*Inputs!$I$88,"")</f>
        <v>0</v>
      </c>
      <c r="X34" s="245">
        <f>IFERROR(X38*Inputs!$I$88,"")</f>
        <v>0</v>
      </c>
      <c r="Y34" s="245">
        <f>IFERROR(Y38*Inputs!$I$88,"")</f>
        <v>0</v>
      </c>
      <c r="Z34" s="245">
        <f>IFERROR(Z38*Inputs!$I$88,"")</f>
        <v>0</v>
      </c>
      <c r="AA34" s="245">
        <f>IFERROR(AA38*Inputs!$I$88,"")</f>
        <v>0</v>
      </c>
      <c r="AB34" s="245">
        <f>IFERROR(AB38*Inputs!$I$88,"")</f>
        <v>0</v>
      </c>
      <c r="AC34" s="245">
        <f>IFERROR(AC38*Inputs!$I$88,"")</f>
        <v>0</v>
      </c>
      <c r="AD34" s="245">
        <f>IFERROR(AD38*Inputs!$I$88,"")</f>
        <v>0</v>
      </c>
      <c r="AE34" s="245">
        <f>IFERROR(AE38*Inputs!$I$88,"")</f>
        <v>0</v>
      </c>
      <c r="AF34" s="245">
        <f>IFERROR(AF38*Inputs!$I$88,"")</f>
        <v>0</v>
      </c>
      <c r="AG34" s="245">
        <f>IFERROR(AG38*Inputs!$I$88,"")</f>
        <v>0</v>
      </c>
      <c r="AH34" s="245">
        <f>IFERROR(AH38*Inputs!$I$88,"")</f>
        <v>0</v>
      </c>
      <c r="AI34" s="245">
        <f>IFERROR(AI38*Inputs!$I$88,"")</f>
        <v>0</v>
      </c>
      <c r="AJ34" s="245">
        <f>IFERROR(AJ38*Inputs!$I$88,"")</f>
        <v>0</v>
      </c>
      <c r="AK34" s="245">
        <f>IFERROR(AK38*Inputs!$I$88,"")</f>
        <v>0</v>
      </c>
      <c r="AL34" s="245">
        <f>IFERROR(AL38*Inputs!$I$88,"")</f>
        <v>0</v>
      </c>
      <c r="AM34" s="245">
        <f>IFERROR(AM38*Inputs!$I$88,"")</f>
        <v>0</v>
      </c>
      <c r="AN34" s="245">
        <f>IFERROR(AN38*Inputs!$I$88,"")</f>
        <v>0</v>
      </c>
      <c r="AO34" s="245">
        <f>IFERROR(AO38*Inputs!$I$88,"")</f>
        <v>0</v>
      </c>
      <c r="AP34" s="245">
        <f>IFERROR(AP38*Inputs!$I$88,"")</f>
        <v>0</v>
      </c>
      <c r="AQ34" s="245">
        <f>IFERROR(AQ38*Inputs!$I$88,"")</f>
        <v>0</v>
      </c>
      <c r="AR34" s="245">
        <f>IFERROR(AR38*Inputs!$I$88,"")</f>
        <v>0</v>
      </c>
      <c r="AS34" s="245">
        <f>IFERROR(AS38*Inputs!$I$88,"")</f>
        <v>0</v>
      </c>
      <c r="AT34" s="245">
        <f>IFERROR(AT38*Inputs!$I$88,"")</f>
        <v>0</v>
      </c>
      <c r="AU34" s="245">
        <f>IFERROR(AU38*Inputs!$I$88,"")</f>
        <v>0</v>
      </c>
      <c r="AV34" s="245">
        <f>IFERROR(AV38*Inputs!$I$88,"")</f>
        <v>0</v>
      </c>
      <c r="AW34" s="245">
        <f>IFERROR(AW38*Inputs!$I$88,"")</f>
        <v>0</v>
      </c>
      <c r="AX34" s="245">
        <f>IFERROR(AX38*Inputs!$I$88,"")</f>
        <v>0</v>
      </c>
      <c r="AY34" s="245">
        <f>IFERROR(AY38*Inputs!$I$88,"")</f>
        <v>0</v>
      </c>
      <c r="AZ34" s="245">
        <f>IFERROR(AZ38*Inputs!$I$88,"")</f>
        <v>0</v>
      </c>
      <c r="BA34" s="245">
        <f>IFERROR(BA38*Inputs!$I$88,"")</f>
        <v>0</v>
      </c>
      <c r="BB34" s="245">
        <f>IFERROR(BB38*Inputs!$I$88,"")</f>
        <v>0</v>
      </c>
      <c r="BC34" s="245">
        <f>IFERROR(BC38*Inputs!$I$88,"")</f>
        <v>0</v>
      </c>
      <c r="BD34" s="245">
        <f>IFERROR(BD38*Inputs!$I$88,"")</f>
        <v>0</v>
      </c>
      <c r="BF34" s="245">
        <f>SUMIFS($D34:$BD34,$D$15:$BD$15,"&lt;="&amp;WeekSuppliedUntil,$D$15:$BD$15,"&gt;="&amp;Start_week_for_forecasting)</f>
        <v>0</v>
      </c>
      <c r="BH34" s="367">
        <f t="array" ref="BH34">MAX(IF(D$15:BD$15&gt;=Start_week_for_forecasting,IF(D$15:BD$15&lt;=WeekSuppliedUntil,D34:BD34)))</f>
        <v>0</v>
      </c>
    </row>
    <row r="35" spans="1:60" s="132" customFormat="1" hidden="1" x14ac:dyDescent="0.75">
      <c r="A35" s="432" t="s">
        <v>1402</v>
      </c>
    </row>
    <row r="36" spans="1:60" s="26" customFormat="1" x14ac:dyDescent="0.75">
      <c r="B36" s="180" t="s">
        <v>1606</v>
      </c>
      <c r="C36" s="180"/>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F36" s="259"/>
      <c r="BH36" s="258"/>
    </row>
    <row r="37" spans="1:60" s="32" customFormat="1" x14ac:dyDescent="0.75">
      <c r="B37" s="32" t="s">
        <v>1001</v>
      </c>
      <c r="D37" s="248">
        <f>IF(Mild_testing_strategy="Targeted",Patients!D78,Patients!D74)</f>
        <v>4.0000000000000008E-2</v>
      </c>
      <c r="E37" s="248">
        <f>IF(Mild_testing_strategy="Targeted",Patients!E78,Patients!E74)</f>
        <v>0.11921549569586405</v>
      </c>
      <c r="F37" s="248">
        <f>IF(Mild_testing_strategy="Targeted",Patients!F78,Patients!F74)</f>
        <v>0.40968499466703223</v>
      </c>
      <c r="G37" s="248">
        <f>IF(Mild_testing_strategy="Targeted",Patients!G78,Patients!G74)</f>
        <v>1.4078718922259288</v>
      </c>
      <c r="H37" s="248">
        <f>IF(Mild_testing_strategy="Targeted",Patients!H78,Patients!H74)</f>
        <v>4.8379519810962375</v>
      </c>
      <c r="I37" s="248">
        <f>IF(Mild_testing_strategy="Targeted",Patients!I78,Patients!I74)</f>
        <v>16.623006425816083</v>
      </c>
      <c r="J37" s="248">
        <f>IF(Mild_testing_strategy="Targeted",Patients!J78,Patients!J74)</f>
        <v>57.093208693302394</v>
      </c>
      <c r="K37" s="248">
        <f>IF(Mild_testing_strategy="Targeted",Patients!K78,Patients!K74)</f>
        <v>195.8235255006249</v>
      </c>
      <c r="L37" s="248">
        <f>IF(Mild_testing_strategy="Targeted",Patients!L78,Patients!L74)</f>
        <v>668.51121471335011</v>
      </c>
      <c r="M37" s="248">
        <f>IF(Mild_testing_strategy="Targeted",Patients!M78,Patients!M74)</f>
        <v>2246.0910633557942</v>
      </c>
      <c r="N37" s="248">
        <f>IF(Mild_testing_strategy="Targeted",Patients!N78,Patients!N74)</f>
        <v>7157.8099683807632</v>
      </c>
      <c r="O37" s="248">
        <f>IF(Mild_testing_strategy="Targeted",Patients!O78,Patients!O74)</f>
        <v>19398.578057767416</v>
      </c>
      <c r="P37" s="248">
        <f>IF(Mild_testing_strategy="Targeted",Patients!P78,Patients!P74)</f>
        <v>35205.262769265843</v>
      </c>
      <c r="Q37" s="248">
        <f>IF(Mild_testing_strategy="Targeted",Patients!Q78,Patients!Q74)</f>
        <v>0</v>
      </c>
      <c r="R37" s="248">
        <f>IF(Mild_testing_strategy="Targeted",Patients!R78,Patients!R74)</f>
        <v>0</v>
      </c>
      <c r="S37" s="248">
        <f>IF(Mild_testing_strategy="Targeted",Patients!S78,Patients!S74)</f>
        <v>0</v>
      </c>
      <c r="T37" s="248">
        <f>IF(Mild_testing_strategy="Targeted",Patients!T78,Patients!T74)</f>
        <v>0</v>
      </c>
      <c r="U37" s="248">
        <f>IF(Mild_testing_strategy="Targeted",Patients!U78,Patients!U74)</f>
        <v>0</v>
      </c>
      <c r="V37" s="248">
        <f>IF(Mild_testing_strategy="Targeted",Patients!V78,Patients!V74)</f>
        <v>0</v>
      </c>
      <c r="W37" s="248">
        <f>IF(Mild_testing_strategy="Targeted",Patients!W78,Patients!W74)</f>
        <v>0</v>
      </c>
      <c r="X37" s="248">
        <f>IF(Mild_testing_strategy="Targeted",Patients!X78,Patients!X74)</f>
        <v>0</v>
      </c>
      <c r="Y37" s="248">
        <f>IF(Mild_testing_strategy="Targeted",Patients!Y78,Patients!Y74)</f>
        <v>0</v>
      </c>
      <c r="Z37" s="248">
        <f>IF(Mild_testing_strategy="Targeted",Patients!Z78,Patients!Z74)</f>
        <v>0</v>
      </c>
      <c r="AA37" s="248">
        <f>IF(Mild_testing_strategy="Targeted",Patients!AA78,Patients!AA74)</f>
        <v>0</v>
      </c>
      <c r="AB37" s="248">
        <f>IF(Mild_testing_strategy="Targeted",Patients!AB78,Patients!AB74)</f>
        <v>0</v>
      </c>
      <c r="AC37" s="248">
        <f>IF(Mild_testing_strategy="Targeted",Patients!AC78,Patients!AC74)</f>
        <v>0</v>
      </c>
      <c r="AD37" s="248">
        <f>IF(Mild_testing_strategy="Targeted",Patients!AD78,Patients!AD74)</f>
        <v>0</v>
      </c>
      <c r="AE37" s="248">
        <f>IF(Mild_testing_strategy="Targeted",Patients!AE78,Patients!AE74)</f>
        <v>0</v>
      </c>
      <c r="AF37" s="248">
        <f>IF(Mild_testing_strategy="Targeted",Patients!AF78,Patients!AF74)</f>
        <v>0</v>
      </c>
      <c r="AG37" s="248">
        <f>IF(Mild_testing_strategy="Targeted",Patients!AG78,Patients!AG74)</f>
        <v>0</v>
      </c>
      <c r="AH37" s="248">
        <f>IF(Mild_testing_strategy="Targeted",Patients!AH78,Patients!AH74)</f>
        <v>0</v>
      </c>
      <c r="AI37" s="248">
        <f>IF(Mild_testing_strategy="Targeted",Patients!AI78,Patients!AI74)</f>
        <v>0</v>
      </c>
      <c r="AJ37" s="248">
        <f>IF(Mild_testing_strategy="Targeted",Patients!AJ78,Patients!AJ74)</f>
        <v>0</v>
      </c>
      <c r="AK37" s="248">
        <f>IF(Mild_testing_strategy="Targeted",Patients!AK78,Patients!AK74)</f>
        <v>0</v>
      </c>
      <c r="AL37" s="248">
        <f>IF(Mild_testing_strategy="Targeted",Patients!AL78,Patients!AL74)</f>
        <v>0</v>
      </c>
      <c r="AM37" s="248">
        <f>IF(Mild_testing_strategy="Targeted",Patients!AM78,Patients!AM74)</f>
        <v>0</v>
      </c>
      <c r="AN37" s="248">
        <f>IF(Mild_testing_strategy="Targeted",Patients!AN78,Patients!AN74)</f>
        <v>0</v>
      </c>
      <c r="AO37" s="248">
        <f>IF(Mild_testing_strategy="Targeted",Patients!AO78,Patients!AO74)</f>
        <v>0</v>
      </c>
      <c r="AP37" s="248">
        <f>IF(Mild_testing_strategy="Targeted",Patients!AP78,Patients!AP74)</f>
        <v>0</v>
      </c>
      <c r="AQ37" s="248">
        <f>IF(Mild_testing_strategy="Targeted",Patients!AQ78,Patients!AQ74)</f>
        <v>0</v>
      </c>
      <c r="AR37" s="248">
        <f>IF(Mild_testing_strategy="Targeted",Patients!AR78,Patients!AR74)</f>
        <v>0</v>
      </c>
      <c r="AS37" s="248">
        <f>IF(Mild_testing_strategy="Targeted",Patients!AS78,Patients!AS74)</f>
        <v>0</v>
      </c>
      <c r="AT37" s="248">
        <f>IF(Mild_testing_strategy="Targeted",Patients!AT78,Patients!AT74)</f>
        <v>0</v>
      </c>
      <c r="AU37" s="248">
        <f>IF(Mild_testing_strategy="Targeted",Patients!AU78,Patients!AU74)</f>
        <v>0</v>
      </c>
      <c r="AV37" s="248">
        <f>IF(Mild_testing_strategy="Targeted",Patients!AV78,Patients!AV74)</f>
        <v>0</v>
      </c>
      <c r="AW37" s="248">
        <f>IF(Mild_testing_strategy="Targeted",Patients!AW78,Patients!AW74)</f>
        <v>0</v>
      </c>
      <c r="AX37" s="248">
        <f>IF(Mild_testing_strategy="Targeted",Patients!AX78,Patients!AX74)</f>
        <v>0</v>
      </c>
      <c r="AY37" s="248">
        <f>IF(Mild_testing_strategy="Targeted",Patients!AY78,Patients!AY74)</f>
        <v>0</v>
      </c>
      <c r="AZ37" s="248">
        <f>IF(Mild_testing_strategy="Targeted",Patients!AZ78,Patients!AZ74)</f>
        <v>0</v>
      </c>
      <c r="BA37" s="248">
        <f>IF(Mild_testing_strategy="Targeted",Patients!BA78,Patients!BA74)</f>
        <v>0</v>
      </c>
      <c r="BB37" s="248">
        <f>IF(Mild_testing_strategy="Targeted",Patients!BB78,Patients!BB74)</f>
        <v>0</v>
      </c>
      <c r="BC37" s="248">
        <f>IF(Mild_testing_strategy="Targeted",Patients!BC78,Patients!BC74)</f>
        <v>0</v>
      </c>
      <c r="BD37" s="248">
        <f>IF(Mild_testing_strategy="Targeted",Patients!BD78,Patients!BD74)</f>
        <v>0</v>
      </c>
      <c r="BF37" s="245">
        <f>SUMIFS($D37:$BD37,$D$15:$BD$15,"&lt;="&amp;WeekSuppliedUntil,$D$15:$BD$15,"&gt;="&amp;Start_week_for_forecasting)</f>
        <v>64952.567538466596</v>
      </c>
      <c r="BG37"/>
      <c r="BH37" s="367">
        <f t="array" ref="BH37">MAX(IF(D$15:BD$15&gt;=Start_week_for_forecasting,IF(D$15:BD$15&lt;=WeekSuppliedUntil,D37:BD37)))</f>
        <v>35205.262769265843</v>
      </c>
    </row>
    <row r="38" spans="1:60" s="132" customFormat="1" x14ac:dyDescent="0.75">
      <c r="B38" s="32" t="s">
        <v>1002</v>
      </c>
      <c r="C38" s="3"/>
      <c r="D38" s="245">
        <f>IF(Mild_testing_strategy="Targeted",Patients!D79,Patients!D75)</f>
        <v>4.0000000000000008E-2</v>
      </c>
      <c r="E38" s="245">
        <f>IF(Mild_testing_strategy="Targeted",Patients!E79,Patients!E75)</f>
        <v>0.11921549569586405</v>
      </c>
      <c r="F38" s="245">
        <f>IF(Mild_testing_strategy="Targeted",Patients!F79,Patients!F75)</f>
        <v>0.40968499466703223</v>
      </c>
      <c r="G38" s="245">
        <f>IF(Mild_testing_strategy="Targeted",Patients!G79,Patients!G75)</f>
        <v>1.4078718922259288</v>
      </c>
      <c r="H38" s="245">
        <f>IF(Mild_testing_strategy="Targeted",Patients!H79,Patients!H75)</f>
        <v>4.8379519810962375</v>
      </c>
      <c r="I38" s="245">
        <f>IF(Mild_testing_strategy="Targeted",Patients!I79,Patients!I75)</f>
        <v>16.623006425816083</v>
      </c>
      <c r="J38" s="245">
        <f>IF(Mild_testing_strategy="Targeted",Patients!J79,Patients!J75)</f>
        <v>57.093208693302394</v>
      </c>
      <c r="K38" s="245">
        <f>IF(Mild_testing_strategy="Targeted",Patients!K79,Patients!K75)</f>
        <v>195.8235255006249</v>
      </c>
      <c r="L38" s="245">
        <f>IF(Mild_testing_strategy="Targeted",Patients!L79,Patients!L75)</f>
        <v>668.51121471335011</v>
      </c>
      <c r="M38" s="245">
        <f>IF(Mild_testing_strategy="Targeted",Patients!M79,Patients!M75)</f>
        <v>2246.0910633557942</v>
      </c>
      <c r="N38" s="245">
        <f>IF(Mild_testing_strategy="Targeted",Patients!N79,Patients!N75)</f>
        <v>7157.8099683807632</v>
      </c>
      <c r="O38" s="245">
        <f>IF(Mild_testing_strategy="Targeted",Patients!O79,Patients!O75)</f>
        <v>19398.578057767416</v>
      </c>
      <c r="P38" s="245">
        <f>IF(Mild_testing_strategy="Targeted",Patients!P79,Patients!P75)</f>
        <v>35205.262769265843</v>
      </c>
      <c r="Q38" s="245">
        <f>IF(Mild_testing_strategy="Targeted",Patients!Q79,Patients!Q75)</f>
        <v>0</v>
      </c>
      <c r="R38" s="245">
        <f>IF(Mild_testing_strategy="Targeted",Patients!R79,Patients!R75)</f>
        <v>0</v>
      </c>
      <c r="S38" s="245">
        <f>IF(Mild_testing_strategy="Targeted",Patients!S79,Patients!S75)</f>
        <v>0</v>
      </c>
      <c r="T38" s="245">
        <f>IF(Mild_testing_strategy="Targeted",Patients!T79,Patients!T75)</f>
        <v>0</v>
      </c>
      <c r="U38" s="245">
        <f>IF(Mild_testing_strategy="Targeted",Patients!U79,Patients!U75)</f>
        <v>0</v>
      </c>
      <c r="V38" s="245">
        <f>IF(Mild_testing_strategy="Targeted",Patients!V79,Patients!V75)</f>
        <v>0</v>
      </c>
      <c r="W38" s="245">
        <f>IF(Mild_testing_strategy="Targeted",Patients!W79,Patients!W75)</f>
        <v>0</v>
      </c>
      <c r="X38" s="245">
        <f>IF(Mild_testing_strategy="Targeted",Patients!X79,Patients!X75)</f>
        <v>0</v>
      </c>
      <c r="Y38" s="245">
        <f>IF(Mild_testing_strategy="Targeted",Patients!Y79,Patients!Y75)</f>
        <v>0</v>
      </c>
      <c r="Z38" s="245">
        <f>IF(Mild_testing_strategy="Targeted",Patients!Z79,Patients!Z75)</f>
        <v>0</v>
      </c>
      <c r="AA38" s="245">
        <f>IF(Mild_testing_strategy="Targeted",Patients!AA79,Patients!AA75)</f>
        <v>0</v>
      </c>
      <c r="AB38" s="245">
        <f>IF(Mild_testing_strategy="Targeted",Patients!AB79,Patients!AB75)</f>
        <v>0</v>
      </c>
      <c r="AC38" s="245">
        <f>IF(Mild_testing_strategy="Targeted",Patients!AC79,Patients!AC75)</f>
        <v>0</v>
      </c>
      <c r="AD38" s="245">
        <f>IF(Mild_testing_strategy="Targeted",Patients!AD79,Patients!AD75)</f>
        <v>0</v>
      </c>
      <c r="AE38" s="245">
        <f>IF(Mild_testing_strategy="Targeted",Patients!AE79,Patients!AE75)</f>
        <v>0</v>
      </c>
      <c r="AF38" s="245">
        <f>IF(Mild_testing_strategy="Targeted",Patients!AF79,Patients!AF75)</f>
        <v>0</v>
      </c>
      <c r="AG38" s="245">
        <f>IF(Mild_testing_strategy="Targeted",Patients!AG79,Patients!AG75)</f>
        <v>0</v>
      </c>
      <c r="AH38" s="245">
        <f>IF(Mild_testing_strategy="Targeted",Patients!AH79,Patients!AH75)</f>
        <v>0</v>
      </c>
      <c r="AI38" s="245">
        <f>IF(Mild_testing_strategy="Targeted",Patients!AI79,Patients!AI75)</f>
        <v>0</v>
      </c>
      <c r="AJ38" s="245">
        <f>IF(Mild_testing_strategy="Targeted",Patients!AJ79,Patients!AJ75)</f>
        <v>0</v>
      </c>
      <c r="AK38" s="245">
        <f>IF(Mild_testing_strategy="Targeted",Patients!AK79,Patients!AK75)</f>
        <v>0</v>
      </c>
      <c r="AL38" s="245">
        <f>IF(Mild_testing_strategy="Targeted",Patients!AL79,Patients!AL75)</f>
        <v>0</v>
      </c>
      <c r="AM38" s="245">
        <f>IF(Mild_testing_strategy="Targeted",Patients!AM79,Patients!AM75)</f>
        <v>0</v>
      </c>
      <c r="AN38" s="245">
        <f>IF(Mild_testing_strategy="Targeted",Patients!AN79,Patients!AN75)</f>
        <v>0</v>
      </c>
      <c r="AO38" s="245">
        <f>IF(Mild_testing_strategy="Targeted",Patients!AO79,Patients!AO75)</f>
        <v>0</v>
      </c>
      <c r="AP38" s="245">
        <f>IF(Mild_testing_strategy="Targeted",Patients!AP79,Patients!AP75)</f>
        <v>0</v>
      </c>
      <c r="AQ38" s="245">
        <f>IF(Mild_testing_strategy="Targeted",Patients!AQ79,Patients!AQ75)</f>
        <v>0</v>
      </c>
      <c r="AR38" s="245">
        <f>IF(Mild_testing_strategy="Targeted",Patients!AR79,Patients!AR75)</f>
        <v>0</v>
      </c>
      <c r="AS38" s="245">
        <f>IF(Mild_testing_strategy="Targeted",Patients!AS79,Patients!AS75)</f>
        <v>0</v>
      </c>
      <c r="AT38" s="245">
        <f>IF(Mild_testing_strategy="Targeted",Patients!AT79,Patients!AT75)</f>
        <v>0</v>
      </c>
      <c r="AU38" s="245">
        <f>IF(Mild_testing_strategy="Targeted",Patients!AU79,Patients!AU75)</f>
        <v>0</v>
      </c>
      <c r="AV38" s="245">
        <f>IF(Mild_testing_strategy="Targeted",Patients!AV79,Patients!AV75)</f>
        <v>0</v>
      </c>
      <c r="AW38" s="245">
        <f>IF(Mild_testing_strategy="Targeted",Patients!AW79,Patients!AW75)</f>
        <v>0</v>
      </c>
      <c r="AX38" s="245">
        <f>IF(Mild_testing_strategy="Targeted",Patients!AX79,Patients!AX75)</f>
        <v>0</v>
      </c>
      <c r="AY38" s="245">
        <f>IF(Mild_testing_strategy="Targeted",Patients!AY79,Patients!AY75)</f>
        <v>0</v>
      </c>
      <c r="AZ38" s="245">
        <f>IF(Mild_testing_strategy="Targeted",Patients!AZ79,Patients!AZ75)</f>
        <v>0</v>
      </c>
      <c r="BA38" s="245">
        <f>IF(Mild_testing_strategy="Targeted",Patients!BA79,Patients!BA75)</f>
        <v>0</v>
      </c>
      <c r="BB38" s="245">
        <f>IF(Mild_testing_strategy="Targeted",Patients!BB79,Patients!BB75)</f>
        <v>0</v>
      </c>
      <c r="BC38" s="245">
        <f>IF(Mild_testing_strategy="Targeted",Patients!BC79,Patients!BC75)</f>
        <v>0</v>
      </c>
      <c r="BD38" s="245">
        <f>IF(Mild_testing_strategy="Targeted",Patients!BD79,Patients!BD75)</f>
        <v>0</v>
      </c>
      <c r="BF38" s="245">
        <f>SUMIFS($D38:$BD38,$D$15:$BD$15,"&lt;="&amp;WeekSuppliedUntil,$D$15:$BD$15,"&gt;="&amp;Start_week_for_forecasting)</f>
        <v>64952.567538466596</v>
      </c>
      <c r="BH38" s="367">
        <f t="array" ref="BH38">MAX(IF(D$15:BD$15&gt;=Start_week_for_forecasting,IF(D$15:BD$15&lt;=WeekSuppliedUntil,D38:BD38)))</f>
        <v>35205.262769265843</v>
      </c>
    </row>
    <row r="39" spans="1:60" x14ac:dyDescent="0.75">
      <c r="B39" s="42" t="s">
        <v>1642</v>
      </c>
      <c r="C39" s="42"/>
      <c r="D39" s="245">
        <f t="shared" ref="D39:AI39" si="14">IFERROR((D37+D38)*Caretaker_to_outpatient,"")</f>
        <v>8.0000000000000016E-2</v>
      </c>
      <c r="E39" s="245">
        <f t="shared" si="14"/>
        <v>0.2384309913917281</v>
      </c>
      <c r="F39" s="245">
        <f t="shared" si="14"/>
        <v>0.81936998933406446</v>
      </c>
      <c r="G39" s="245">
        <f t="shared" si="14"/>
        <v>2.8157437844518576</v>
      </c>
      <c r="H39" s="245">
        <f t="shared" si="14"/>
        <v>9.6759039621924749</v>
      </c>
      <c r="I39" s="245">
        <f t="shared" si="14"/>
        <v>33.246012851632166</v>
      </c>
      <c r="J39" s="245">
        <f t="shared" si="14"/>
        <v>114.18641738660479</v>
      </c>
      <c r="K39" s="245">
        <f t="shared" si="14"/>
        <v>391.64705100124979</v>
      </c>
      <c r="L39" s="245">
        <f t="shared" si="14"/>
        <v>1337.0224294267002</v>
      </c>
      <c r="M39" s="245">
        <f t="shared" si="14"/>
        <v>4492.1821267115884</v>
      </c>
      <c r="N39" s="245">
        <f t="shared" si="14"/>
        <v>14315.619936761526</v>
      </c>
      <c r="O39" s="245">
        <f t="shared" si="14"/>
        <v>38797.156115534832</v>
      </c>
      <c r="P39" s="245">
        <f t="shared" si="14"/>
        <v>70410.525538531685</v>
      </c>
      <c r="Q39" s="245">
        <f t="shared" si="14"/>
        <v>0</v>
      </c>
      <c r="R39" s="245">
        <f t="shared" si="14"/>
        <v>0</v>
      </c>
      <c r="S39" s="245">
        <f t="shared" si="14"/>
        <v>0</v>
      </c>
      <c r="T39" s="245">
        <f t="shared" si="14"/>
        <v>0</v>
      </c>
      <c r="U39" s="245">
        <f t="shared" si="14"/>
        <v>0</v>
      </c>
      <c r="V39" s="245">
        <f t="shared" si="14"/>
        <v>0</v>
      </c>
      <c r="W39" s="245">
        <f t="shared" si="14"/>
        <v>0</v>
      </c>
      <c r="X39" s="245">
        <f t="shared" si="14"/>
        <v>0</v>
      </c>
      <c r="Y39" s="245">
        <f t="shared" si="14"/>
        <v>0</v>
      </c>
      <c r="Z39" s="245">
        <f t="shared" si="14"/>
        <v>0</v>
      </c>
      <c r="AA39" s="245">
        <f t="shared" si="14"/>
        <v>0</v>
      </c>
      <c r="AB39" s="245">
        <f t="shared" si="14"/>
        <v>0</v>
      </c>
      <c r="AC39" s="245">
        <f t="shared" si="14"/>
        <v>0</v>
      </c>
      <c r="AD39" s="245">
        <f t="shared" si="14"/>
        <v>0</v>
      </c>
      <c r="AE39" s="245">
        <f t="shared" si="14"/>
        <v>0</v>
      </c>
      <c r="AF39" s="245">
        <f t="shared" si="14"/>
        <v>0</v>
      </c>
      <c r="AG39" s="245">
        <f t="shared" si="14"/>
        <v>0</v>
      </c>
      <c r="AH39" s="245">
        <f t="shared" si="14"/>
        <v>0</v>
      </c>
      <c r="AI39" s="245">
        <f t="shared" si="14"/>
        <v>0</v>
      </c>
      <c r="AJ39" s="245">
        <f t="shared" ref="AJ39:BD39" si="15">IFERROR((AJ37+AJ38)*Caretaker_to_outpatient,"")</f>
        <v>0</v>
      </c>
      <c r="AK39" s="245">
        <f t="shared" si="15"/>
        <v>0</v>
      </c>
      <c r="AL39" s="245">
        <f t="shared" si="15"/>
        <v>0</v>
      </c>
      <c r="AM39" s="245">
        <f t="shared" si="15"/>
        <v>0</v>
      </c>
      <c r="AN39" s="245">
        <f t="shared" si="15"/>
        <v>0</v>
      </c>
      <c r="AO39" s="245">
        <f t="shared" si="15"/>
        <v>0</v>
      </c>
      <c r="AP39" s="245">
        <f t="shared" si="15"/>
        <v>0</v>
      </c>
      <c r="AQ39" s="245">
        <f t="shared" si="15"/>
        <v>0</v>
      </c>
      <c r="AR39" s="245">
        <f t="shared" si="15"/>
        <v>0</v>
      </c>
      <c r="AS39" s="245">
        <f t="shared" si="15"/>
        <v>0</v>
      </c>
      <c r="AT39" s="245">
        <f t="shared" si="15"/>
        <v>0</v>
      </c>
      <c r="AU39" s="245">
        <f t="shared" si="15"/>
        <v>0</v>
      </c>
      <c r="AV39" s="245">
        <f t="shared" si="15"/>
        <v>0</v>
      </c>
      <c r="AW39" s="245">
        <f t="shared" si="15"/>
        <v>0</v>
      </c>
      <c r="AX39" s="245">
        <f t="shared" si="15"/>
        <v>0</v>
      </c>
      <c r="AY39" s="245">
        <f t="shared" si="15"/>
        <v>0</v>
      </c>
      <c r="AZ39" s="245">
        <f t="shared" si="15"/>
        <v>0</v>
      </c>
      <c r="BA39" s="245">
        <f t="shared" si="15"/>
        <v>0</v>
      </c>
      <c r="BB39" s="245">
        <f t="shared" si="15"/>
        <v>0</v>
      </c>
      <c r="BC39" s="245">
        <f t="shared" si="15"/>
        <v>0</v>
      </c>
      <c r="BD39" s="245">
        <f t="shared" si="15"/>
        <v>0</v>
      </c>
      <c r="BF39" s="245">
        <f>SUMIFS($D39:$BD39,$D$15:$BD$15,"&lt;="&amp;WeekSuppliedUntil,$D$15:$BD$15,"&gt;="&amp;Start_week_for_forecasting)</f>
        <v>129905.13507693319</v>
      </c>
      <c r="BH39" s="367">
        <f t="array" ref="BH39">MAX(IF(D$15:BD$15&gt;=Start_week_for_forecasting,IF(D$15:BD$15&lt;=WeekSuppliedUntil,D39:BD39)))</f>
        <v>70410.525538531685</v>
      </c>
    </row>
    <row r="40" spans="1:60" s="6" customFormat="1" x14ac:dyDescent="0.75">
      <c r="B40" s="23"/>
      <c r="C40" s="23"/>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F40" s="31"/>
      <c r="BH40" s="31"/>
    </row>
    <row r="41" spans="1:60" s="26" customFormat="1" x14ac:dyDescent="0.75">
      <c r="B41" s="180" t="s">
        <v>1604</v>
      </c>
      <c r="C41" s="180"/>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F41" s="259"/>
      <c r="BH41" s="258"/>
    </row>
    <row r="42" spans="1:60" s="32" customFormat="1" ht="33.65" customHeight="1" x14ac:dyDescent="0.75">
      <c r="B42" s="643" t="s">
        <v>1607</v>
      </c>
      <c r="C42" s="643"/>
      <c r="D42" s="716">
        <f>IFERROR(IF(Mild_testing_strategy="Targeted",Patients!D77,Patients!D73),"")</f>
        <v>1.08</v>
      </c>
      <c r="E42" s="716">
        <f>IFERROR(IF(Mild_testing_strategy="Targeted",Patients!E77,Patients!E73),"")</f>
        <v>3.2188183837883289</v>
      </c>
      <c r="F42" s="716">
        <f>IFERROR(IF(Mild_testing_strategy="Targeted",Patients!F77,Patients!F73),"")</f>
        <v>11.061494856009872</v>
      </c>
      <c r="G42" s="716">
        <f>IFERROR(IF(Mild_testing_strategy="Targeted",Patients!G77,Patients!G73),"")</f>
        <v>38.012541090100072</v>
      </c>
      <c r="H42" s="716">
        <f>IFERROR(IF(Mild_testing_strategy="Targeted",Patients!H77,Patients!H73),"")</f>
        <v>130.6247034895984</v>
      </c>
      <c r="I42" s="716">
        <f>IFERROR(IF(Mild_testing_strategy="Targeted",Patients!I77,Patients!I73),"")</f>
        <v>448.82117349703429</v>
      </c>
      <c r="J42" s="716">
        <f>IFERROR(IF(Mild_testing_strategy="Targeted",Patients!J77,Patients!J73),"")</f>
        <v>1541.5166347191644</v>
      </c>
      <c r="K42" s="716">
        <f>IFERROR(IF(Mild_testing_strategy="Targeted",Patients!K77,Patients!K73),"")</f>
        <v>5287.2351885168728</v>
      </c>
      <c r="L42" s="716">
        <f>IFERROR(IF(Mild_testing_strategy="Targeted",Patients!L77,Patients!L73),"")</f>
        <v>18049.80279726045</v>
      </c>
      <c r="M42" s="716">
        <f>IFERROR(IF(Mild_testing_strategy="Targeted",Patients!M77,Patients!M73),"")</f>
        <v>60644.458710606443</v>
      </c>
      <c r="N42" s="716">
        <f>IFERROR(IF(Mild_testing_strategy="Targeted",Patients!N77,Patients!N73),"")</f>
        <v>193260.86914628057</v>
      </c>
      <c r="O42" s="716">
        <f>IFERROR(IF(Mild_testing_strategy="Targeted",Patients!O77,Patients!O73),"")</f>
        <v>523761.60755972017</v>
      </c>
      <c r="P42" s="716">
        <f>IFERROR(IF(Mild_testing_strategy="Targeted",Patients!P77,Patients!P73),"")</f>
        <v>950542.09477017773</v>
      </c>
      <c r="Q42" s="716">
        <f>IFERROR(IF(Mild_testing_strategy="Targeted",Patients!Q77,Patients!Q73),"")</f>
        <v>0</v>
      </c>
      <c r="R42" s="716">
        <f>IFERROR(IF(Mild_testing_strategy="Targeted",Patients!R77,Patients!R73),"")</f>
        <v>0</v>
      </c>
      <c r="S42" s="716">
        <f>IFERROR(IF(Mild_testing_strategy="Targeted",Patients!S77,Patients!S73),"")</f>
        <v>0</v>
      </c>
      <c r="T42" s="716">
        <f>IFERROR(IF(Mild_testing_strategy="Targeted",Patients!T77,Patients!T73),"")</f>
        <v>0</v>
      </c>
      <c r="U42" s="716">
        <f>IFERROR(IF(Mild_testing_strategy="Targeted",Patients!U77,Patients!U73),"")</f>
        <v>0</v>
      </c>
      <c r="V42" s="716">
        <f>IFERROR(IF(Mild_testing_strategy="Targeted",Patients!V77,Patients!V73),"")</f>
        <v>0</v>
      </c>
      <c r="W42" s="716">
        <f>IFERROR(IF(Mild_testing_strategy="Targeted",Patients!W77,Patients!W73),"")</f>
        <v>0</v>
      </c>
      <c r="X42" s="716">
        <f>IFERROR(IF(Mild_testing_strategy="Targeted",Patients!X77,Patients!X73),"")</f>
        <v>0</v>
      </c>
      <c r="Y42" s="716">
        <f>IFERROR(IF(Mild_testing_strategy="Targeted",Patients!Y77,Patients!Y73),"")</f>
        <v>0</v>
      </c>
      <c r="Z42" s="716">
        <f>IFERROR(IF(Mild_testing_strategy="Targeted",Patients!Z77,Patients!Z73),"")</f>
        <v>0</v>
      </c>
      <c r="AA42" s="716">
        <f>IFERROR(IF(Mild_testing_strategy="Targeted",Patients!AA77,Patients!AA73),"")</f>
        <v>0</v>
      </c>
      <c r="AB42" s="716">
        <f>IFERROR(IF(Mild_testing_strategy="Targeted",Patients!AB77,Patients!AB73),"")</f>
        <v>0</v>
      </c>
      <c r="AC42" s="716">
        <f>IFERROR(IF(Mild_testing_strategy="Targeted",Patients!AC77,Patients!AC73),"")</f>
        <v>0</v>
      </c>
      <c r="AD42" s="716">
        <f>IFERROR(IF(Mild_testing_strategy="Targeted",Patients!AD77,Patients!AD73),"")</f>
        <v>0</v>
      </c>
      <c r="AE42" s="716">
        <f>IFERROR(IF(Mild_testing_strategy="Targeted",Patients!AE77,Patients!AE73),"")</f>
        <v>0</v>
      </c>
      <c r="AF42" s="716">
        <f>IFERROR(IF(Mild_testing_strategy="Targeted",Patients!AF77,Patients!AF73),"")</f>
        <v>0</v>
      </c>
      <c r="AG42" s="716">
        <f>IFERROR(IF(Mild_testing_strategy="Targeted",Patients!AG77,Patients!AG73),"")</f>
        <v>0</v>
      </c>
      <c r="AH42" s="716">
        <f>IFERROR(IF(Mild_testing_strategy="Targeted",Patients!AH77,Patients!AH73),"")</f>
        <v>0</v>
      </c>
      <c r="AI42" s="716">
        <f>IFERROR(IF(Mild_testing_strategy="Targeted",Patients!AI77,Patients!AI73),"")</f>
        <v>0</v>
      </c>
      <c r="AJ42" s="716">
        <f>IFERROR(IF(Mild_testing_strategy="Targeted",Patients!AJ77,Patients!AJ73),"")</f>
        <v>0</v>
      </c>
      <c r="AK42" s="716">
        <f>IFERROR(IF(Mild_testing_strategy="Targeted",Patients!AK77,Patients!AK73),"")</f>
        <v>0</v>
      </c>
      <c r="AL42" s="716">
        <f>IFERROR(IF(Mild_testing_strategy="Targeted",Patients!AL77,Patients!AL73),"")</f>
        <v>0</v>
      </c>
      <c r="AM42" s="716">
        <f>IFERROR(IF(Mild_testing_strategy="Targeted",Patients!AM77,Patients!AM73),"")</f>
        <v>0</v>
      </c>
      <c r="AN42" s="716">
        <f>IFERROR(IF(Mild_testing_strategy="Targeted",Patients!AN77,Patients!AN73),"")</f>
        <v>0</v>
      </c>
      <c r="AO42" s="716">
        <f>IFERROR(IF(Mild_testing_strategy="Targeted",Patients!AO77,Patients!AO73),"")</f>
        <v>0</v>
      </c>
      <c r="AP42" s="716">
        <f>IFERROR(IF(Mild_testing_strategy="Targeted",Patients!AP77,Patients!AP73),"")</f>
        <v>0</v>
      </c>
      <c r="AQ42" s="716">
        <f>IFERROR(IF(Mild_testing_strategy="Targeted",Patients!AQ77,Patients!AQ73),"")</f>
        <v>0</v>
      </c>
      <c r="AR42" s="716">
        <f>IFERROR(IF(Mild_testing_strategy="Targeted",Patients!AR77,Patients!AR73),"")</f>
        <v>0</v>
      </c>
      <c r="AS42" s="716">
        <f>IFERROR(IF(Mild_testing_strategy="Targeted",Patients!AS77,Patients!AS73),"")</f>
        <v>0</v>
      </c>
      <c r="AT42" s="716">
        <f>IFERROR(IF(Mild_testing_strategy="Targeted",Patients!AT77,Patients!AT73),"")</f>
        <v>0</v>
      </c>
      <c r="AU42" s="716">
        <f>IFERROR(IF(Mild_testing_strategy="Targeted",Patients!AU77,Patients!AU73),"")</f>
        <v>0</v>
      </c>
      <c r="AV42" s="716">
        <f>IFERROR(IF(Mild_testing_strategy="Targeted",Patients!AV77,Patients!AV73),"")</f>
        <v>0</v>
      </c>
      <c r="AW42" s="716">
        <f>IFERROR(IF(Mild_testing_strategy="Targeted",Patients!AW77,Patients!AW73),"")</f>
        <v>0</v>
      </c>
      <c r="AX42" s="716">
        <f>IFERROR(IF(Mild_testing_strategy="Targeted",Patients!AX77,Patients!AX73),"")</f>
        <v>0</v>
      </c>
      <c r="AY42" s="716">
        <f>IFERROR(IF(Mild_testing_strategy="Targeted",Patients!AY77,Patients!AY73),"")</f>
        <v>0</v>
      </c>
      <c r="AZ42" s="716">
        <f>IFERROR(IF(Mild_testing_strategy="Targeted",Patients!AZ77,Patients!AZ73),"")</f>
        <v>0</v>
      </c>
      <c r="BA42" s="716">
        <f>IFERROR(IF(Mild_testing_strategy="Targeted",Patients!BA77,Patients!BA73),"")</f>
        <v>0</v>
      </c>
      <c r="BB42" s="716">
        <f>IFERROR(IF(Mild_testing_strategy="Targeted",Patients!BB77,Patients!BB73),"")</f>
        <v>0</v>
      </c>
      <c r="BC42" s="716">
        <f>IFERROR(IF(Mild_testing_strategy="Targeted",Patients!BC77,Patients!BC73),"")</f>
        <v>0</v>
      </c>
      <c r="BD42" s="716">
        <f>IFERROR(IF(Mild_testing_strategy="Targeted",Patients!BD77,Patients!BD73),"")</f>
        <v>0</v>
      </c>
      <c r="BE42" s="717"/>
      <c r="BF42" s="716">
        <f>SUMIFS(D42:BD42,$D$15:$BD$15,"&gt;="&amp;Start_week_for_forecasting,$D$15:$BD$15,"&lt;="&amp;WeekSuppliedUntil)</f>
        <v>1753719.3235385979</v>
      </c>
      <c r="BG42" s="381"/>
      <c r="BH42" s="716">
        <f t="array" ref="BH42">MAX(IF(D$15:BD$15&gt;=Start_week_for_forecasting,IF(D$15:BD$15&lt;=WeekSuppliedUntil,D42:BD42)))</f>
        <v>950542.09477017773</v>
      </c>
    </row>
    <row r="43" spans="1:60" x14ac:dyDescent="0.75">
      <c r="B43" s="42" t="s">
        <v>270</v>
      </c>
      <c r="C43" s="42"/>
      <c r="D43" s="245">
        <f t="shared" ref="D43:AI43" ca="1" si="16">IFERROR(IF(ROUNDUP(D42/7/Tests_per_HCW,0)&lt;$D$10,(ROUNDUP(D42/7/Tests_per_HCW,0)),$D$10),"")</f>
        <v>1</v>
      </c>
      <c r="E43" s="245">
        <f t="shared" ca="1" si="16"/>
        <v>1</v>
      </c>
      <c r="F43" s="245">
        <f t="shared" ca="1" si="16"/>
        <v>1</v>
      </c>
      <c r="G43" s="245">
        <f t="shared" ca="1" si="16"/>
        <v>1</v>
      </c>
      <c r="H43" s="245">
        <f t="shared" ca="1" si="16"/>
        <v>1</v>
      </c>
      <c r="I43" s="245">
        <f t="shared" ca="1" si="16"/>
        <v>3</v>
      </c>
      <c r="J43" s="245">
        <f t="shared" ca="1" si="16"/>
        <v>10</v>
      </c>
      <c r="K43" s="245">
        <f t="shared" ca="1" si="16"/>
        <v>34</v>
      </c>
      <c r="L43" s="245">
        <f t="shared" ca="1" si="16"/>
        <v>113</v>
      </c>
      <c r="M43" s="245">
        <f t="shared" ca="1" si="16"/>
        <v>380</v>
      </c>
      <c r="N43" s="245">
        <f t="shared" ca="1" si="16"/>
        <v>913.83651078213904</v>
      </c>
      <c r="O43" s="245">
        <f t="shared" ca="1" si="16"/>
        <v>913.83651078213904</v>
      </c>
      <c r="P43" s="245">
        <f t="shared" ca="1" si="16"/>
        <v>913.83651078213904</v>
      </c>
      <c r="Q43" s="245">
        <f t="shared" ca="1" si="16"/>
        <v>0</v>
      </c>
      <c r="R43" s="245">
        <f t="shared" ca="1" si="16"/>
        <v>0</v>
      </c>
      <c r="S43" s="245">
        <f t="shared" ca="1" si="16"/>
        <v>0</v>
      </c>
      <c r="T43" s="245">
        <f t="shared" ca="1" si="16"/>
        <v>0</v>
      </c>
      <c r="U43" s="245">
        <f t="shared" ca="1" si="16"/>
        <v>0</v>
      </c>
      <c r="V43" s="245">
        <f t="shared" ca="1" si="16"/>
        <v>0</v>
      </c>
      <c r="W43" s="245">
        <f t="shared" ca="1" si="16"/>
        <v>0</v>
      </c>
      <c r="X43" s="245">
        <f t="shared" ca="1" si="16"/>
        <v>0</v>
      </c>
      <c r="Y43" s="245">
        <f t="shared" ca="1" si="16"/>
        <v>0</v>
      </c>
      <c r="Z43" s="245">
        <f t="shared" ca="1" si="16"/>
        <v>0</v>
      </c>
      <c r="AA43" s="245">
        <f t="shared" ca="1" si="16"/>
        <v>0</v>
      </c>
      <c r="AB43" s="245">
        <f t="shared" ca="1" si="16"/>
        <v>0</v>
      </c>
      <c r="AC43" s="245">
        <f t="shared" ca="1" si="16"/>
        <v>0</v>
      </c>
      <c r="AD43" s="245">
        <f t="shared" ca="1" si="16"/>
        <v>0</v>
      </c>
      <c r="AE43" s="245">
        <f t="shared" ca="1" si="16"/>
        <v>0</v>
      </c>
      <c r="AF43" s="245">
        <f t="shared" ca="1" si="16"/>
        <v>0</v>
      </c>
      <c r="AG43" s="245">
        <f t="shared" ca="1" si="16"/>
        <v>0</v>
      </c>
      <c r="AH43" s="245">
        <f t="shared" ca="1" si="16"/>
        <v>0</v>
      </c>
      <c r="AI43" s="245">
        <f t="shared" ca="1" si="16"/>
        <v>0</v>
      </c>
      <c r="AJ43" s="245">
        <f t="shared" ref="AJ43:BD43" ca="1" si="17">IFERROR(IF(ROUNDUP(AJ42/7/Tests_per_HCW,0)&lt;$D$10,(ROUNDUP(AJ42/7/Tests_per_HCW,0)),$D$10),"")</f>
        <v>0</v>
      </c>
      <c r="AK43" s="245">
        <f t="shared" ca="1" si="17"/>
        <v>0</v>
      </c>
      <c r="AL43" s="245">
        <f t="shared" ca="1" si="17"/>
        <v>0</v>
      </c>
      <c r="AM43" s="245">
        <f t="shared" ca="1" si="17"/>
        <v>0</v>
      </c>
      <c r="AN43" s="245">
        <f t="shared" ca="1" si="17"/>
        <v>0</v>
      </c>
      <c r="AO43" s="245">
        <f t="shared" ca="1" si="17"/>
        <v>0</v>
      </c>
      <c r="AP43" s="245">
        <f t="shared" ca="1" si="17"/>
        <v>0</v>
      </c>
      <c r="AQ43" s="245">
        <f t="shared" ca="1" si="17"/>
        <v>0</v>
      </c>
      <c r="AR43" s="245">
        <f t="shared" ca="1" si="17"/>
        <v>0</v>
      </c>
      <c r="AS43" s="245">
        <f t="shared" ca="1" si="17"/>
        <v>0</v>
      </c>
      <c r="AT43" s="245">
        <f t="shared" ca="1" si="17"/>
        <v>0</v>
      </c>
      <c r="AU43" s="245">
        <f t="shared" ca="1" si="17"/>
        <v>0</v>
      </c>
      <c r="AV43" s="245">
        <f t="shared" ca="1" si="17"/>
        <v>0</v>
      </c>
      <c r="AW43" s="245">
        <f t="shared" ca="1" si="17"/>
        <v>0</v>
      </c>
      <c r="AX43" s="245">
        <f t="shared" ca="1" si="17"/>
        <v>0</v>
      </c>
      <c r="AY43" s="245">
        <f t="shared" ca="1" si="17"/>
        <v>0</v>
      </c>
      <c r="AZ43" s="245">
        <f t="shared" ca="1" si="17"/>
        <v>0</v>
      </c>
      <c r="BA43" s="245">
        <f t="shared" ca="1" si="17"/>
        <v>0</v>
      </c>
      <c r="BB43" s="245">
        <f t="shared" ca="1" si="17"/>
        <v>0</v>
      </c>
      <c r="BC43" s="245">
        <f t="shared" ca="1" si="17"/>
        <v>0</v>
      </c>
      <c r="BD43" s="245">
        <f t="shared" ca="1" si="17"/>
        <v>0</v>
      </c>
      <c r="BF43" s="245">
        <f ca="1">SUMIFS($D43:$BD43,$D$15:$BD$15,"&lt;="&amp;WeekSuppliedUntil,$D$15:$BD$15,"&gt;="&amp;Start_week_for_forecasting)</f>
        <v>3285.5095323464175</v>
      </c>
      <c r="BH43" s="367">
        <f t="array" aca="1" ref="BH43" ca="1">MAX(IF(D$15:BD$15&gt;=Start_week_for_forecasting,IF(D$15:BD$15&lt;=WeekSuppliedUntil,D43:BD43)))</f>
        <v>913.83651078213904</v>
      </c>
    </row>
    <row r="44" spans="1:60" s="6" customFormat="1" x14ac:dyDescent="0.75">
      <c r="B44" s="256" t="s">
        <v>1863</v>
      </c>
      <c r="C44" s="256"/>
      <c r="D44" s="248">
        <f t="shared" ref="D44:AI44" si="18">IFERROR((ROUNDUP(D42/7/Tests_per_HCW,0)),"")</f>
        <v>1</v>
      </c>
      <c r="E44" s="248">
        <f t="shared" si="18"/>
        <v>1</v>
      </c>
      <c r="F44" s="248">
        <f t="shared" si="18"/>
        <v>1</v>
      </c>
      <c r="G44" s="248">
        <f t="shared" si="18"/>
        <v>1</v>
      </c>
      <c r="H44" s="248">
        <f t="shared" si="18"/>
        <v>1</v>
      </c>
      <c r="I44" s="248">
        <f t="shared" si="18"/>
        <v>3</v>
      </c>
      <c r="J44" s="248">
        <f t="shared" si="18"/>
        <v>10</v>
      </c>
      <c r="K44" s="248">
        <f t="shared" si="18"/>
        <v>34</v>
      </c>
      <c r="L44" s="248">
        <f t="shared" si="18"/>
        <v>113</v>
      </c>
      <c r="M44" s="248">
        <f t="shared" si="18"/>
        <v>380</v>
      </c>
      <c r="N44" s="248">
        <f t="shared" si="18"/>
        <v>1208</v>
      </c>
      <c r="O44" s="248">
        <f t="shared" si="18"/>
        <v>3274</v>
      </c>
      <c r="P44" s="248">
        <f t="shared" si="18"/>
        <v>5941</v>
      </c>
      <c r="Q44" s="248">
        <f t="shared" si="18"/>
        <v>0</v>
      </c>
      <c r="R44" s="248">
        <f t="shared" si="18"/>
        <v>0</v>
      </c>
      <c r="S44" s="248">
        <f t="shared" si="18"/>
        <v>0</v>
      </c>
      <c r="T44" s="248">
        <f t="shared" si="18"/>
        <v>0</v>
      </c>
      <c r="U44" s="248">
        <f t="shared" si="18"/>
        <v>0</v>
      </c>
      <c r="V44" s="248">
        <f t="shared" si="18"/>
        <v>0</v>
      </c>
      <c r="W44" s="248">
        <f t="shared" si="18"/>
        <v>0</v>
      </c>
      <c r="X44" s="248">
        <f t="shared" si="18"/>
        <v>0</v>
      </c>
      <c r="Y44" s="248">
        <f t="shared" si="18"/>
        <v>0</v>
      </c>
      <c r="Z44" s="248">
        <f t="shared" si="18"/>
        <v>0</v>
      </c>
      <c r="AA44" s="248">
        <f t="shared" si="18"/>
        <v>0</v>
      </c>
      <c r="AB44" s="248">
        <f t="shared" si="18"/>
        <v>0</v>
      </c>
      <c r="AC44" s="248">
        <f t="shared" si="18"/>
        <v>0</v>
      </c>
      <c r="AD44" s="248">
        <f t="shared" si="18"/>
        <v>0</v>
      </c>
      <c r="AE44" s="248">
        <f t="shared" si="18"/>
        <v>0</v>
      </c>
      <c r="AF44" s="248">
        <f t="shared" si="18"/>
        <v>0</v>
      </c>
      <c r="AG44" s="248">
        <f t="shared" si="18"/>
        <v>0</v>
      </c>
      <c r="AH44" s="248">
        <f t="shared" si="18"/>
        <v>0</v>
      </c>
      <c r="AI44" s="248">
        <f t="shared" si="18"/>
        <v>0</v>
      </c>
      <c r="AJ44" s="248">
        <f t="shared" ref="AJ44:BD44" si="19">IFERROR((ROUNDUP(AJ42/7/Tests_per_HCW,0)),"")</f>
        <v>0</v>
      </c>
      <c r="AK44" s="248">
        <f t="shared" si="19"/>
        <v>0</v>
      </c>
      <c r="AL44" s="248">
        <f t="shared" si="19"/>
        <v>0</v>
      </c>
      <c r="AM44" s="248">
        <f t="shared" si="19"/>
        <v>0</v>
      </c>
      <c r="AN44" s="248">
        <f t="shared" si="19"/>
        <v>0</v>
      </c>
      <c r="AO44" s="248">
        <f t="shared" si="19"/>
        <v>0</v>
      </c>
      <c r="AP44" s="248">
        <f t="shared" si="19"/>
        <v>0</v>
      </c>
      <c r="AQ44" s="248">
        <f t="shared" si="19"/>
        <v>0</v>
      </c>
      <c r="AR44" s="248">
        <f t="shared" si="19"/>
        <v>0</v>
      </c>
      <c r="AS44" s="248">
        <f t="shared" si="19"/>
        <v>0</v>
      </c>
      <c r="AT44" s="248">
        <f t="shared" si="19"/>
        <v>0</v>
      </c>
      <c r="AU44" s="248">
        <f t="shared" si="19"/>
        <v>0</v>
      </c>
      <c r="AV44" s="248">
        <f t="shared" si="19"/>
        <v>0</v>
      </c>
      <c r="AW44" s="248">
        <f t="shared" si="19"/>
        <v>0</v>
      </c>
      <c r="AX44" s="248">
        <f t="shared" si="19"/>
        <v>0</v>
      </c>
      <c r="AY44" s="248">
        <f t="shared" si="19"/>
        <v>0</v>
      </c>
      <c r="AZ44" s="248">
        <f t="shared" si="19"/>
        <v>0</v>
      </c>
      <c r="BA44" s="248">
        <f t="shared" si="19"/>
        <v>0</v>
      </c>
      <c r="BB44" s="248">
        <f t="shared" si="19"/>
        <v>0</v>
      </c>
      <c r="BC44" s="248">
        <f t="shared" si="19"/>
        <v>0</v>
      </c>
      <c r="BD44" s="248">
        <f t="shared" si="19"/>
        <v>0</v>
      </c>
      <c r="BF44" s="245">
        <f>SUMIFS(D44:BD44,$D$15:$BD$15,"&gt;="&amp;Start_week_for_forecasting,$D$15:$BD$15,"&lt;="&amp;WeekSuppliedUntil)</f>
        <v>10967</v>
      </c>
      <c r="BG44" s="43"/>
      <c r="BH44" s="245">
        <f t="array" ref="BH44">MAX(IF(D$15:BD$15&gt;=Start_week_for_forecasting,IF(D$15:BD$15&lt;=WeekSuppliedUntil,D44:BD44)))</f>
        <v>5941</v>
      </c>
    </row>
    <row r="45" spans="1:60" x14ac:dyDescent="0.75">
      <c r="E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H45"/>
    </row>
    <row r="46" spans="1:60" s="26" customFormat="1" x14ac:dyDescent="0.75">
      <c r="B46" s="180" t="str">
        <f>"Laboratory - "&amp;Mild_testing_strategy&amp;" Testing Strategy (capped by testing capacity)"</f>
        <v>Laboratory - Targeted Testing Strategy (capped by testing capacity)</v>
      </c>
      <c r="C46" s="180"/>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F46" s="259"/>
      <c r="BH46" s="258"/>
    </row>
    <row r="47" spans="1:60" s="32" customFormat="1" x14ac:dyDescent="0.75">
      <c r="B47" s="256" t="s">
        <v>1363</v>
      </c>
      <c r="C47" s="256"/>
      <c r="D47" s="248">
        <f ca="1">IF(Patients!D67+IF(Mild_testing_strategy="Targeted",Patients!D77,Patients!D73)&gt;MaxTestsPerDay*7,MaxTestsPerDay*7,Patients!D67+IF(Mild_testing_strategy="Targeted",Patients!D77,Patients!D73))</f>
        <v>1.28</v>
      </c>
      <c r="E47" s="248">
        <f ca="1">IF(Patients!E67+IF(Mild_testing_strategy="Targeted",Patients!E77,Patients!E73)&gt;MaxTestsPerDay*7,MaxTestsPerDay*7,Patients!E67+IF(Mild_testing_strategy="Targeted",Patients!E77,Patients!E73))</f>
        <v>4.0746958622676495</v>
      </c>
      <c r="F47" s="248">
        <f ca="1">IF(Patients!F67+IF(Mild_testing_strategy="Targeted",Patients!F77,Patients!F73)&gt;MaxTestsPerDay*7,MaxTestsPerDay*7,Patients!F67+IF(Mild_testing_strategy="Targeted",Patients!F77,Patients!F73))</f>
        <v>13.934224473889671</v>
      </c>
      <c r="G47" s="248">
        <f ca="1">IF(Patients!G67+IF(Mild_testing_strategy="Targeted",Patients!G77,Patients!G73)&gt;MaxTestsPerDay*7,MaxTestsPerDay*7,Patients!G67+IF(Mild_testing_strategy="Targeted",Patients!G77,Patients!G73))</f>
        <v>47.861823961211918</v>
      </c>
      <c r="H47" s="248">
        <f ca="1">IF(Patients!H67+IF(Mild_testing_strategy="Targeted",Patients!H77,Patients!H73)&gt;MaxTestsPerDay*7,MaxTestsPerDay*7,Patients!H67+IF(Mild_testing_strategy="Targeted",Patients!H77,Patients!H73))</f>
        <v>164.47069757842078</v>
      </c>
      <c r="I47" s="248">
        <f ca="1">IF(Patients!I67+IF(Mild_testing_strategy="Targeted",Patients!I77,Patients!I73)&gt;MaxTestsPerDay*7,MaxTestsPerDay*7,Patients!I67+IF(Mild_testing_strategy="Targeted",Patients!I77,Patients!I73))</f>
        <v>565.11854360861719</v>
      </c>
      <c r="J47" s="248">
        <f ca="1">IF(Patients!J67+IF(Mild_testing_strategy="Targeted",Patients!J77,Patients!J73)&gt;MaxTestsPerDay*7,MaxTestsPerDay*7,Patients!J67+IF(Mild_testing_strategy="Targeted",Patients!J77,Patients!J73))</f>
        <v>1940.9965448977221</v>
      </c>
      <c r="K47" s="248">
        <f ca="1">IF(Patients!K67+IF(Mild_testing_strategy="Targeted",Patients!K77,Patients!K73)&gt;MaxTestsPerDay*7,MaxTestsPerDay*7,Patients!K67+IF(Mild_testing_strategy="Targeted",Patients!K77,Patients!K73))</f>
        <v>6657.9519645152659</v>
      </c>
      <c r="L47" s="248">
        <f ca="1">IF(Patients!L67+IF(Mild_testing_strategy="Targeted",Patients!L77,Patients!L73)&gt;MaxTestsPerDay*7,MaxTestsPerDay*7,Patients!L67+IF(Mild_testing_strategy="Targeted",Patients!L77,Patients!L73))</f>
        <v>22735.599179820387</v>
      </c>
      <c r="M47" s="248">
        <f ca="1">IF(Patients!M67+IF(Mild_testing_strategy="Targeted",Patients!M77,Patients!M73)&gt;MaxTestsPerDay*7,MaxTestsPerDay*7,Patients!M67+IF(Mild_testing_strategy="Targeted",Patients!M77,Patients!M73))</f>
        <v>72596.878233162846</v>
      </c>
      <c r="N47" s="248">
        <f ca="1">IF(Patients!N67+IF(Mild_testing_strategy="Targeted",Patients!N77,Patients!N73)&gt;MaxTestsPerDay*7,MaxTestsPerDay*7,Patients!N67+IF(Mild_testing_strategy="Targeted",Patients!N77,Patients!N73))</f>
        <v>72596.878233162846</v>
      </c>
      <c r="O47" s="248">
        <f ca="1">IF(Patients!O67+IF(Mild_testing_strategy="Targeted",Patients!O77,Patients!O73)&gt;MaxTestsPerDay*7,MaxTestsPerDay*7,Patients!O67+IF(Mild_testing_strategy="Targeted",Patients!O77,Patients!O73))</f>
        <v>72596.878233162846</v>
      </c>
      <c r="P47" s="248">
        <f ca="1">IF(Patients!P67+IF(Mild_testing_strategy="Targeted",Patients!P77,Patients!P73)&gt;MaxTestsPerDay*7,MaxTestsPerDay*7,Patients!P67+IF(Mild_testing_strategy="Targeted",Patients!P77,Patients!P73))</f>
        <v>72596.878233162846</v>
      </c>
      <c r="Q47" s="248">
        <f>IF(Patients!Q67+IF(Mild_testing_strategy="Targeted",Patients!Q77,Patients!Q73)&gt;MaxTestsPerDay*7,MaxTestsPerDay*7,Patients!Q67+IF(Mild_testing_strategy="Targeted",Patients!Q77,Patients!Q73))</f>
        <v>0</v>
      </c>
      <c r="R47" s="248">
        <f>IF(Patients!R67+IF(Mild_testing_strategy="Targeted",Patients!R77,Patients!R73)&gt;MaxTestsPerDay*7,MaxTestsPerDay*7,Patients!R67+IF(Mild_testing_strategy="Targeted",Patients!R77,Patients!R73))</f>
        <v>0</v>
      </c>
      <c r="S47" s="248">
        <f>IF(Patients!S67+IF(Mild_testing_strategy="Targeted",Patients!S77,Patients!S73)&gt;MaxTestsPerDay*7,MaxTestsPerDay*7,Patients!S67+IF(Mild_testing_strategy="Targeted",Patients!S77,Patients!S73))</f>
        <v>0</v>
      </c>
      <c r="T47" s="248">
        <f>IF(Patients!T67+IF(Mild_testing_strategy="Targeted",Patients!T77,Patients!T73)&gt;MaxTestsPerDay*7,MaxTestsPerDay*7,Patients!T67+IF(Mild_testing_strategy="Targeted",Patients!T77,Patients!T73))</f>
        <v>0</v>
      </c>
      <c r="U47" s="248">
        <f>IF(Patients!U67+IF(Mild_testing_strategy="Targeted",Patients!U77,Patients!U73)&gt;MaxTestsPerDay*7,MaxTestsPerDay*7,Patients!U67+IF(Mild_testing_strategy="Targeted",Patients!U77,Patients!U73))</f>
        <v>0</v>
      </c>
      <c r="V47" s="248">
        <f>IF(Patients!V67+IF(Mild_testing_strategy="Targeted",Patients!V77,Patients!V73)&gt;MaxTestsPerDay*7,MaxTestsPerDay*7,Patients!V67+IF(Mild_testing_strategy="Targeted",Patients!V77,Patients!V73))</f>
        <v>0</v>
      </c>
      <c r="W47" s="248">
        <f>IF(Patients!W67+IF(Mild_testing_strategy="Targeted",Patients!W77,Patients!W73)&gt;MaxTestsPerDay*7,MaxTestsPerDay*7,Patients!W67+IF(Mild_testing_strategy="Targeted",Patients!W77,Patients!W73))</f>
        <v>0</v>
      </c>
      <c r="X47" s="248">
        <f>IF(Patients!X67+IF(Mild_testing_strategy="Targeted",Patients!X77,Patients!X73)&gt;MaxTestsPerDay*7,MaxTestsPerDay*7,Patients!X67+IF(Mild_testing_strategy="Targeted",Patients!X77,Patients!X73))</f>
        <v>0</v>
      </c>
      <c r="Y47" s="248">
        <f>IF(Patients!Y67+IF(Mild_testing_strategy="Targeted",Patients!Y77,Patients!Y73)&gt;MaxTestsPerDay*7,MaxTestsPerDay*7,Patients!Y67+IF(Mild_testing_strategy="Targeted",Patients!Y77,Patients!Y73))</f>
        <v>0</v>
      </c>
      <c r="Z47" s="248">
        <f>IF(Patients!Z67+IF(Mild_testing_strategy="Targeted",Patients!Z77,Patients!Z73)&gt;MaxTestsPerDay*7,MaxTestsPerDay*7,Patients!Z67+IF(Mild_testing_strategy="Targeted",Patients!Z77,Patients!Z73))</f>
        <v>0</v>
      </c>
      <c r="AA47" s="248">
        <f>IF(Patients!AA67+IF(Mild_testing_strategy="Targeted",Patients!AA77,Patients!AA73)&gt;MaxTestsPerDay*7,MaxTestsPerDay*7,Patients!AA67+IF(Mild_testing_strategy="Targeted",Patients!AA77,Patients!AA73))</f>
        <v>0</v>
      </c>
      <c r="AB47" s="248">
        <f>IF(Patients!AB67+IF(Mild_testing_strategy="Targeted",Patients!AB77,Patients!AB73)&gt;MaxTestsPerDay*7,MaxTestsPerDay*7,Patients!AB67+IF(Mild_testing_strategy="Targeted",Patients!AB77,Patients!AB73))</f>
        <v>0</v>
      </c>
      <c r="AC47" s="248">
        <f>IF(Patients!AC67+IF(Mild_testing_strategy="Targeted",Patients!AC77,Patients!AC73)&gt;MaxTestsPerDay*7,MaxTestsPerDay*7,Patients!AC67+IF(Mild_testing_strategy="Targeted",Patients!AC77,Patients!AC73))</f>
        <v>0</v>
      </c>
      <c r="AD47" s="248">
        <f>IF(Patients!AD67+IF(Mild_testing_strategy="Targeted",Patients!AD77,Patients!AD73)&gt;MaxTestsPerDay*7,MaxTestsPerDay*7,Patients!AD67+IF(Mild_testing_strategy="Targeted",Patients!AD77,Patients!AD73))</f>
        <v>0</v>
      </c>
      <c r="AE47" s="248">
        <f>IF(Patients!AE67+IF(Mild_testing_strategy="Targeted",Patients!AE77,Patients!AE73)&gt;MaxTestsPerDay*7,MaxTestsPerDay*7,Patients!AE67+IF(Mild_testing_strategy="Targeted",Patients!AE77,Patients!AE73))</f>
        <v>0</v>
      </c>
      <c r="AF47" s="248">
        <f>IF(Patients!AF67+IF(Mild_testing_strategy="Targeted",Patients!AF77,Patients!AF73)&gt;MaxTestsPerDay*7,MaxTestsPerDay*7,Patients!AF67+IF(Mild_testing_strategy="Targeted",Patients!AF77,Patients!AF73))</f>
        <v>0</v>
      </c>
      <c r="AG47" s="248">
        <f>IF(Patients!AG67+IF(Mild_testing_strategy="Targeted",Patients!AG77,Patients!AG73)&gt;MaxTestsPerDay*7,MaxTestsPerDay*7,Patients!AG67+IF(Mild_testing_strategy="Targeted",Patients!AG77,Patients!AG73))</f>
        <v>0</v>
      </c>
      <c r="AH47" s="248">
        <f>IF(Patients!AH67+IF(Mild_testing_strategy="Targeted",Patients!AH77,Patients!AH73)&gt;MaxTestsPerDay*7,MaxTestsPerDay*7,Patients!AH67+IF(Mild_testing_strategy="Targeted",Patients!AH77,Patients!AH73))</f>
        <v>0</v>
      </c>
      <c r="AI47" s="248">
        <f>IF(Patients!AI67+IF(Mild_testing_strategy="Targeted",Patients!AI77,Patients!AI73)&gt;MaxTestsPerDay*7,MaxTestsPerDay*7,Patients!AI67+IF(Mild_testing_strategy="Targeted",Patients!AI77,Patients!AI73))</f>
        <v>0</v>
      </c>
      <c r="AJ47" s="248">
        <f>IF(Patients!AJ67+IF(Mild_testing_strategy="Targeted",Patients!AJ77,Patients!AJ73)&gt;MaxTestsPerDay*7,MaxTestsPerDay*7,Patients!AJ67+IF(Mild_testing_strategy="Targeted",Patients!AJ77,Patients!AJ73))</f>
        <v>0</v>
      </c>
      <c r="AK47" s="248">
        <f>IF(Patients!AK67+IF(Mild_testing_strategy="Targeted",Patients!AK77,Patients!AK73)&gt;MaxTestsPerDay*7,MaxTestsPerDay*7,Patients!AK67+IF(Mild_testing_strategy="Targeted",Patients!AK77,Patients!AK73))</f>
        <v>0</v>
      </c>
      <c r="AL47" s="248">
        <f>IF(Patients!AL67+IF(Mild_testing_strategy="Targeted",Patients!AL77,Patients!AL73)&gt;MaxTestsPerDay*7,MaxTestsPerDay*7,Patients!AL67+IF(Mild_testing_strategy="Targeted",Patients!AL77,Patients!AL73))</f>
        <v>0</v>
      </c>
      <c r="AM47" s="248">
        <f>IF(Patients!AM67+IF(Mild_testing_strategy="Targeted",Patients!AM77,Patients!AM73)&gt;MaxTestsPerDay*7,MaxTestsPerDay*7,Patients!AM67+IF(Mild_testing_strategy="Targeted",Patients!AM77,Patients!AM73))</f>
        <v>0</v>
      </c>
      <c r="AN47" s="248">
        <f>IF(Patients!AN67+IF(Mild_testing_strategy="Targeted",Patients!AN77,Patients!AN73)&gt;MaxTestsPerDay*7,MaxTestsPerDay*7,Patients!AN67+IF(Mild_testing_strategy="Targeted",Patients!AN77,Patients!AN73))</f>
        <v>0</v>
      </c>
      <c r="AO47" s="248">
        <f>IF(Patients!AO67+IF(Mild_testing_strategy="Targeted",Patients!AO77,Patients!AO73)&gt;MaxTestsPerDay*7,MaxTestsPerDay*7,Patients!AO67+IF(Mild_testing_strategy="Targeted",Patients!AO77,Patients!AO73))</f>
        <v>0</v>
      </c>
      <c r="AP47" s="248">
        <f>IF(Patients!AP67+IF(Mild_testing_strategy="Targeted",Patients!AP77,Patients!AP73)&gt;MaxTestsPerDay*7,MaxTestsPerDay*7,Patients!AP67+IF(Mild_testing_strategy="Targeted",Patients!AP77,Patients!AP73))</f>
        <v>0</v>
      </c>
      <c r="AQ47" s="248">
        <f>IF(Patients!AQ67+IF(Mild_testing_strategy="Targeted",Patients!AQ77,Patients!AQ73)&gt;MaxTestsPerDay*7,MaxTestsPerDay*7,Patients!AQ67+IF(Mild_testing_strategy="Targeted",Patients!AQ77,Patients!AQ73))</f>
        <v>0</v>
      </c>
      <c r="AR47" s="248">
        <f>IF(Patients!AR67+IF(Mild_testing_strategy="Targeted",Patients!AR77,Patients!AR73)&gt;MaxTestsPerDay*7,MaxTestsPerDay*7,Patients!AR67+IF(Mild_testing_strategy="Targeted",Patients!AR77,Patients!AR73))</f>
        <v>0</v>
      </c>
      <c r="AS47" s="248">
        <f>IF(Patients!AS67+IF(Mild_testing_strategy="Targeted",Patients!AS77,Patients!AS73)&gt;MaxTestsPerDay*7,MaxTestsPerDay*7,Patients!AS67+IF(Mild_testing_strategy="Targeted",Patients!AS77,Patients!AS73))</f>
        <v>0</v>
      </c>
      <c r="AT47" s="248">
        <f>IF(Patients!AT67+IF(Mild_testing_strategy="Targeted",Patients!AT77,Patients!AT73)&gt;MaxTestsPerDay*7,MaxTestsPerDay*7,Patients!AT67+IF(Mild_testing_strategy="Targeted",Patients!AT77,Patients!AT73))</f>
        <v>0</v>
      </c>
      <c r="AU47" s="248">
        <f>IF(Patients!AU67+IF(Mild_testing_strategy="Targeted",Patients!AU77,Patients!AU73)&gt;MaxTestsPerDay*7,MaxTestsPerDay*7,Patients!AU67+IF(Mild_testing_strategy="Targeted",Patients!AU77,Patients!AU73))</f>
        <v>0</v>
      </c>
      <c r="AV47" s="248">
        <f>IF(Patients!AV67+IF(Mild_testing_strategy="Targeted",Patients!AV77,Patients!AV73)&gt;MaxTestsPerDay*7,MaxTestsPerDay*7,Patients!AV67+IF(Mild_testing_strategy="Targeted",Patients!AV77,Patients!AV73))</f>
        <v>0</v>
      </c>
      <c r="AW47" s="248">
        <f>IF(Patients!AW67+IF(Mild_testing_strategy="Targeted",Patients!AW77,Patients!AW73)&gt;MaxTestsPerDay*7,MaxTestsPerDay*7,Patients!AW67+IF(Mild_testing_strategy="Targeted",Patients!AW77,Patients!AW73))</f>
        <v>0</v>
      </c>
      <c r="AX47" s="248">
        <f>IF(Patients!AX67+IF(Mild_testing_strategy="Targeted",Patients!AX77,Patients!AX73)&gt;MaxTestsPerDay*7,MaxTestsPerDay*7,Patients!AX67+IF(Mild_testing_strategy="Targeted",Patients!AX77,Patients!AX73))</f>
        <v>0</v>
      </c>
      <c r="AY47" s="248">
        <f>IF(Patients!AY67+IF(Mild_testing_strategy="Targeted",Patients!AY77,Patients!AY73)&gt;MaxTestsPerDay*7,MaxTestsPerDay*7,Patients!AY67+IF(Mild_testing_strategy="Targeted",Patients!AY77,Patients!AY73))</f>
        <v>0</v>
      </c>
      <c r="AZ47" s="248">
        <f>IF(Patients!AZ67+IF(Mild_testing_strategy="Targeted",Patients!AZ77,Patients!AZ73)&gt;MaxTestsPerDay*7,MaxTestsPerDay*7,Patients!AZ67+IF(Mild_testing_strategy="Targeted",Patients!AZ77,Patients!AZ73))</f>
        <v>0</v>
      </c>
      <c r="BA47" s="248">
        <f>IF(Patients!BA67+IF(Mild_testing_strategy="Targeted",Patients!BA77,Patients!BA73)&gt;MaxTestsPerDay*7,MaxTestsPerDay*7,Patients!BA67+IF(Mild_testing_strategy="Targeted",Patients!BA77,Patients!BA73))</f>
        <v>0</v>
      </c>
      <c r="BB47" s="248">
        <f>IF(Patients!BB67+IF(Mild_testing_strategy="Targeted",Patients!BB77,Patients!BB73)&gt;MaxTestsPerDay*7,MaxTestsPerDay*7,Patients!BB67+IF(Mild_testing_strategy="Targeted",Patients!BB77,Patients!BB73))</f>
        <v>0</v>
      </c>
      <c r="BC47" s="248">
        <f>IF(Patients!BC67+IF(Mild_testing_strategy="Targeted",Patients!BC77,Patients!BC73)&gt;MaxTestsPerDay*7,MaxTestsPerDay*7,Patients!BC67+IF(Mild_testing_strategy="Targeted",Patients!BC77,Patients!BC73))</f>
        <v>0</v>
      </c>
      <c r="BD47" s="248">
        <f>IF(Patients!BD67+IF(Mild_testing_strategy="Targeted",Patients!BD77,Patients!BD73)&gt;MaxTestsPerDay*7,MaxTestsPerDay*7,Patients!BD67+IF(Mild_testing_strategy="Targeted",Patients!BD77,Patients!BD73))</f>
        <v>0</v>
      </c>
      <c r="BF47" s="248">
        <f ca="1">SUMIFS($D47:$BD47,$D$15:$BD$15,"&lt;="&amp;WeekSuppliedUntil,$D$15:$BD$15,"&gt;="&amp;Start_week_for_forecasting)</f>
        <v>322517.5206073692</v>
      </c>
      <c r="BG47" s="20"/>
      <c r="BH47" s="248">
        <f t="array" aca="1" ref="BH47" ca="1">MAX(IF(D$15:BD$15&gt;=Start_week_for_forecasting,IF(D$15:BD$15&lt;=WeekSuppliedUntil,D47:BD47)))</f>
        <v>72596.878233162846</v>
      </c>
    </row>
    <row r="48" spans="1:60" x14ac:dyDescent="0.75">
      <c r="B48" s="42" t="s">
        <v>817</v>
      </c>
      <c r="C48" s="42"/>
      <c r="D48" s="245">
        <f t="shared" ref="D48:AI48" si="20">IFERROR(IF(D15&gt;WeekSuppliedUntil,0,IF(ROUNDUP(Total_labs*HCW_per_lab,0)&lt;$D$11,ROUNDUP(Total_labs*HCW_per_lab,0),$D$11)),"")</f>
        <v>312</v>
      </c>
      <c r="E48" s="1009">
        <f t="shared" si="20"/>
        <v>312</v>
      </c>
      <c r="F48" s="1009">
        <f t="shared" si="20"/>
        <v>312</v>
      </c>
      <c r="G48" s="1009">
        <f t="shared" si="20"/>
        <v>312</v>
      </c>
      <c r="H48" s="1009">
        <f t="shared" si="20"/>
        <v>312</v>
      </c>
      <c r="I48" s="1009">
        <f t="shared" si="20"/>
        <v>312</v>
      </c>
      <c r="J48" s="1009">
        <f t="shared" si="20"/>
        <v>312</v>
      </c>
      <c r="K48" s="1009">
        <f t="shared" si="20"/>
        <v>312</v>
      </c>
      <c r="L48" s="1009">
        <f t="shared" si="20"/>
        <v>312</v>
      </c>
      <c r="M48" s="1009">
        <f t="shared" si="20"/>
        <v>312</v>
      </c>
      <c r="N48" s="1009">
        <f t="shared" si="20"/>
        <v>312</v>
      </c>
      <c r="O48" s="1009">
        <f t="shared" si="20"/>
        <v>312</v>
      </c>
      <c r="P48" s="1009">
        <f t="shared" si="20"/>
        <v>312</v>
      </c>
      <c r="Q48" s="1009">
        <f t="shared" si="20"/>
        <v>0</v>
      </c>
      <c r="R48" s="1009">
        <f t="shared" si="20"/>
        <v>0</v>
      </c>
      <c r="S48" s="1009">
        <f t="shared" si="20"/>
        <v>0</v>
      </c>
      <c r="T48" s="1009">
        <f t="shared" si="20"/>
        <v>0</v>
      </c>
      <c r="U48" s="1009">
        <f t="shared" si="20"/>
        <v>0</v>
      </c>
      <c r="V48" s="1009">
        <f t="shared" si="20"/>
        <v>0</v>
      </c>
      <c r="W48" s="1009">
        <f t="shared" si="20"/>
        <v>0</v>
      </c>
      <c r="X48" s="1009">
        <f t="shared" si="20"/>
        <v>0</v>
      </c>
      <c r="Y48" s="1009">
        <f t="shared" si="20"/>
        <v>0</v>
      </c>
      <c r="Z48" s="1009">
        <f t="shared" si="20"/>
        <v>0</v>
      </c>
      <c r="AA48" s="1009">
        <f t="shared" si="20"/>
        <v>0</v>
      </c>
      <c r="AB48" s="1009">
        <f t="shared" si="20"/>
        <v>0</v>
      </c>
      <c r="AC48" s="1009">
        <f t="shared" si="20"/>
        <v>0</v>
      </c>
      <c r="AD48" s="1009">
        <f t="shared" si="20"/>
        <v>0</v>
      </c>
      <c r="AE48" s="1009">
        <f t="shared" si="20"/>
        <v>0</v>
      </c>
      <c r="AF48" s="1009">
        <f t="shared" si="20"/>
        <v>0</v>
      </c>
      <c r="AG48" s="1009">
        <f t="shared" si="20"/>
        <v>0</v>
      </c>
      <c r="AH48" s="1009">
        <f t="shared" si="20"/>
        <v>0</v>
      </c>
      <c r="AI48" s="1009">
        <f t="shared" si="20"/>
        <v>0</v>
      </c>
      <c r="AJ48" s="1009">
        <f t="shared" ref="AJ48:BD48" si="21">IFERROR(IF(AJ15&gt;WeekSuppliedUntil,0,IF(ROUNDUP(Total_labs*HCW_per_lab,0)&lt;$D$11,ROUNDUP(Total_labs*HCW_per_lab,0),$D$11)),"")</f>
        <v>0</v>
      </c>
      <c r="AK48" s="1009">
        <f t="shared" si="21"/>
        <v>0</v>
      </c>
      <c r="AL48" s="1009">
        <f t="shared" si="21"/>
        <v>0</v>
      </c>
      <c r="AM48" s="1009">
        <f t="shared" si="21"/>
        <v>0</v>
      </c>
      <c r="AN48" s="1009">
        <f t="shared" si="21"/>
        <v>0</v>
      </c>
      <c r="AO48" s="1009">
        <f t="shared" si="21"/>
        <v>0</v>
      </c>
      <c r="AP48" s="1009">
        <f t="shared" si="21"/>
        <v>0</v>
      </c>
      <c r="AQ48" s="1009">
        <f t="shared" si="21"/>
        <v>0</v>
      </c>
      <c r="AR48" s="1009">
        <f t="shared" si="21"/>
        <v>0</v>
      </c>
      <c r="AS48" s="1009">
        <f t="shared" si="21"/>
        <v>0</v>
      </c>
      <c r="AT48" s="1009">
        <f t="shared" si="21"/>
        <v>0</v>
      </c>
      <c r="AU48" s="1009">
        <f t="shared" si="21"/>
        <v>0</v>
      </c>
      <c r="AV48" s="1009">
        <f t="shared" si="21"/>
        <v>0</v>
      </c>
      <c r="AW48" s="1009">
        <f t="shared" si="21"/>
        <v>0</v>
      </c>
      <c r="AX48" s="1009">
        <f t="shared" si="21"/>
        <v>0</v>
      </c>
      <c r="AY48" s="1009">
        <f t="shared" si="21"/>
        <v>0</v>
      </c>
      <c r="AZ48" s="1009">
        <f t="shared" si="21"/>
        <v>0</v>
      </c>
      <c r="BA48" s="1009">
        <f t="shared" si="21"/>
        <v>0</v>
      </c>
      <c r="BB48" s="1009">
        <f t="shared" si="21"/>
        <v>0</v>
      </c>
      <c r="BC48" s="1009">
        <f t="shared" si="21"/>
        <v>0</v>
      </c>
      <c r="BD48" s="1009">
        <f t="shared" si="21"/>
        <v>0</v>
      </c>
      <c r="BF48" s="245">
        <f>SUMIFS($D48:$BD48,$D$15:$BD$15,"&lt;="&amp;WeekSuppliedUntil,$D$15:$BD$15,"&gt;="&amp;Start_week_for_forecasting)</f>
        <v>3744</v>
      </c>
      <c r="BH48" s="367">
        <f t="array" ref="BH48">MAX(IF(D$15:BD$15&gt;=Start_week_for_forecasting,IF(D$15:BD$15&lt;=WeekSuppliedUntil,D48:BD48)))</f>
        <v>312</v>
      </c>
    </row>
    <row r="49" spans="2:60" x14ac:dyDescent="0.75">
      <c r="B49" s="42" t="s">
        <v>844</v>
      </c>
      <c r="C49" s="42"/>
      <c r="D49" s="245">
        <f t="shared" ref="D49:AI49" si="22">IFERROR(IF(D15&gt;WeekSuppliedUntil,0,ROUNDUP((Total_labs)*Hygienists_per_lab,0)),"")</f>
        <v>110</v>
      </c>
      <c r="E49" s="1009">
        <f t="shared" si="22"/>
        <v>110</v>
      </c>
      <c r="F49" s="1009">
        <f t="shared" si="22"/>
        <v>110</v>
      </c>
      <c r="G49" s="1009">
        <f t="shared" si="22"/>
        <v>110</v>
      </c>
      <c r="H49" s="1009">
        <f t="shared" si="22"/>
        <v>110</v>
      </c>
      <c r="I49" s="1009">
        <f t="shared" si="22"/>
        <v>110</v>
      </c>
      <c r="J49" s="1009">
        <f t="shared" si="22"/>
        <v>110</v>
      </c>
      <c r="K49" s="1009">
        <f t="shared" si="22"/>
        <v>110</v>
      </c>
      <c r="L49" s="1009">
        <f t="shared" si="22"/>
        <v>110</v>
      </c>
      <c r="M49" s="1009">
        <f t="shared" si="22"/>
        <v>110</v>
      </c>
      <c r="N49" s="1009">
        <f t="shared" si="22"/>
        <v>110</v>
      </c>
      <c r="O49" s="1009">
        <f t="shared" si="22"/>
        <v>110</v>
      </c>
      <c r="P49" s="1009">
        <f t="shared" si="22"/>
        <v>110</v>
      </c>
      <c r="Q49" s="1009">
        <f t="shared" si="22"/>
        <v>0</v>
      </c>
      <c r="R49" s="1009">
        <f t="shared" si="22"/>
        <v>0</v>
      </c>
      <c r="S49" s="1009">
        <f t="shared" si="22"/>
        <v>0</v>
      </c>
      <c r="T49" s="1009">
        <f t="shared" si="22"/>
        <v>0</v>
      </c>
      <c r="U49" s="1009">
        <f t="shared" si="22"/>
        <v>0</v>
      </c>
      <c r="V49" s="1009">
        <f t="shared" si="22"/>
        <v>0</v>
      </c>
      <c r="W49" s="1009">
        <f t="shared" si="22"/>
        <v>0</v>
      </c>
      <c r="X49" s="1009">
        <f t="shared" si="22"/>
        <v>0</v>
      </c>
      <c r="Y49" s="1009">
        <f t="shared" si="22"/>
        <v>0</v>
      </c>
      <c r="Z49" s="1009">
        <f t="shared" si="22"/>
        <v>0</v>
      </c>
      <c r="AA49" s="1009">
        <f t="shared" si="22"/>
        <v>0</v>
      </c>
      <c r="AB49" s="1009">
        <f t="shared" si="22"/>
        <v>0</v>
      </c>
      <c r="AC49" s="1009">
        <f t="shared" si="22"/>
        <v>0</v>
      </c>
      <c r="AD49" s="1009">
        <f t="shared" si="22"/>
        <v>0</v>
      </c>
      <c r="AE49" s="1009">
        <f t="shared" si="22"/>
        <v>0</v>
      </c>
      <c r="AF49" s="1009">
        <f t="shared" si="22"/>
        <v>0</v>
      </c>
      <c r="AG49" s="1009">
        <f t="shared" si="22"/>
        <v>0</v>
      </c>
      <c r="AH49" s="1009">
        <f t="shared" si="22"/>
        <v>0</v>
      </c>
      <c r="AI49" s="1009">
        <f t="shared" si="22"/>
        <v>0</v>
      </c>
      <c r="AJ49" s="1009">
        <f t="shared" ref="AJ49:BD49" si="23">IFERROR(IF(AJ15&gt;WeekSuppliedUntil,0,ROUNDUP((Total_labs)*Hygienists_per_lab,0)),"")</f>
        <v>0</v>
      </c>
      <c r="AK49" s="1009">
        <f t="shared" si="23"/>
        <v>0</v>
      </c>
      <c r="AL49" s="1009">
        <f t="shared" si="23"/>
        <v>0</v>
      </c>
      <c r="AM49" s="1009">
        <f t="shared" si="23"/>
        <v>0</v>
      </c>
      <c r="AN49" s="1009">
        <f t="shared" si="23"/>
        <v>0</v>
      </c>
      <c r="AO49" s="1009">
        <f t="shared" si="23"/>
        <v>0</v>
      </c>
      <c r="AP49" s="1009">
        <f t="shared" si="23"/>
        <v>0</v>
      </c>
      <c r="AQ49" s="1009">
        <f t="shared" si="23"/>
        <v>0</v>
      </c>
      <c r="AR49" s="1009">
        <f t="shared" si="23"/>
        <v>0</v>
      </c>
      <c r="AS49" s="1009">
        <f t="shared" si="23"/>
        <v>0</v>
      </c>
      <c r="AT49" s="1009">
        <f t="shared" si="23"/>
        <v>0</v>
      </c>
      <c r="AU49" s="1009">
        <f t="shared" si="23"/>
        <v>0</v>
      </c>
      <c r="AV49" s="1009">
        <f t="shared" si="23"/>
        <v>0</v>
      </c>
      <c r="AW49" s="1009">
        <f t="shared" si="23"/>
        <v>0</v>
      </c>
      <c r="AX49" s="1009">
        <f t="shared" si="23"/>
        <v>0</v>
      </c>
      <c r="AY49" s="1009">
        <f t="shared" si="23"/>
        <v>0</v>
      </c>
      <c r="AZ49" s="1009">
        <f t="shared" si="23"/>
        <v>0</v>
      </c>
      <c r="BA49" s="1009">
        <f t="shared" si="23"/>
        <v>0</v>
      </c>
      <c r="BB49" s="1009">
        <f t="shared" si="23"/>
        <v>0</v>
      </c>
      <c r="BC49" s="1009">
        <f t="shared" si="23"/>
        <v>0</v>
      </c>
      <c r="BD49" s="1009">
        <f t="shared" si="23"/>
        <v>0</v>
      </c>
      <c r="BF49" s="245">
        <f>SUMIFS($D49:$BD49,$D$15:$BD$15,"&lt;="&amp;WeekSuppliedUntil,$D$15:$BD$15,"&gt;="&amp;Start_week_for_forecasting)</f>
        <v>1320</v>
      </c>
      <c r="BH49" s="367">
        <f t="array" ref="BH49">MAX(IF(D$15:BD$15&gt;=Start_week_for_forecasting,IF(D$15:BD$15&lt;=WeekSuppliedUntil,D49:BD49)))</f>
        <v>110</v>
      </c>
    </row>
    <row r="51" spans="2:60" x14ac:dyDescent="0.75">
      <c r="B51" s="6"/>
      <c r="C51" s="6"/>
    </row>
  </sheetData>
  <sheetProtection algorithmName="SHA-512" hashValue="amnALJYsW9LjWWX5JW00LjMWn+sCCjppAL3vORmtNJh7hQjkFPp/5IAa3PlYHgQd0ZUTPZBWKZ6HrTrvupdNbQ==" saltValue="ENrxyA7IlgN+Yc4uYzt59g==" spinCount="100000" sheet="1" objects="1" scenarios="1"/>
  <mergeCells count="2">
    <mergeCell ref="D17:BD17"/>
    <mergeCell ref="B4:K4"/>
  </mergeCells>
  <hyperlinks>
    <hyperlink ref="I5" location="'User Dashboard'!A1" display="Back to User Dashboard" xr:uid="{00000000-0004-0000-0900-000000000000}"/>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 operator="between" id="{CC5A7E75-AC1C-4BAA-9D57-F2805E5B4477}">
            <xm:f>'Back Calculations'!$C$123</xm:f>
            <xm:f>'Back Calculations'!$C$124</xm:f>
            <x14:dxf>
              <font>
                <color rgb="FF9C6500"/>
              </font>
              <fill>
                <patternFill>
                  <bgColor rgb="FFFFEB9C"/>
                </patternFill>
              </fill>
            </x14:dxf>
          </x14:cfRule>
          <xm:sqref>D15:BD15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2:BR87"/>
  <sheetViews>
    <sheetView showGridLines="0" zoomScale="80" zoomScaleNormal="80" workbookViewId="0"/>
  </sheetViews>
  <sheetFormatPr defaultColWidth="8.40625" defaultRowHeight="14.75" x14ac:dyDescent="0.75"/>
  <cols>
    <col min="1" max="1" width="3.40625" customWidth="1"/>
    <col min="2" max="2" width="9.40625" customWidth="1"/>
    <col min="3" max="3" width="54.40625" customWidth="1"/>
    <col min="4" max="4" width="18.40625" bestFit="1" customWidth="1"/>
    <col min="5" max="6" width="12" customWidth="1"/>
    <col min="7" max="14" width="13" customWidth="1"/>
    <col min="15" max="15" width="13.40625" customWidth="1"/>
    <col min="16" max="16" width="14.40625" customWidth="1"/>
    <col min="17" max="17" width="15.40625" customWidth="1"/>
    <col min="18" max="18" width="13.40625" customWidth="1"/>
    <col min="19" max="19" width="13.40625" style="43" customWidth="1"/>
    <col min="20" max="22" width="13.40625" customWidth="1"/>
    <col min="23" max="26" width="12.40625" customWidth="1"/>
    <col min="27" max="29" width="13.40625" customWidth="1"/>
    <col min="30" max="30" width="15" customWidth="1"/>
    <col min="31" max="32" width="15" style="43" customWidth="1"/>
    <col min="33" max="36" width="16.40625" style="43" customWidth="1"/>
    <col min="37" max="39" width="17.40625" style="43" customWidth="1"/>
    <col min="40" max="42" width="18.40625" style="43" customWidth="1"/>
    <col min="43" max="46" width="20.40625" style="43" customWidth="1"/>
    <col min="47" max="49" width="21.40625" style="43" customWidth="1"/>
    <col min="50" max="52" width="22.40625" style="43" customWidth="1"/>
    <col min="53" max="55" width="24.40625" style="43" customWidth="1"/>
    <col min="56" max="56" width="25.40625" style="43" customWidth="1"/>
    <col min="57" max="57" width="13" style="43" customWidth="1"/>
    <col min="58" max="58" width="18.26953125" style="43" customWidth="1"/>
    <col min="59" max="59" width="4.40625" style="43" customWidth="1"/>
    <col min="60" max="60" width="14.40625" style="43" customWidth="1"/>
    <col min="61" max="70" width="13" style="43" customWidth="1"/>
    <col min="72" max="72" width="23.40625" bestFit="1" customWidth="1"/>
    <col min="74" max="74" width="22.40625" bestFit="1" customWidth="1"/>
  </cols>
  <sheetData>
    <row r="2" spans="2:15" s="24" customFormat="1" ht="18.5" x14ac:dyDescent="0.9">
      <c r="B2" s="24" t="s">
        <v>748</v>
      </c>
      <c r="E2" s="25"/>
      <c r="F2" s="25"/>
      <c r="G2" s="25"/>
    </row>
    <row r="4" spans="2:15" x14ac:dyDescent="0.75">
      <c r="B4" s="1540" t="s">
        <v>998</v>
      </c>
      <c r="C4" s="1540"/>
      <c r="D4" s="1540"/>
      <c r="E4" s="1540"/>
      <c r="F4" s="1540"/>
      <c r="G4" s="1540"/>
      <c r="H4" s="1540"/>
      <c r="I4" s="1540"/>
      <c r="J4" s="1540"/>
      <c r="K4" s="1540"/>
      <c r="L4" s="68"/>
      <c r="M4" s="68"/>
      <c r="N4" s="68"/>
      <c r="O4" s="68"/>
    </row>
    <row r="5" spans="2:15" s="804" customFormat="1" x14ac:dyDescent="0.75">
      <c r="B5" s="965" t="s">
        <v>1612</v>
      </c>
      <c r="C5" s="958"/>
      <c r="D5" s="958"/>
      <c r="E5" s="958"/>
      <c r="F5" s="958"/>
      <c r="G5" s="1122" t="s">
        <v>1446</v>
      </c>
      <c r="H5" s="958"/>
      <c r="I5" s="958"/>
      <c r="J5" s="958"/>
      <c r="K5" s="958"/>
      <c r="L5" s="68"/>
      <c r="M5" s="68"/>
      <c r="N5" s="68"/>
      <c r="O5" s="68"/>
    </row>
    <row r="6" spans="2:15" ht="17.149999999999999" customHeight="1" x14ac:dyDescent="0.75">
      <c r="B6" s="68"/>
      <c r="C6" s="68"/>
      <c r="D6" s="68"/>
      <c r="E6" s="68"/>
      <c r="F6" s="68"/>
      <c r="G6" s="68"/>
      <c r="H6" s="68"/>
      <c r="I6" s="68"/>
      <c r="J6" s="68"/>
      <c r="K6" s="68"/>
      <c r="L6" s="68"/>
      <c r="M6" s="68"/>
      <c r="N6" s="68"/>
      <c r="O6" s="68"/>
    </row>
    <row r="7" spans="2:15" s="421" customFormat="1" x14ac:dyDescent="0.75">
      <c r="B7" s="422" t="s">
        <v>1103</v>
      </c>
      <c r="C7" s="422"/>
    </row>
    <row r="8" spans="2:15" s="26" customFormat="1" x14ac:dyDescent="0.75">
      <c r="B8" s="180" t="s">
        <v>1104</v>
      </c>
    </row>
    <row r="9" spans="2:15" s="43" customFormat="1" x14ac:dyDescent="0.75">
      <c r="B9" s="43" t="s">
        <v>1421</v>
      </c>
      <c r="D9" s="245">
        <f>IF(ISBLANK(Inputs!$I$98),Output_beds_in_country,Inputs!$I$98)</f>
        <v>36768</v>
      </c>
    </row>
    <row r="10" spans="2:15" s="43" customFormat="1" x14ac:dyDescent="0.75">
      <c r="B10" s="43" t="s">
        <v>1420</v>
      </c>
      <c r="D10" s="245">
        <f>((1-Inputs!I101)*Inputs!I98)</f>
        <v>22060.799999999999</v>
      </c>
      <c r="E10" s="252" t="s">
        <v>838</v>
      </c>
      <c r="L10" s="33"/>
    </row>
    <row r="11" spans="2:15" s="43" customFormat="1" x14ac:dyDescent="0.75">
      <c r="B11" s="43" t="s">
        <v>646</v>
      </c>
      <c r="D11" s="246">
        <f>D10-D12</f>
        <v>21185.721600000001</v>
      </c>
      <c r="E11" s="252" t="s">
        <v>1406</v>
      </c>
      <c r="H11" s="57"/>
    </row>
    <row r="12" spans="2:15" s="43" customFormat="1" x14ac:dyDescent="0.75">
      <c r="B12" s="43" t="s">
        <v>645</v>
      </c>
      <c r="D12" s="245">
        <f>IF(ISBLANK(Inputs!I103),$D$9*IF(Inputs!$E$35="Manual",'WB HCW &amp; Beds'!$BU$842,INDEX('WB HCW &amp; Beds'!$BQ$829:$BQ$1092,MATCH(Inputs!$E$35,'WB HCW &amp; Beds'!$B$829:$B$1092,0))/100),$D$9*Inputs!I103)</f>
        <v>875.0784000000001</v>
      </c>
      <c r="E12" s="253" t="s">
        <v>1405</v>
      </c>
      <c r="H12" s="57"/>
    </row>
    <row r="13" spans="2:15" s="132" customFormat="1" x14ac:dyDescent="0.75">
      <c r="D13" s="253"/>
      <c r="E13" s="253"/>
      <c r="H13" s="57"/>
    </row>
    <row r="14" spans="2:15" s="26" customFormat="1" hidden="1" x14ac:dyDescent="0.75">
      <c r="B14" s="180" t="s">
        <v>999</v>
      </c>
    </row>
    <row r="15" spans="2:15" s="132" customFormat="1" hidden="1" x14ac:dyDescent="0.75">
      <c r="B15" s="132" t="s">
        <v>1105</v>
      </c>
      <c r="D15" s="245"/>
      <c r="E15" s="423" t="s">
        <v>1106</v>
      </c>
      <c r="F15" s="424"/>
      <c r="G15" s="424"/>
      <c r="H15" s="57"/>
    </row>
    <row r="16" spans="2:15" s="132" customFormat="1" hidden="1" x14ac:dyDescent="0.75">
      <c r="D16" s="253"/>
      <c r="E16" s="253"/>
      <c r="H16" s="57"/>
    </row>
    <row r="17" spans="2:70" s="26" customFormat="1" hidden="1" x14ac:dyDescent="0.75">
      <c r="B17" s="180" t="s">
        <v>1111</v>
      </c>
    </row>
    <row r="18" spans="2:70" s="132" customFormat="1" hidden="1" x14ac:dyDescent="0.75">
      <c r="B18" s="132" t="s">
        <v>1105</v>
      </c>
      <c r="D18" s="245">
        <v>1000000000</v>
      </c>
      <c r="E18" s="423" t="s">
        <v>1106</v>
      </c>
      <c r="F18" s="424"/>
      <c r="G18" s="424"/>
      <c r="H18" s="57"/>
    </row>
    <row r="19" spans="2:70" hidden="1" x14ac:dyDescent="0.75">
      <c r="S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row>
    <row r="20" spans="2:70" s="26" customFormat="1" hidden="1" x14ac:dyDescent="0.75">
      <c r="B20" s="180" t="s">
        <v>1140</v>
      </c>
    </row>
    <row r="21" spans="2:70" s="132" customFormat="1" hidden="1" x14ac:dyDescent="0.75">
      <c r="B21" s="132" t="s">
        <v>1108</v>
      </c>
      <c r="D21" s="245"/>
      <c r="E21" s="423" t="s">
        <v>1106</v>
      </c>
      <c r="F21" s="424"/>
      <c r="G21" s="424"/>
      <c r="H21" s="57"/>
    </row>
    <row r="22" spans="2:70" s="132" customFormat="1" hidden="1" x14ac:dyDescent="0.75">
      <c r="B22" s="132" t="s">
        <v>1107</v>
      </c>
      <c r="D22" s="245"/>
      <c r="E22" s="423" t="s">
        <v>1106</v>
      </c>
      <c r="F22" s="424"/>
      <c r="G22" s="424"/>
      <c r="H22" s="57"/>
    </row>
    <row r="23" spans="2:70" s="132" customFormat="1" hidden="1" x14ac:dyDescent="0.75">
      <c r="D23" s="253"/>
      <c r="E23" s="253"/>
      <c r="H23" s="57"/>
    </row>
    <row r="24" spans="2:70" s="26" customFormat="1" hidden="1" x14ac:dyDescent="0.75">
      <c r="B24" s="180" t="s">
        <v>1109</v>
      </c>
    </row>
    <row r="25" spans="2:70" s="132" customFormat="1" hidden="1" x14ac:dyDescent="0.75">
      <c r="B25" s="132" t="s">
        <v>1110</v>
      </c>
      <c r="D25" s="245"/>
      <c r="E25" s="423" t="s">
        <v>1106</v>
      </c>
      <c r="F25" s="424"/>
      <c r="G25" s="424"/>
      <c r="H25" s="57"/>
    </row>
    <row r="26" spans="2:70" s="132" customFormat="1" hidden="1" x14ac:dyDescent="0.75">
      <c r="D26" s="253"/>
      <c r="E26" s="253"/>
      <c r="H26" s="57"/>
    </row>
    <row r="27" spans="2:70" s="43" customFormat="1" hidden="1" x14ac:dyDescent="0.75">
      <c r="E27" s="30"/>
    </row>
    <row r="28" spans="2:70" s="421" customFormat="1" x14ac:dyDescent="0.75">
      <c r="B28" s="422" t="s">
        <v>1123</v>
      </c>
      <c r="D28" s="1541" t="s">
        <v>1112</v>
      </c>
      <c r="E28" s="1541"/>
      <c r="F28" s="1541"/>
      <c r="G28" s="1541"/>
      <c r="H28" s="1541"/>
      <c r="I28" s="1541"/>
      <c r="J28" s="1541"/>
      <c r="K28" s="1541"/>
      <c r="L28" s="1541"/>
      <c r="M28" s="1541"/>
      <c r="N28" s="1541"/>
      <c r="O28" s="1541"/>
      <c r="P28" s="1541"/>
      <c r="Q28" s="557"/>
      <c r="R28" s="557"/>
      <c r="S28" s="557"/>
      <c r="T28" s="557"/>
      <c r="U28" s="557"/>
      <c r="V28" s="557"/>
      <c r="W28" s="557"/>
      <c r="X28" s="557"/>
      <c r="Y28" s="557"/>
      <c r="Z28" s="557"/>
      <c r="AA28" s="557"/>
      <c r="AB28" s="557"/>
      <c r="AC28" s="557"/>
      <c r="AD28" s="557"/>
      <c r="AE28" s="557"/>
      <c r="AF28" s="557"/>
      <c r="AG28" s="557"/>
      <c r="AH28" s="557"/>
      <c r="AI28" s="557"/>
      <c r="AJ28" s="557"/>
      <c r="AK28" s="557"/>
      <c r="AL28" s="557"/>
      <c r="AM28" s="557"/>
      <c r="AN28" s="557"/>
      <c r="AO28" s="557"/>
      <c r="AP28" s="557"/>
      <c r="AQ28" s="557"/>
      <c r="AR28" s="557"/>
      <c r="AS28" s="557"/>
      <c r="AT28" s="557"/>
      <c r="AU28" s="557"/>
      <c r="AV28" s="557"/>
      <c r="AW28" s="557"/>
      <c r="AX28" s="557"/>
      <c r="AY28" s="557"/>
      <c r="AZ28" s="557"/>
      <c r="BA28" s="557"/>
      <c r="BB28" s="557"/>
      <c r="BC28" s="557"/>
      <c r="BD28" s="557"/>
    </row>
    <row r="29" spans="2:70" s="6" customFormat="1" x14ac:dyDescent="0.75">
      <c r="B29" s="36"/>
      <c r="D29" s="972"/>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s="972"/>
      <c r="AM29" s="972"/>
      <c r="AN29" s="972"/>
      <c r="AO29" s="972"/>
      <c r="AP29" s="972"/>
      <c r="AQ29" s="972"/>
      <c r="AR29" s="972"/>
      <c r="AS29" s="972"/>
      <c r="AT29" s="972"/>
      <c r="AU29" s="972"/>
      <c r="AV29" s="972"/>
      <c r="AW29" s="972"/>
      <c r="AX29" s="972"/>
      <c r="AY29" s="972"/>
      <c r="AZ29" s="972"/>
      <c r="BA29" s="972"/>
      <c r="BB29" s="972"/>
      <c r="BC29" s="972"/>
      <c r="BD29" s="972"/>
    </row>
    <row r="30" spans="2:70" ht="29.5" x14ac:dyDescent="0.75">
      <c r="D30" s="28" t="s">
        <v>1673</v>
      </c>
      <c r="E30" s="971" t="s">
        <v>1672</v>
      </c>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c r="BF30"/>
      <c r="BG30"/>
      <c r="BH30"/>
      <c r="BI30"/>
      <c r="BJ30"/>
      <c r="BK30"/>
      <c r="BL30"/>
      <c r="BM30"/>
      <c r="BN30"/>
      <c r="BO30"/>
      <c r="BP30"/>
      <c r="BQ30"/>
      <c r="BR30"/>
    </row>
    <row r="31" spans="2:70" x14ac:dyDescent="0.75">
      <c r="D31" s="18">
        <v>0</v>
      </c>
      <c r="E31" s="18">
        <v>1</v>
      </c>
      <c r="F31" s="18">
        <v>2</v>
      </c>
      <c r="G31" s="18">
        <v>3</v>
      </c>
      <c r="H31" s="18">
        <v>4</v>
      </c>
      <c r="I31" s="17">
        <v>5</v>
      </c>
      <c r="J31" s="17">
        <v>6</v>
      </c>
      <c r="K31" s="17">
        <v>7</v>
      </c>
      <c r="L31" s="17">
        <v>8</v>
      </c>
      <c r="M31" s="18">
        <v>9</v>
      </c>
      <c r="N31" s="18">
        <v>10</v>
      </c>
      <c r="O31" s="18">
        <v>11</v>
      </c>
      <c r="P31" s="18">
        <v>12</v>
      </c>
      <c r="Q31" s="18">
        <v>13</v>
      </c>
      <c r="R31" s="18">
        <v>14</v>
      </c>
      <c r="S31" s="18">
        <v>15</v>
      </c>
      <c r="T31" s="18">
        <v>16</v>
      </c>
      <c r="U31" s="18">
        <v>17</v>
      </c>
      <c r="V31" s="18">
        <v>18</v>
      </c>
      <c r="W31" s="18">
        <v>19</v>
      </c>
      <c r="X31" s="18">
        <v>20</v>
      </c>
      <c r="Y31" s="18">
        <v>21</v>
      </c>
      <c r="Z31" s="18">
        <v>22</v>
      </c>
      <c r="AA31" s="18">
        <v>23</v>
      </c>
      <c r="AB31" s="18">
        <v>24</v>
      </c>
      <c r="AC31" s="18">
        <v>25</v>
      </c>
      <c r="AD31" s="18">
        <v>26</v>
      </c>
      <c r="AE31" s="18">
        <v>27</v>
      </c>
      <c r="AF31" s="18">
        <v>28</v>
      </c>
      <c r="AG31" s="18">
        <v>29</v>
      </c>
      <c r="AH31" s="18">
        <v>30</v>
      </c>
      <c r="AI31" s="18">
        <v>31</v>
      </c>
      <c r="AJ31" s="18">
        <v>32</v>
      </c>
      <c r="AK31" s="18">
        <v>33</v>
      </c>
      <c r="AL31" s="18">
        <v>34</v>
      </c>
      <c r="AM31" s="18">
        <v>35</v>
      </c>
      <c r="AN31" s="18">
        <v>36</v>
      </c>
      <c r="AO31" s="18">
        <v>37</v>
      </c>
      <c r="AP31" s="18">
        <v>38</v>
      </c>
      <c r="AQ31" s="18">
        <v>39</v>
      </c>
      <c r="AR31" s="18">
        <v>40</v>
      </c>
      <c r="AS31" s="18">
        <v>41</v>
      </c>
      <c r="AT31" s="18">
        <v>42</v>
      </c>
      <c r="AU31" s="18">
        <v>43</v>
      </c>
      <c r="AV31" s="18">
        <v>44</v>
      </c>
      <c r="AW31" s="18">
        <v>45</v>
      </c>
      <c r="AX31" s="18">
        <v>46</v>
      </c>
      <c r="AY31" s="18">
        <v>47</v>
      </c>
      <c r="AZ31" s="18">
        <v>48</v>
      </c>
      <c r="BA31" s="18">
        <v>49</v>
      </c>
      <c r="BB31" s="18">
        <v>50</v>
      </c>
      <c r="BC31" s="18">
        <v>51</v>
      </c>
      <c r="BD31" s="18">
        <v>52</v>
      </c>
      <c r="BE31"/>
      <c r="BF31" s="18" t="s">
        <v>601</v>
      </c>
      <c r="BG31"/>
      <c r="BH31"/>
      <c r="BI31"/>
      <c r="BJ31"/>
      <c r="BK31"/>
      <c r="BL31"/>
      <c r="BM31"/>
      <c r="BN31"/>
      <c r="BO31"/>
      <c r="BP31"/>
      <c r="BQ31"/>
      <c r="BR31"/>
    </row>
    <row r="32" spans="2:70" s="26" customFormat="1" x14ac:dyDescent="0.75">
      <c r="C32" s="180" t="s">
        <v>660</v>
      </c>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F32" s="251"/>
    </row>
    <row r="33" spans="1:70" x14ac:dyDescent="0.75">
      <c r="A33" s="6"/>
      <c r="B33" s="6"/>
      <c r="C33" s="6" t="s">
        <v>1113</v>
      </c>
      <c r="D33" s="246">
        <f>IFERROR(VLOOKUP(D$31,'Patient Calcs'!$B13:$D65,3,FALSE),0)</f>
        <v>1</v>
      </c>
      <c r="E33" s="246">
        <f>IFERROR(VLOOKUP(E$31,'Patient Calcs'!$B13:$D65,3,FALSE),0)</f>
        <v>2.9803873923966009</v>
      </c>
      <c r="F33" s="246">
        <f>IFERROR(VLOOKUP(F$31,'Patient Calcs'!$B13:$D65,3,FALSE),0)</f>
        <v>10.242124866675805</v>
      </c>
      <c r="G33" s="246">
        <f>IFERROR(VLOOKUP(G$31,'Patient Calcs'!$B13:$D65,3,FALSE),0)</f>
        <v>35.196797305648218</v>
      </c>
      <c r="H33" s="246">
        <f>IFERROR(VLOOKUP(H$31,'Patient Calcs'!$B13:$D65,3,FALSE),0)</f>
        <v>120.94879952740592</v>
      </c>
      <c r="I33" s="246">
        <f>IFERROR(VLOOKUP(I$31,'Patient Calcs'!$B13:$D65,3,FALSE),0)</f>
        <v>415.57516064540209</v>
      </c>
      <c r="J33" s="246">
        <f>IFERROR(VLOOKUP(J$31,'Patient Calcs'!$B13:$D65,3,FALSE),0)</f>
        <v>1427.3302173325596</v>
      </c>
      <c r="K33" s="246">
        <f>IFERROR(VLOOKUP(K$31,'Patient Calcs'!$B13:$D65,3,FALSE),0)</f>
        <v>4895.5881375156223</v>
      </c>
      <c r="L33" s="246">
        <f>IFERROR(VLOOKUP(L$31,'Patient Calcs'!$B13:$D65,3,FALSE),0)</f>
        <v>16712.780367833751</v>
      </c>
      <c r="M33" s="246">
        <f>IFERROR(VLOOKUP(M$31,'Patient Calcs'!$B13:$D65,3,FALSE),0)</f>
        <v>56152.276583894854</v>
      </c>
      <c r="N33" s="246">
        <f>IFERROR(VLOOKUP(N$31,'Patient Calcs'!$B13:$D65,3,FALSE),0)</f>
        <v>178945.24920951904</v>
      </c>
      <c r="O33" s="246">
        <f>IFERROR(VLOOKUP(O$31,'Patient Calcs'!$B13:$D65,3,FALSE),0)</f>
        <v>484964.45144418534</v>
      </c>
      <c r="P33" s="246">
        <f>IFERROR(VLOOKUP(P$31,'Patient Calcs'!$B13:$D65,3,FALSE),0)</f>
        <v>880131.5692316459</v>
      </c>
      <c r="Q33" s="246">
        <f>IFERROR(VLOOKUP(Q$31,'Patient Calcs'!$B13:$D65,3,FALSE),0)</f>
        <v>0</v>
      </c>
      <c r="R33" s="246">
        <f>IFERROR(VLOOKUP(R$31,'Patient Calcs'!$B13:$D65,3,FALSE),0)</f>
        <v>0</v>
      </c>
      <c r="S33" s="246">
        <f>IFERROR(VLOOKUP(S$31,'Patient Calcs'!$B13:$D65,3,FALSE),0)</f>
        <v>0</v>
      </c>
      <c r="T33" s="246">
        <f>IFERROR(VLOOKUP(T$31,'Patient Calcs'!$B13:$D65,3,FALSE),0)</f>
        <v>0</v>
      </c>
      <c r="U33" s="246">
        <f>IFERROR(VLOOKUP(U$31,'Patient Calcs'!$B13:$D65,3,FALSE),0)</f>
        <v>0</v>
      </c>
      <c r="V33" s="246">
        <f>IFERROR(VLOOKUP(V$31,'Patient Calcs'!$B13:$D65,3,FALSE),0)</f>
        <v>0</v>
      </c>
      <c r="W33" s="246">
        <f>IFERROR(VLOOKUP(W$31,'Patient Calcs'!$B13:$D65,3,FALSE),0)</f>
        <v>0</v>
      </c>
      <c r="X33" s="246">
        <f>IFERROR(VLOOKUP(X$31,'Patient Calcs'!$B13:$D65,3,FALSE),0)</f>
        <v>0</v>
      </c>
      <c r="Y33" s="246">
        <f>IFERROR(VLOOKUP(Y$31,'Patient Calcs'!$B13:$D65,3,FALSE),0)</f>
        <v>0</v>
      </c>
      <c r="Z33" s="246">
        <f>IFERROR(VLOOKUP(Z$31,'Patient Calcs'!$B13:$D65,3,FALSE),0)</f>
        <v>0</v>
      </c>
      <c r="AA33" s="246">
        <f>IFERROR(VLOOKUP(AA$31,'Patient Calcs'!$B13:$D65,3,FALSE),0)</f>
        <v>0</v>
      </c>
      <c r="AB33" s="246">
        <f>IFERROR(VLOOKUP(AB$31,'Patient Calcs'!$B13:$D65,3,FALSE),0)</f>
        <v>0</v>
      </c>
      <c r="AC33" s="246">
        <f>IFERROR(VLOOKUP(AC$31,'Patient Calcs'!$B13:$D65,3,FALSE),0)</f>
        <v>0</v>
      </c>
      <c r="AD33" s="246">
        <f>IFERROR(VLOOKUP(AD$31,'Patient Calcs'!$B13:$D65,3,FALSE),0)</f>
        <v>0</v>
      </c>
      <c r="AE33" s="246">
        <f>IFERROR(VLOOKUP(AE$31,'Patient Calcs'!$B13:$D65,3,FALSE),0)</f>
        <v>0</v>
      </c>
      <c r="AF33" s="246">
        <f>IFERROR(VLOOKUP(AF$31,'Patient Calcs'!$B13:$D65,3,FALSE),0)</f>
        <v>0</v>
      </c>
      <c r="AG33" s="246">
        <f>IFERROR(VLOOKUP(AG$31,'Patient Calcs'!$B13:$D65,3,FALSE),0)</f>
        <v>0</v>
      </c>
      <c r="AH33" s="246">
        <f>IFERROR(VLOOKUP(AH$31,'Patient Calcs'!$B13:$D65,3,FALSE),0)</f>
        <v>0</v>
      </c>
      <c r="AI33" s="246">
        <f>IFERROR(VLOOKUP(AI$31,'Patient Calcs'!$B13:$D65,3,FALSE),0)</f>
        <v>0</v>
      </c>
      <c r="AJ33" s="246">
        <f>IFERROR(VLOOKUP(AJ$31,'Patient Calcs'!$B13:$D65,3,FALSE),0)</f>
        <v>0</v>
      </c>
      <c r="AK33" s="246">
        <f>IFERROR(VLOOKUP(AK$31,'Patient Calcs'!$B13:$D65,3,FALSE),0)</f>
        <v>0</v>
      </c>
      <c r="AL33" s="246">
        <f>IFERROR(VLOOKUP(AL$31,'Patient Calcs'!$B13:$D65,3,FALSE),0)</f>
        <v>0</v>
      </c>
      <c r="AM33" s="246">
        <f>IFERROR(VLOOKUP(AM$31,'Patient Calcs'!$B13:$D65,3,FALSE),0)</f>
        <v>0</v>
      </c>
      <c r="AN33" s="246">
        <f>IFERROR(VLOOKUP(AN$31,'Patient Calcs'!$B13:$D65,3,FALSE),0)</f>
        <v>0</v>
      </c>
      <c r="AO33" s="246">
        <f>IFERROR(VLOOKUP(AO$31,'Patient Calcs'!$B13:$D65,3,FALSE),0)</f>
        <v>0</v>
      </c>
      <c r="AP33" s="246">
        <f>IFERROR(VLOOKUP(AP$31,'Patient Calcs'!$B13:$D65,3,FALSE),0)</f>
        <v>0</v>
      </c>
      <c r="AQ33" s="246">
        <f>IFERROR(VLOOKUP(AQ$31,'Patient Calcs'!$B13:$D65,3,FALSE),0)</f>
        <v>0</v>
      </c>
      <c r="AR33" s="246">
        <f>IFERROR(VLOOKUP(AR$31,'Patient Calcs'!$B13:$D65,3,FALSE),0)</f>
        <v>0</v>
      </c>
      <c r="AS33" s="246">
        <f>IFERROR(VLOOKUP(AS$31,'Patient Calcs'!$B13:$D65,3,FALSE),0)</f>
        <v>0</v>
      </c>
      <c r="AT33" s="246">
        <f>IFERROR(VLOOKUP(AT$31,'Patient Calcs'!$B13:$D65,3,FALSE),0)</f>
        <v>0</v>
      </c>
      <c r="AU33" s="246">
        <f>IFERROR(VLOOKUP(AU$31,'Patient Calcs'!$B13:$D65,3,FALSE),0)</f>
        <v>0</v>
      </c>
      <c r="AV33" s="246">
        <f>IFERROR(VLOOKUP(AV$31,'Patient Calcs'!$B13:$D65,3,FALSE),0)</f>
        <v>0</v>
      </c>
      <c r="AW33" s="246">
        <f>IFERROR(VLOOKUP(AW$31,'Patient Calcs'!$B13:$D65,3,FALSE),0)</f>
        <v>0</v>
      </c>
      <c r="AX33" s="246">
        <f>IFERROR(VLOOKUP(AX$31,'Patient Calcs'!$B13:$D65,3,FALSE),0)</f>
        <v>0</v>
      </c>
      <c r="AY33" s="246">
        <f>IFERROR(VLOOKUP(AY$31,'Patient Calcs'!$B13:$D65,3,FALSE),0)</f>
        <v>0</v>
      </c>
      <c r="AZ33" s="246">
        <f>IFERROR(VLOOKUP(AZ$31,'Patient Calcs'!$B13:$D65,3,FALSE),0)</f>
        <v>0</v>
      </c>
      <c r="BA33" s="246">
        <f>IFERROR(VLOOKUP(BA$31,'Patient Calcs'!$B13:$D65,3,FALSE),0)</f>
        <v>0</v>
      </c>
      <c r="BB33" s="246">
        <f>IFERROR(VLOOKUP(BB$31,'Patient Calcs'!$B13:$D65,3,FALSE),0)</f>
        <v>0</v>
      </c>
      <c r="BC33" s="246">
        <f>IFERROR(VLOOKUP(BC$31,'Patient Calcs'!$B13:$D65,3,FALSE),0)</f>
        <v>0</v>
      </c>
      <c r="BD33" s="246">
        <f>IFERROR(VLOOKUP(BD$31,'Patient Calcs'!$B13:$D65,3,FALSE),0)</f>
        <v>0</v>
      </c>
      <c r="BE33" s="30"/>
      <c r="BF33" s="249">
        <f t="shared" ref="BF33:BF42" si="0">SUMIFS($D33:$BD33,$D$31:$BD$31,"&lt;="&amp;WeekSuppliedUntil,$D$31:$BD$31,"&gt;="&amp;Start_week_for_forecasting)</f>
        <v>1623814.1884616646</v>
      </c>
      <c r="BG33"/>
      <c r="BH33" s="245">
        <f t="array" ref="BH33">MAX(IF(D$31:BD$31&gt;=Start_week_for_forecasting,IF(D$31:BD$31&lt;=WeekSuppliedUntil,D33:BD33)))</f>
        <v>880131.5692316459</v>
      </c>
      <c r="BI33"/>
      <c r="BJ33"/>
      <c r="BK33"/>
      <c r="BL33"/>
      <c r="BM33"/>
      <c r="BN33"/>
      <c r="BO33"/>
      <c r="BP33"/>
      <c r="BQ33"/>
      <c r="BR33"/>
    </row>
    <row r="34" spans="1:70" x14ac:dyDescent="0.75">
      <c r="C34" s="6" t="s">
        <v>304</v>
      </c>
      <c r="D34" s="246">
        <f>IFERROR(VLOOKUP(D$31,'Patient Calcs'!$B13:$F65,5,FALSE),0)</f>
        <v>0.4</v>
      </c>
      <c r="E34" s="246">
        <f>IFERROR(VLOOKUP(E$31,'Patient Calcs'!$B13:$F65,5,FALSE),0)</f>
        <v>1.1921549569586405</v>
      </c>
      <c r="F34" s="246">
        <f>IFERROR(VLOOKUP(F$31,'Patient Calcs'!$B13:$F65,5,FALSE),0)</f>
        <v>4.0968499466703223</v>
      </c>
      <c r="G34" s="246">
        <f>IFERROR(VLOOKUP(G$31,'Patient Calcs'!$B13:$F65,5,FALSE),0)</f>
        <v>14.078718922259288</v>
      </c>
      <c r="H34" s="246">
        <f>IFERROR(VLOOKUP(H$31,'Patient Calcs'!$B13:$F65,5,FALSE),0)</f>
        <v>48.379519810962371</v>
      </c>
      <c r="I34" s="246">
        <f>IFERROR(VLOOKUP(I$31,'Patient Calcs'!$B13:$F65,5,FALSE),0)</f>
        <v>166.23006425816084</v>
      </c>
      <c r="J34" s="246">
        <f>IFERROR(VLOOKUP(J$31,'Patient Calcs'!$B13:$F65,5,FALSE),0)</f>
        <v>570.93208693302392</v>
      </c>
      <c r="K34" s="246">
        <f>IFERROR(VLOOKUP(K$31,'Patient Calcs'!$B13:$F65,5,FALSE),0)</f>
        <v>1958.235255006249</v>
      </c>
      <c r="L34" s="246">
        <f>IFERROR(VLOOKUP(L$31,'Patient Calcs'!$B13:$F65,5,FALSE),0)</f>
        <v>6685.1121471335009</v>
      </c>
      <c r="M34" s="246">
        <f>IFERROR(VLOOKUP(M$31,'Patient Calcs'!$B13:$F65,5,FALSE),0)</f>
        <v>22460.910633557942</v>
      </c>
      <c r="N34" s="246">
        <f>IFERROR(VLOOKUP(N$31,'Patient Calcs'!$B13:$F65,5,FALSE),0)</f>
        <v>71578.099683807624</v>
      </c>
      <c r="O34" s="246">
        <f>IFERROR(VLOOKUP(O$31,'Patient Calcs'!$B13:$F65,5,FALSE),0)</f>
        <v>193985.78057767416</v>
      </c>
      <c r="P34" s="246">
        <f>IFERROR(VLOOKUP(P$31,'Patient Calcs'!$B13:$F65,5,FALSE),0)</f>
        <v>352052.6276926584</v>
      </c>
      <c r="Q34" s="246">
        <f>IFERROR(VLOOKUP(Q$31,'Patient Calcs'!$B13:$F65,5,FALSE),0)</f>
        <v>0</v>
      </c>
      <c r="R34" s="246">
        <f>IFERROR(VLOOKUP(R$31,'Patient Calcs'!$B13:$F65,5,FALSE),0)</f>
        <v>0</v>
      </c>
      <c r="S34" s="246">
        <f>IFERROR(VLOOKUP(S$31,'Patient Calcs'!$B13:$F65,5,FALSE),0)</f>
        <v>0</v>
      </c>
      <c r="T34" s="246">
        <f>IFERROR(VLOOKUP(T$31,'Patient Calcs'!$B13:$F65,5,FALSE),0)</f>
        <v>0</v>
      </c>
      <c r="U34" s="246">
        <f>IFERROR(VLOOKUP(U$31,'Patient Calcs'!$B13:$F65,5,FALSE),0)</f>
        <v>0</v>
      </c>
      <c r="V34" s="246">
        <f>IFERROR(VLOOKUP(V$31,'Patient Calcs'!$B13:$F65,5,FALSE),0)</f>
        <v>0</v>
      </c>
      <c r="W34" s="246">
        <f>IFERROR(VLOOKUP(W$31,'Patient Calcs'!$B13:$F65,5,FALSE),0)</f>
        <v>0</v>
      </c>
      <c r="X34" s="246">
        <f>IFERROR(VLOOKUP(X$31,'Patient Calcs'!$B13:$F65,5,FALSE),0)</f>
        <v>0</v>
      </c>
      <c r="Y34" s="246">
        <f>IFERROR(VLOOKUP(Y$31,'Patient Calcs'!$B13:$F65,5,FALSE),0)</f>
        <v>0</v>
      </c>
      <c r="Z34" s="246">
        <f>IFERROR(VLOOKUP(Z$31,'Patient Calcs'!$B13:$F65,5,FALSE),0)</f>
        <v>0</v>
      </c>
      <c r="AA34" s="246">
        <f>IFERROR(VLOOKUP(AA$31,'Patient Calcs'!$B13:$F65,5,FALSE),0)</f>
        <v>0</v>
      </c>
      <c r="AB34" s="246">
        <f>IFERROR(VLOOKUP(AB$31,'Patient Calcs'!$B13:$F65,5,FALSE),0)</f>
        <v>0</v>
      </c>
      <c r="AC34" s="246">
        <f>IFERROR(VLOOKUP(AC$31,'Patient Calcs'!$B13:$F65,5,FALSE),0)</f>
        <v>0</v>
      </c>
      <c r="AD34" s="246">
        <f>IFERROR(VLOOKUP(AD$31,'Patient Calcs'!$B13:$F65,5,FALSE),0)</f>
        <v>0</v>
      </c>
      <c r="AE34" s="246">
        <f>IFERROR(VLOOKUP(AE$31,'Patient Calcs'!$B13:$F65,5,FALSE),0)</f>
        <v>0</v>
      </c>
      <c r="AF34" s="246">
        <f>IFERROR(VLOOKUP(AF$31,'Patient Calcs'!$B13:$F65,5,FALSE),0)</f>
        <v>0</v>
      </c>
      <c r="AG34" s="246">
        <f>IFERROR(VLOOKUP(AG$31,'Patient Calcs'!$B13:$F65,5,FALSE),0)</f>
        <v>0</v>
      </c>
      <c r="AH34" s="246">
        <f>IFERROR(VLOOKUP(AH$31,'Patient Calcs'!$B13:$F65,5,FALSE),0)</f>
        <v>0</v>
      </c>
      <c r="AI34" s="246">
        <f>IFERROR(VLOOKUP(AI$31,'Patient Calcs'!$B13:$F65,5,FALSE),0)</f>
        <v>0</v>
      </c>
      <c r="AJ34" s="246">
        <f>IFERROR(VLOOKUP(AJ$31,'Patient Calcs'!$B13:$F65,5,FALSE),0)</f>
        <v>0</v>
      </c>
      <c r="AK34" s="246">
        <f>IFERROR(VLOOKUP(AK$31,'Patient Calcs'!$B13:$F65,5,FALSE),0)</f>
        <v>0</v>
      </c>
      <c r="AL34" s="246">
        <f>IFERROR(VLOOKUP(AL$31,'Patient Calcs'!$B13:$F65,5,FALSE),0)</f>
        <v>0</v>
      </c>
      <c r="AM34" s="246">
        <f>IFERROR(VLOOKUP(AM$31,'Patient Calcs'!$B13:$F65,5,FALSE),0)</f>
        <v>0</v>
      </c>
      <c r="AN34" s="246">
        <f>IFERROR(VLOOKUP(AN$31,'Patient Calcs'!$B13:$F65,5,FALSE),0)</f>
        <v>0</v>
      </c>
      <c r="AO34" s="246">
        <f>IFERROR(VLOOKUP(AO$31,'Patient Calcs'!$B13:$F65,5,FALSE),0)</f>
        <v>0</v>
      </c>
      <c r="AP34" s="246">
        <f>IFERROR(VLOOKUP(AP$31,'Patient Calcs'!$B13:$F65,5,FALSE),0)</f>
        <v>0</v>
      </c>
      <c r="AQ34" s="246">
        <f>IFERROR(VLOOKUP(AQ$31,'Patient Calcs'!$B13:$F65,5,FALSE),0)</f>
        <v>0</v>
      </c>
      <c r="AR34" s="246">
        <f>IFERROR(VLOOKUP(AR$31,'Patient Calcs'!$B13:$F65,5,FALSE),0)</f>
        <v>0</v>
      </c>
      <c r="AS34" s="246">
        <f>IFERROR(VLOOKUP(AS$31,'Patient Calcs'!$B13:$F65,5,FALSE),0)</f>
        <v>0</v>
      </c>
      <c r="AT34" s="246">
        <f>IFERROR(VLOOKUP(AT$31,'Patient Calcs'!$B13:$F65,5,FALSE),0)</f>
        <v>0</v>
      </c>
      <c r="AU34" s="246">
        <f>IFERROR(VLOOKUP(AU$31,'Patient Calcs'!$B13:$F65,5,FALSE),0)</f>
        <v>0</v>
      </c>
      <c r="AV34" s="246">
        <f>IFERROR(VLOOKUP(AV$31,'Patient Calcs'!$B13:$F65,5,FALSE),0)</f>
        <v>0</v>
      </c>
      <c r="AW34" s="246">
        <f>IFERROR(VLOOKUP(AW$31,'Patient Calcs'!$B13:$F65,5,FALSE),0)</f>
        <v>0</v>
      </c>
      <c r="AX34" s="246">
        <f>IFERROR(VLOOKUP(AX$31,'Patient Calcs'!$B13:$F65,5,FALSE),0)</f>
        <v>0</v>
      </c>
      <c r="AY34" s="246">
        <f>IFERROR(VLOOKUP(AY$31,'Patient Calcs'!$B13:$F65,5,FALSE),0)</f>
        <v>0</v>
      </c>
      <c r="AZ34" s="246">
        <f>IFERROR(VLOOKUP(AZ$31,'Patient Calcs'!$B13:$F65,5,FALSE),0)</f>
        <v>0</v>
      </c>
      <c r="BA34" s="246">
        <f>IFERROR(VLOOKUP(BA$31,'Patient Calcs'!$B13:$F65,5,FALSE),0)</f>
        <v>0</v>
      </c>
      <c r="BB34" s="246">
        <f>IFERROR(VLOOKUP(BB$31,'Patient Calcs'!$B13:$F65,5,FALSE),0)</f>
        <v>0</v>
      </c>
      <c r="BC34" s="246">
        <f>IFERROR(VLOOKUP(BC$31,'Patient Calcs'!$B13:$F65,5,FALSE),0)</f>
        <v>0</v>
      </c>
      <c r="BD34" s="246">
        <f>IFERROR(VLOOKUP(BD$31,'Patient Calcs'!$B13:$F65,5,FALSE),0)</f>
        <v>0</v>
      </c>
      <c r="BE34" s="30"/>
      <c r="BF34" s="249">
        <f t="shared" si="0"/>
        <v>649525.67538466584</v>
      </c>
      <c r="BG34"/>
      <c r="BH34"/>
      <c r="BI34"/>
      <c r="BJ34"/>
      <c r="BK34"/>
      <c r="BL34"/>
      <c r="BM34"/>
      <c r="BN34"/>
      <c r="BO34"/>
      <c r="BP34"/>
      <c r="BQ34"/>
      <c r="BR34"/>
    </row>
    <row r="35" spans="1:70" s="132" customFormat="1" x14ac:dyDescent="0.75">
      <c r="C35" s="6" t="s">
        <v>989</v>
      </c>
      <c r="D35" s="246">
        <f>IFERROR(VLOOKUP(D$31,'Patient Calcs'!$B13:$H65,7,FALSE),0)</f>
        <v>0.4</v>
      </c>
      <c r="E35" s="246">
        <f>IFERROR(VLOOKUP(E$31,'Patient Calcs'!$B13:$H65,7,FALSE),0)</f>
        <v>1.1921549569586405</v>
      </c>
      <c r="F35" s="246">
        <f>IFERROR(VLOOKUP(F$31,'Patient Calcs'!$B13:$H65,7,FALSE),0)</f>
        <v>4.0968499466703223</v>
      </c>
      <c r="G35" s="246">
        <f>IFERROR(VLOOKUP(G$31,'Patient Calcs'!$B13:$H65,7,FALSE),0)</f>
        <v>14.078718922259288</v>
      </c>
      <c r="H35" s="246">
        <f>IFERROR(VLOOKUP(H$31,'Patient Calcs'!$B13:$H65,7,FALSE),0)</f>
        <v>48.379519810962371</v>
      </c>
      <c r="I35" s="246">
        <f>IFERROR(VLOOKUP(I$31,'Patient Calcs'!$B13:$H65,7,FALSE),0)</f>
        <v>166.23006425816084</v>
      </c>
      <c r="J35" s="246">
        <f>IFERROR(VLOOKUP(J$31,'Patient Calcs'!$B13:$H65,7,FALSE),0)</f>
        <v>570.93208693302392</v>
      </c>
      <c r="K35" s="246">
        <f>IFERROR(VLOOKUP(K$31,'Patient Calcs'!$B13:$H65,7,FALSE),0)</f>
        <v>1958.235255006249</v>
      </c>
      <c r="L35" s="246">
        <f>IFERROR(VLOOKUP(L$31,'Patient Calcs'!$B13:$H65,7,FALSE),0)</f>
        <v>6685.1121471335009</v>
      </c>
      <c r="M35" s="246">
        <f>IFERROR(VLOOKUP(M$31,'Patient Calcs'!$B13:$H65,7,FALSE),0)</f>
        <v>22460.910633557942</v>
      </c>
      <c r="N35" s="246">
        <f>IFERROR(VLOOKUP(N$31,'Patient Calcs'!$B13:$H65,7,FALSE),0)</f>
        <v>71578.099683807624</v>
      </c>
      <c r="O35" s="246">
        <f>IFERROR(VLOOKUP(O$31,'Patient Calcs'!$B13:$H65,7,FALSE),0)</f>
        <v>193985.78057767416</v>
      </c>
      <c r="P35" s="246">
        <f>IFERROR(VLOOKUP(P$31,'Patient Calcs'!$B13:$H65,7,FALSE),0)</f>
        <v>352052.6276926584</v>
      </c>
      <c r="Q35" s="246">
        <f>IFERROR(VLOOKUP(Q$31,'Patient Calcs'!$B13:$H65,7,FALSE),0)</f>
        <v>0</v>
      </c>
      <c r="R35" s="246">
        <f>IFERROR(VLOOKUP(R$31,'Patient Calcs'!$B13:$H65,7,FALSE),0)</f>
        <v>0</v>
      </c>
      <c r="S35" s="246">
        <f>IFERROR(VLOOKUP(S$31,'Patient Calcs'!$B13:$H65,7,FALSE),0)</f>
        <v>0</v>
      </c>
      <c r="T35" s="246">
        <f>IFERROR(VLOOKUP(T$31,'Patient Calcs'!$B13:$H65,7,FALSE),0)</f>
        <v>0</v>
      </c>
      <c r="U35" s="246">
        <f>IFERROR(VLOOKUP(U$31,'Patient Calcs'!$B13:$H65,7,FALSE),0)</f>
        <v>0</v>
      </c>
      <c r="V35" s="246">
        <f>IFERROR(VLOOKUP(V$31,'Patient Calcs'!$B13:$H65,7,FALSE),0)</f>
        <v>0</v>
      </c>
      <c r="W35" s="246">
        <f>IFERROR(VLOOKUP(W$31,'Patient Calcs'!$B13:$H65,7,FALSE),0)</f>
        <v>0</v>
      </c>
      <c r="X35" s="246">
        <f>IFERROR(VLOOKUP(X$31,'Patient Calcs'!$B13:$H65,7,FALSE),0)</f>
        <v>0</v>
      </c>
      <c r="Y35" s="246">
        <f>IFERROR(VLOOKUP(Y$31,'Patient Calcs'!$B13:$H65,7,FALSE),0)</f>
        <v>0</v>
      </c>
      <c r="Z35" s="246">
        <f>IFERROR(VLOOKUP(Z$31,'Patient Calcs'!$B13:$H65,7,FALSE),0)</f>
        <v>0</v>
      </c>
      <c r="AA35" s="246">
        <f>IFERROR(VLOOKUP(AA$31,'Patient Calcs'!$B13:$H65,7,FALSE),0)</f>
        <v>0</v>
      </c>
      <c r="AB35" s="246">
        <f>IFERROR(VLOOKUP(AB$31,'Patient Calcs'!$B13:$H65,7,FALSE),0)</f>
        <v>0</v>
      </c>
      <c r="AC35" s="246">
        <f>IFERROR(VLOOKUP(AC$31,'Patient Calcs'!$B13:$H65,7,FALSE),0)</f>
        <v>0</v>
      </c>
      <c r="AD35" s="246">
        <f>IFERROR(VLOOKUP(AD$31,'Patient Calcs'!$B13:$H65,7,FALSE),0)</f>
        <v>0</v>
      </c>
      <c r="AE35" s="246">
        <f>IFERROR(VLOOKUP(AE$31,'Patient Calcs'!$B13:$H65,7,FALSE),0)</f>
        <v>0</v>
      </c>
      <c r="AF35" s="246">
        <f>IFERROR(VLOOKUP(AF$31,'Patient Calcs'!$B13:$H65,7,FALSE),0)</f>
        <v>0</v>
      </c>
      <c r="AG35" s="246">
        <f>IFERROR(VLOOKUP(AG$31,'Patient Calcs'!$B13:$H65,7,FALSE),0)</f>
        <v>0</v>
      </c>
      <c r="AH35" s="246">
        <f>IFERROR(VLOOKUP(AH$31,'Patient Calcs'!$B13:$H65,7,FALSE),0)</f>
        <v>0</v>
      </c>
      <c r="AI35" s="246">
        <f>IFERROR(VLOOKUP(AI$31,'Patient Calcs'!$B13:$H65,7,FALSE),0)</f>
        <v>0</v>
      </c>
      <c r="AJ35" s="246">
        <f>IFERROR(VLOOKUP(AJ$31,'Patient Calcs'!$B13:$H65,7,FALSE),0)</f>
        <v>0</v>
      </c>
      <c r="AK35" s="246">
        <f>IFERROR(VLOOKUP(AK$31,'Patient Calcs'!$B13:$H65,7,FALSE),0)</f>
        <v>0</v>
      </c>
      <c r="AL35" s="246">
        <f>IFERROR(VLOOKUP(AL$31,'Patient Calcs'!$B13:$H65,7,FALSE),0)</f>
        <v>0</v>
      </c>
      <c r="AM35" s="246">
        <f>IFERROR(VLOOKUP(AM$31,'Patient Calcs'!$B13:$H65,7,FALSE),0)</f>
        <v>0</v>
      </c>
      <c r="AN35" s="246">
        <f>IFERROR(VLOOKUP(AN$31,'Patient Calcs'!$B13:$H65,7,FALSE),0)</f>
        <v>0</v>
      </c>
      <c r="AO35" s="246">
        <f>IFERROR(VLOOKUP(AO$31,'Patient Calcs'!$B13:$H65,7,FALSE),0)</f>
        <v>0</v>
      </c>
      <c r="AP35" s="246">
        <f>IFERROR(VLOOKUP(AP$31,'Patient Calcs'!$B13:$H65,7,FALSE),0)</f>
        <v>0</v>
      </c>
      <c r="AQ35" s="246">
        <f>IFERROR(VLOOKUP(AQ$31,'Patient Calcs'!$B13:$H65,7,FALSE),0)</f>
        <v>0</v>
      </c>
      <c r="AR35" s="246">
        <f>IFERROR(VLOOKUP(AR$31,'Patient Calcs'!$B13:$H65,7,FALSE),0)</f>
        <v>0</v>
      </c>
      <c r="AS35" s="246">
        <f>IFERROR(VLOOKUP(AS$31,'Patient Calcs'!$B13:$H65,7,FALSE),0)</f>
        <v>0</v>
      </c>
      <c r="AT35" s="246">
        <f>IFERROR(VLOOKUP(AT$31,'Patient Calcs'!$B13:$H65,7,FALSE),0)</f>
        <v>0</v>
      </c>
      <c r="AU35" s="246">
        <f>IFERROR(VLOOKUP(AU$31,'Patient Calcs'!$B13:$H65,7,FALSE),0)</f>
        <v>0</v>
      </c>
      <c r="AV35" s="246">
        <f>IFERROR(VLOOKUP(AV$31,'Patient Calcs'!$B13:$H65,7,FALSE),0)</f>
        <v>0</v>
      </c>
      <c r="AW35" s="246">
        <f>IFERROR(VLOOKUP(AW$31,'Patient Calcs'!$B13:$H65,7,FALSE),0)</f>
        <v>0</v>
      </c>
      <c r="AX35" s="246">
        <f>IFERROR(VLOOKUP(AX$31,'Patient Calcs'!$B13:$H65,7,FALSE),0)</f>
        <v>0</v>
      </c>
      <c r="AY35" s="246">
        <f>IFERROR(VLOOKUP(AY$31,'Patient Calcs'!$B13:$H65,7,FALSE),0)</f>
        <v>0</v>
      </c>
      <c r="AZ35" s="246">
        <f>IFERROR(VLOOKUP(AZ$31,'Patient Calcs'!$B13:$H65,7,FALSE),0)</f>
        <v>0</v>
      </c>
      <c r="BA35" s="246">
        <f>IFERROR(VLOOKUP(BA$31,'Patient Calcs'!$B13:$H65,7,FALSE),0)</f>
        <v>0</v>
      </c>
      <c r="BB35" s="246">
        <f>IFERROR(VLOOKUP(BB$31,'Patient Calcs'!$B13:$H65,7,FALSE),0)</f>
        <v>0</v>
      </c>
      <c r="BC35" s="246">
        <f>IFERROR(VLOOKUP(BC$31,'Patient Calcs'!$B13:$H65,7,FALSE),0)</f>
        <v>0</v>
      </c>
      <c r="BD35" s="246">
        <f>IFERROR(VLOOKUP(BD$31,'Patient Calcs'!$B13:$H65,7,FALSE),0)</f>
        <v>0</v>
      </c>
      <c r="BE35" s="30"/>
      <c r="BF35" s="249">
        <f>SUMIFS($D35:$BD35,$D$31:$BD$31,"&lt;="&amp;WeekSuppliedUntil,$D$31:$BD$31,"&gt;="&amp;Start_week_for_forecasting)</f>
        <v>649525.67538466584</v>
      </c>
    </row>
    <row r="36" spans="1:70" x14ac:dyDescent="0.75">
      <c r="C36" s="6" t="s">
        <v>303</v>
      </c>
      <c r="D36" s="246">
        <f>IFERROR(VLOOKUP(D$31,'Patient Calcs'!$B13:$J65,9,FALSE),0)</f>
        <v>0.15</v>
      </c>
      <c r="E36" s="246">
        <f>IFERROR(VLOOKUP(E$31,'Patient Calcs'!$B13:$J65,9,FALSE),0)</f>
        <v>0.4470581088594901</v>
      </c>
      <c r="F36" s="246">
        <f>IFERROR(VLOOKUP(F$31,'Patient Calcs'!$B13:$J65,9,FALSE),0)</f>
        <v>1.5363187300013708</v>
      </c>
      <c r="G36" s="246">
        <f>IFERROR(VLOOKUP(G$31,'Patient Calcs'!$B13:$J65,9,FALSE),0)</f>
        <v>5.2795195958472325</v>
      </c>
      <c r="H36" s="246">
        <f>IFERROR(VLOOKUP(H$31,'Patient Calcs'!$B13:$J65,9,FALSE),0)</f>
        <v>18.142319929110887</v>
      </c>
      <c r="I36" s="246">
        <f>IFERROR(VLOOKUP(I$31,'Patient Calcs'!$B13:$J65,9,FALSE),0)</f>
        <v>62.336274096810314</v>
      </c>
      <c r="J36" s="246">
        <f>IFERROR(VLOOKUP(J$31,'Patient Calcs'!$B13:$J65,9,FALSE),0)</f>
        <v>214.09953259988393</v>
      </c>
      <c r="K36" s="246">
        <f>IFERROR(VLOOKUP(K$31,'Patient Calcs'!$B13:$J65,9,FALSE),0)</f>
        <v>734.33822062734328</v>
      </c>
      <c r="L36" s="246">
        <f>IFERROR(VLOOKUP(L$31,'Patient Calcs'!$B13:$J65,9,FALSE),0)</f>
        <v>2506.9170551750626</v>
      </c>
      <c r="M36" s="246">
        <f>IFERROR(VLOOKUP(M$31,'Patient Calcs'!$B13:$J65,9,FALSE),0)</f>
        <v>8422.8414875842282</v>
      </c>
      <c r="N36" s="246">
        <f>IFERROR(VLOOKUP(N$31,'Patient Calcs'!$B13:$J65,9,FALSE),0)</f>
        <v>26841.787381427854</v>
      </c>
      <c r="O36" s="246">
        <f>IFERROR(VLOOKUP(O$31,'Patient Calcs'!$B13:$J65,9,FALSE),0)</f>
        <v>72744.667716627795</v>
      </c>
      <c r="P36" s="246">
        <f>IFERROR(VLOOKUP(P$31,'Patient Calcs'!$B13:$J65,9,FALSE),0)</f>
        <v>132019.73538474689</v>
      </c>
      <c r="Q36" s="246">
        <f>IFERROR(VLOOKUP(Q$31,'Patient Calcs'!$B13:$J65,9,FALSE),0)</f>
        <v>0</v>
      </c>
      <c r="R36" s="246">
        <f>IFERROR(VLOOKUP(R$31,'Patient Calcs'!$B13:$J65,9,FALSE),0)</f>
        <v>0</v>
      </c>
      <c r="S36" s="246">
        <f>IFERROR(VLOOKUP(S$31,'Patient Calcs'!$B13:$J65,9,FALSE),0)</f>
        <v>0</v>
      </c>
      <c r="T36" s="246">
        <f>IFERROR(VLOOKUP(T$31,'Patient Calcs'!$B13:$J65,9,FALSE),0)</f>
        <v>0</v>
      </c>
      <c r="U36" s="246">
        <f>IFERROR(VLOOKUP(U$31,'Patient Calcs'!$B13:$J65,9,FALSE),0)</f>
        <v>0</v>
      </c>
      <c r="V36" s="246">
        <f>IFERROR(VLOOKUP(V$31,'Patient Calcs'!$B13:$J65,9,FALSE),0)</f>
        <v>0</v>
      </c>
      <c r="W36" s="246">
        <f>IFERROR(VLOOKUP(W$31,'Patient Calcs'!$B13:$J65,9,FALSE),0)</f>
        <v>0</v>
      </c>
      <c r="X36" s="246">
        <f>IFERROR(VLOOKUP(X$31,'Patient Calcs'!$B13:$J65,9,FALSE),0)</f>
        <v>0</v>
      </c>
      <c r="Y36" s="246">
        <f>IFERROR(VLOOKUP(Y$31,'Patient Calcs'!$B13:$J65,9,FALSE),0)</f>
        <v>0</v>
      </c>
      <c r="Z36" s="246">
        <f>IFERROR(VLOOKUP(Z$31,'Patient Calcs'!$B13:$J65,9,FALSE),0)</f>
        <v>0</v>
      </c>
      <c r="AA36" s="246">
        <f>IFERROR(VLOOKUP(AA$31,'Patient Calcs'!$B13:$J65,9,FALSE),0)</f>
        <v>0</v>
      </c>
      <c r="AB36" s="246">
        <f>IFERROR(VLOOKUP(AB$31,'Patient Calcs'!$B13:$J65,9,FALSE),0)</f>
        <v>0</v>
      </c>
      <c r="AC36" s="246">
        <f>IFERROR(VLOOKUP(AC$31,'Patient Calcs'!$B13:$J65,9,FALSE),0)</f>
        <v>0</v>
      </c>
      <c r="AD36" s="246">
        <f>IFERROR(VLOOKUP(AD$31,'Patient Calcs'!$B13:$J65,9,FALSE),0)</f>
        <v>0</v>
      </c>
      <c r="AE36" s="246">
        <f>IFERROR(VLOOKUP(AE$31,'Patient Calcs'!$B13:$J65,9,FALSE),0)</f>
        <v>0</v>
      </c>
      <c r="AF36" s="246">
        <f>IFERROR(VLOOKUP(AF$31,'Patient Calcs'!$B13:$J65,9,FALSE),0)</f>
        <v>0</v>
      </c>
      <c r="AG36" s="246">
        <f>IFERROR(VLOOKUP(AG$31,'Patient Calcs'!$B13:$J65,9,FALSE),0)</f>
        <v>0</v>
      </c>
      <c r="AH36" s="246">
        <f>IFERROR(VLOOKUP(AH$31,'Patient Calcs'!$B13:$J65,9,FALSE),0)</f>
        <v>0</v>
      </c>
      <c r="AI36" s="246">
        <f>IFERROR(VLOOKUP(AI$31,'Patient Calcs'!$B13:$J65,9,FALSE),0)</f>
        <v>0</v>
      </c>
      <c r="AJ36" s="246">
        <f>IFERROR(VLOOKUP(AJ$31,'Patient Calcs'!$B13:$J65,9,FALSE),0)</f>
        <v>0</v>
      </c>
      <c r="AK36" s="246">
        <f>IFERROR(VLOOKUP(AK$31,'Patient Calcs'!$B13:$J65,9,FALSE),0)</f>
        <v>0</v>
      </c>
      <c r="AL36" s="246">
        <f>IFERROR(VLOOKUP(AL$31,'Patient Calcs'!$B13:$J65,9,FALSE),0)</f>
        <v>0</v>
      </c>
      <c r="AM36" s="246">
        <f>IFERROR(VLOOKUP(AM$31,'Patient Calcs'!$B13:$J65,9,FALSE),0)</f>
        <v>0</v>
      </c>
      <c r="AN36" s="246">
        <f>IFERROR(VLOOKUP(AN$31,'Patient Calcs'!$B13:$J65,9,FALSE),0)</f>
        <v>0</v>
      </c>
      <c r="AO36" s="246">
        <f>IFERROR(VLOOKUP(AO$31,'Patient Calcs'!$B13:$J65,9,FALSE),0)</f>
        <v>0</v>
      </c>
      <c r="AP36" s="246">
        <f>IFERROR(VLOOKUP(AP$31,'Patient Calcs'!$B13:$J65,9,FALSE),0)</f>
        <v>0</v>
      </c>
      <c r="AQ36" s="246">
        <f>IFERROR(VLOOKUP(AQ$31,'Patient Calcs'!$B13:$J65,9,FALSE),0)</f>
        <v>0</v>
      </c>
      <c r="AR36" s="246">
        <f>IFERROR(VLOOKUP(AR$31,'Patient Calcs'!$B13:$J65,9,FALSE),0)</f>
        <v>0</v>
      </c>
      <c r="AS36" s="246">
        <f>IFERROR(VLOOKUP(AS$31,'Patient Calcs'!$B13:$J65,9,FALSE),0)</f>
        <v>0</v>
      </c>
      <c r="AT36" s="246">
        <f>IFERROR(VLOOKUP(AT$31,'Patient Calcs'!$B13:$J65,9,FALSE),0)</f>
        <v>0</v>
      </c>
      <c r="AU36" s="246">
        <f>IFERROR(VLOOKUP(AU$31,'Patient Calcs'!$B13:$J65,9,FALSE),0)</f>
        <v>0</v>
      </c>
      <c r="AV36" s="246">
        <f>IFERROR(VLOOKUP(AV$31,'Patient Calcs'!$B13:$J65,9,FALSE),0)</f>
        <v>0</v>
      </c>
      <c r="AW36" s="246">
        <f>IFERROR(VLOOKUP(AW$31,'Patient Calcs'!$B13:$J65,9,FALSE),0)</f>
        <v>0</v>
      </c>
      <c r="AX36" s="246">
        <f>IFERROR(VLOOKUP(AX$31,'Patient Calcs'!$B13:$J65,9,FALSE),0)</f>
        <v>0</v>
      </c>
      <c r="AY36" s="246">
        <f>IFERROR(VLOOKUP(AY$31,'Patient Calcs'!$B13:$J65,9,FALSE),0)</f>
        <v>0</v>
      </c>
      <c r="AZ36" s="246">
        <f>IFERROR(VLOOKUP(AZ$31,'Patient Calcs'!$B13:$J65,9,FALSE),0)</f>
        <v>0</v>
      </c>
      <c r="BA36" s="246">
        <f>IFERROR(VLOOKUP(BA$31,'Patient Calcs'!$B13:$J65,9,FALSE),0)</f>
        <v>0</v>
      </c>
      <c r="BB36" s="246">
        <f>IFERROR(VLOOKUP(BB$31,'Patient Calcs'!$B13:$J65,9,FALSE),0)</f>
        <v>0</v>
      </c>
      <c r="BC36" s="246">
        <f>IFERROR(VLOOKUP(BC$31,'Patient Calcs'!$B13:$J65,9,FALSE),0)</f>
        <v>0</v>
      </c>
      <c r="BD36" s="246">
        <f>IFERROR(VLOOKUP(BD$31,'Patient Calcs'!$B13:$J65,9,FALSE),0)</f>
        <v>0</v>
      </c>
      <c r="BE36" s="30"/>
      <c r="BF36" s="249">
        <f t="shared" si="0"/>
        <v>243572.12826924969</v>
      </c>
      <c r="BG36"/>
      <c r="BH36"/>
      <c r="BI36"/>
      <c r="BJ36"/>
      <c r="BK36"/>
      <c r="BL36"/>
      <c r="BM36"/>
      <c r="BN36"/>
      <c r="BO36"/>
      <c r="BP36"/>
      <c r="BQ36"/>
      <c r="BR36"/>
    </row>
    <row r="37" spans="1:70" x14ac:dyDescent="0.75">
      <c r="C37" s="6" t="s">
        <v>305</v>
      </c>
      <c r="D37" s="246">
        <f>IFERROR(VLOOKUP(D$31,'Patient Calcs'!$B13:$L65,11,FALSE),0)</f>
        <v>0.05</v>
      </c>
      <c r="E37" s="246">
        <f>IFERROR(VLOOKUP(E$31,'Patient Calcs'!$B13:$L65,11,FALSE),0)</f>
        <v>0.14901936961983006</v>
      </c>
      <c r="F37" s="246">
        <f>IFERROR(VLOOKUP(F$31,'Patient Calcs'!$B13:$L65,11,FALSE),0)</f>
        <v>0.51210624333379029</v>
      </c>
      <c r="G37" s="246">
        <f>IFERROR(VLOOKUP(G$31,'Patient Calcs'!$B13:$L65,11,FALSE),0)</f>
        <v>1.759839865282411</v>
      </c>
      <c r="H37" s="246">
        <f>IFERROR(VLOOKUP(H$31,'Patient Calcs'!$B13:$L65,11,FALSE),0)</f>
        <v>6.0474399763702964</v>
      </c>
      <c r="I37" s="246">
        <f>IFERROR(VLOOKUP(I$31,'Patient Calcs'!$B13:$L65,11,FALSE),0)</f>
        <v>20.778758032270105</v>
      </c>
      <c r="J37" s="246">
        <f>IFERROR(VLOOKUP(J$31,'Patient Calcs'!$B13:$L65,11,FALSE),0)</f>
        <v>71.366510866627991</v>
      </c>
      <c r="K37" s="246">
        <f>IFERROR(VLOOKUP(K$31,'Patient Calcs'!$B13:$L65,11,FALSE),0)</f>
        <v>244.77940687578112</v>
      </c>
      <c r="L37" s="246">
        <f>IFERROR(VLOOKUP(L$31,'Patient Calcs'!$B13:$L65,11,FALSE),0)</f>
        <v>835.63901839168761</v>
      </c>
      <c r="M37" s="246">
        <f>IFERROR(VLOOKUP(M$31,'Patient Calcs'!$B13:$L65,11,FALSE),0)</f>
        <v>2807.6138291947427</v>
      </c>
      <c r="N37" s="246">
        <f>IFERROR(VLOOKUP(N$31,'Patient Calcs'!$B13:$L65,11,FALSE),0)</f>
        <v>8947.262460475953</v>
      </c>
      <c r="O37" s="246">
        <f>IFERROR(VLOOKUP(O$31,'Patient Calcs'!$B13:$L65,11,FALSE),0)</f>
        <v>24248.22257220927</v>
      </c>
      <c r="P37" s="246">
        <f>IFERROR(VLOOKUP(P$31,'Patient Calcs'!$B13:$L65,11,FALSE),0)</f>
        <v>44006.578461582299</v>
      </c>
      <c r="Q37" s="246">
        <f>IFERROR(VLOOKUP(Q$31,'Patient Calcs'!$B13:$L65,11,FALSE),0)</f>
        <v>0</v>
      </c>
      <c r="R37" s="246">
        <f>IFERROR(VLOOKUP(R$31,'Patient Calcs'!$B13:$L65,11,FALSE),0)</f>
        <v>0</v>
      </c>
      <c r="S37" s="246">
        <f>IFERROR(VLOOKUP(S$31,'Patient Calcs'!$B13:$L65,11,FALSE),0)</f>
        <v>0</v>
      </c>
      <c r="T37" s="246">
        <f>IFERROR(VLOOKUP(T$31,'Patient Calcs'!$B13:$L65,11,FALSE),0)</f>
        <v>0</v>
      </c>
      <c r="U37" s="246">
        <f>IFERROR(VLOOKUP(U$31,'Patient Calcs'!$B13:$L65,11,FALSE),0)</f>
        <v>0</v>
      </c>
      <c r="V37" s="246">
        <f>IFERROR(VLOOKUP(V$31,'Patient Calcs'!$B13:$L65,11,FALSE),0)</f>
        <v>0</v>
      </c>
      <c r="W37" s="246">
        <f>IFERROR(VLOOKUP(W$31,'Patient Calcs'!$B13:$L65,11,FALSE),0)</f>
        <v>0</v>
      </c>
      <c r="X37" s="246">
        <f>IFERROR(VLOOKUP(X$31,'Patient Calcs'!$B13:$L65,11,FALSE),0)</f>
        <v>0</v>
      </c>
      <c r="Y37" s="246">
        <f>IFERROR(VLOOKUP(Y$31,'Patient Calcs'!$B13:$L65,11,FALSE),0)</f>
        <v>0</v>
      </c>
      <c r="Z37" s="246">
        <f>IFERROR(VLOOKUP(Z$31,'Patient Calcs'!$B13:$L65,11,FALSE),0)</f>
        <v>0</v>
      </c>
      <c r="AA37" s="246">
        <f>IFERROR(VLOOKUP(AA$31,'Patient Calcs'!$B13:$L65,11,FALSE),0)</f>
        <v>0</v>
      </c>
      <c r="AB37" s="246">
        <f>IFERROR(VLOOKUP(AB$31,'Patient Calcs'!$B13:$L65,11,FALSE),0)</f>
        <v>0</v>
      </c>
      <c r="AC37" s="246">
        <f>IFERROR(VLOOKUP(AC$31,'Patient Calcs'!$B13:$L65,11,FALSE),0)</f>
        <v>0</v>
      </c>
      <c r="AD37" s="246">
        <f>IFERROR(VLOOKUP(AD$31,'Patient Calcs'!$B13:$L65,11,FALSE),0)</f>
        <v>0</v>
      </c>
      <c r="AE37" s="246">
        <f>IFERROR(VLOOKUP(AE$31,'Patient Calcs'!$B13:$L65,11,FALSE),0)</f>
        <v>0</v>
      </c>
      <c r="AF37" s="246">
        <f>IFERROR(VLOOKUP(AF$31,'Patient Calcs'!$B13:$L65,11,FALSE),0)</f>
        <v>0</v>
      </c>
      <c r="AG37" s="246">
        <f>IFERROR(VLOOKUP(AG$31,'Patient Calcs'!$B13:$L65,11,FALSE),0)</f>
        <v>0</v>
      </c>
      <c r="AH37" s="246">
        <f>IFERROR(VLOOKUP(AH$31,'Patient Calcs'!$B13:$L65,11,FALSE),0)</f>
        <v>0</v>
      </c>
      <c r="AI37" s="246">
        <f>IFERROR(VLOOKUP(AI$31,'Patient Calcs'!$B13:$L65,11,FALSE),0)</f>
        <v>0</v>
      </c>
      <c r="AJ37" s="246">
        <f>IFERROR(VLOOKUP(AJ$31,'Patient Calcs'!$B13:$L65,11,FALSE),0)</f>
        <v>0</v>
      </c>
      <c r="AK37" s="246">
        <f>IFERROR(VLOOKUP(AK$31,'Patient Calcs'!$B13:$L65,11,FALSE),0)</f>
        <v>0</v>
      </c>
      <c r="AL37" s="246">
        <f>IFERROR(VLOOKUP(AL$31,'Patient Calcs'!$B13:$L65,11,FALSE),0)</f>
        <v>0</v>
      </c>
      <c r="AM37" s="246">
        <f>IFERROR(VLOOKUP(AM$31,'Patient Calcs'!$B13:$L65,11,FALSE),0)</f>
        <v>0</v>
      </c>
      <c r="AN37" s="246">
        <f>IFERROR(VLOOKUP(AN$31,'Patient Calcs'!$B13:$L65,11,FALSE),0)</f>
        <v>0</v>
      </c>
      <c r="AO37" s="246">
        <f>IFERROR(VLOOKUP(AO$31,'Patient Calcs'!$B13:$L65,11,FALSE),0)</f>
        <v>0</v>
      </c>
      <c r="AP37" s="246">
        <f>IFERROR(VLOOKUP(AP$31,'Patient Calcs'!$B13:$L65,11,FALSE),0)</f>
        <v>0</v>
      </c>
      <c r="AQ37" s="246">
        <f>IFERROR(VLOOKUP(AQ$31,'Patient Calcs'!$B13:$L65,11,FALSE),0)</f>
        <v>0</v>
      </c>
      <c r="AR37" s="246">
        <f>IFERROR(VLOOKUP(AR$31,'Patient Calcs'!$B13:$L65,11,FALSE),0)</f>
        <v>0</v>
      </c>
      <c r="AS37" s="246">
        <f>IFERROR(VLOOKUP(AS$31,'Patient Calcs'!$B13:$L65,11,FALSE),0)</f>
        <v>0</v>
      </c>
      <c r="AT37" s="246">
        <f>IFERROR(VLOOKUP(AT$31,'Patient Calcs'!$B13:$L65,11,FALSE),0)</f>
        <v>0</v>
      </c>
      <c r="AU37" s="246">
        <f>IFERROR(VLOOKUP(AU$31,'Patient Calcs'!$B13:$L65,11,FALSE),0)</f>
        <v>0</v>
      </c>
      <c r="AV37" s="246">
        <f>IFERROR(VLOOKUP(AV$31,'Patient Calcs'!$B13:$L65,11,FALSE),0)</f>
        <v>0</v>
      </c>
      <c r="AW37" s="246">
        <f>IFERROR(VLOOKUP(AW$31,'Patient Calcs'!$B13:$L65,11,FALSE),0)</f>
        <v>0</v>
      </c>
      <c r="AX37" s="246">
        <f>IFERROR(VLOOKUP(AX$31,'Patient Calcs'!$B13:$L65,11,FALSE),0)</f>
        <v>0</v>
      </c>
      <c r="AY37" s="246">
        <f>IFERROR(VLOOKUP(AY$31,'Patient Calcs'!$B13:$L65,11,FALSE),0)</f>
        <v>0</v>
      </c>
      <c r="AZ37" s="246">
        <f>IFERROR(VLOOKUP(AZ$31,'Patient Calcs'!$B13:$L65,11,FALSE),0)</f>
        <v>0</v>
      </c>
      <c r="BA37" s="246">
        <f>IFERROR(VLOOKUP(BA$31,'Patient Calcs'!$B13:$L65,11,FALSE),0)</f>
        <v>0</v>
      </c>
      <c r="BB37" s="246">
        <f>IFERROR(VLOOKUP(BB$31,'Patient Calcs'!$B13:$L65,11,FALSE),0)</f>
        <v>0</v>
      </c>
      <c r="BC37" s="246">
        <f>IFERROR(VLOOKUP(BC$31,'Patient Calcs'!$B13:$L65,11,FALSE),0)</f>
        <v>0</v>
      </c>
      <c r="BD37" s="246">
        <f>IFERROR(VLOOKUP(BD$31,'Patient Calcs'!$B13:$L65,11,FALSE),0)</f>
        <v>0</v>
      </c>
      <c r="BE37" s="30"/>
      <c r="BF37" s="249">
        <f t="shared" si="0"/>
        <v>81190.70942308323</v>
      </c>
      <c r="BG37"/>
      <c r="BH37"/>
      <c r="BI37"/>
      <c r="BJ37"/>
      <c r="BK37"/>
      <c r="BL37"/>
      <c r="BM37"/>
      <c r="BN37"/>
      <c r="BO37"/>
      <c r="BP37"/>
      <c r="BQ37"/>
      <c r="BR37"/>
    </row>
    <row r="38" spans="1:70" ht="13.5" customHeight="1" x14ac:dyDescent="0.75">
      <c r="C38" s="558" t="s">
        <v>973</v>
      </c>
      <c r="D38" s="246">
        <f>IFERROR(VLOOKUP(D$31,'Patient Calcs'!$B13:$Z65,25,FALSE),0)</f>
        <v>10</v>
      </c>
      <c r="E38" s="246">
        <f>IFERROR(VLOOKUP(E$31,'Patient Calcs'!$B13:$Z65,25,FALSE),0)</f>
        <v>29.803873923966009</v>
      </c>
      <c r="F38" s="246">
        <f>IFERROR(VLOOKUP(F$31,'Patient Calcs'!$B13:$Z65,25,FALSE),0)</f>
        <v>102.42124866675806</v>
      </c>
      <c r="G38" s="246">
        <f>IFERROR(VLOOKUP(G$31,'Patient Calcs'!$B13:$Z65,25,FALSE),0)</f>
        <v>351.96797305648215</v>
      </c>
      <c r="H38" s="246">
        <f>IFERROR(VLOOKUP(H$31,'Patient Calcs'!$B13:$Z65,25,FALSE),0)</f>
        <v>1209.4879952740594</v>
      </c>
      <c r="I38" s="246">
        <f>IFERROR(VLOOKUP(I$31,'Patient Calcs'!$B13:$Z65,25,FALSE),0)</f>
        <v>4155.7516064540214</v>
      </c>
      <c r="J38" s="246">
        <f>IFERROR(VLOOKUP(J$31,'Patient Calcs'!$B13:$Z65,25,FALSE),0)</f>
        <v>14273.302173325596</v>
      </c>
      <c r="K38" s="246">
        <f>IFERROR(VLOOKUP(K$31,'Patient Calcs'!$B13:$Z65,25,FALSE),0)</f>
        <v>48955.881375156227</v>
      </c>
      <c r="L38" s="246">
        <f>IFERROR(VLOOKUP(L$31,'Patient Calcs'!$B13:$Z65,25,FALSE),0)</f>
        <v>167127.80367833751</v>
      </c>
      <c r="M38" s="246">
        <f>IFERROR(VLOOKUP(M$31,'Patient Calcs'!$B13:$Z65,25,FALSE),0)</f>
        <v>561522.76583894854</v>
      </c>
      <c r="N38" s="246">
        <f>IFERROR(VLOOKUP(N$31,'Patient Calcs'!$B13:$Z65,25,FALSE),0)</f>
        <v>1789452.4920951903</v>
      </c>
      <c r="O38" s="246">
        <f>IFERROR(VLOOKUP(O$31,'Patient Calcs'!$B13:$Z65,25,FALSE),0)</f>
        <v>4849644.5144418534</v>
      </c>
      <c r="P38" s="246">
        <f>IFERROR(VLOOKUP(P$31,'Patient Calcs'!$B13:$Z65,25,FALSE),0)</f>
        <v>8801315.6923164595</v>
      </c>
      <c r="Q38" s="246">
        <f>IFERROR(VLOOKUP(Q$31,'Patient Calcs'!$B13:$Z65,25,FALSE),0)</f>
        <v>0</v>
      </c>
      <c r="R38" s="246">
        <f>IFERROR(VLOOKUP(R$31,'Patient Calcs'!$B13:$Z65,25,FALSE),0)</f>
        <v>0</v>
      </c>
      <c r="S38" s="246">
        <f>IFERROR(VLOOKUP(S$31,'Patient Calcs'!$B13:$Z65,25,FALSE),0)</f>
        <v>0</v>
      </c>
      <c r="T38" s="246">
        <f>IFERROR(VLOOKUP(T$31,'Patient Calcs'!$B13:$Z65,25,FALSE),0)</f>
        <v>0</v>
      </c>
      <c r="U38" s="246">
        <f>IFERROR(VLOOKUP(U$31,'Patient Calcs'!$B13:$Z65,25,FALSE),0)</f>
        <v>0</v>
      </c>
      <c r="V38" s="246">
        <f>IFERROR(VLOOKUP(V$31,'Patient Calcs'!$B13:$Z65,25,FALSE),0)</f>
        <v>0</v>
      </c>
      <c r="W38" s="246">
        <f>IFERROR(VLOOKUP(W$31,'Patient Calcs'!$B13:$Z65,25,FALSE),0)</f>
        <v>0</v>
      </c>
      <c r="X38" s="246">
        <f>IFERROR(VLOOKUP(X$31,'Patient Calcs'!$B13:$Z65,25,FALSE),0)</f>
        <v>0</v>
      </c>
      <c r="Y38" s="246">
        <f>IFERROR(VLOOKUP(Y$31,'Patient Calcs'!$B13:$Z65,25,FALSE),0)</f>
        <v>0</v>
      </c>
      <c r="Z38" s="246">
        <f>IFERROR(VLOOKUP(Z$31,'Patient Calcs'!$B13:$Z65,25,FALSE),0)</f>
        <v>0</v>
      </c>
      <c r="AA38" s="246">
        <f>IFERROR(VLOOKUP(AA$31,'Patient Calcs'!$B13:$Z65,25,FALSE),0)</f>
        <v>0</v>
      </c>
      <c r="AB38" s="246">
        <f>IFERROR(VLOOKUP(AB$31,'Patient Calcs'!$B13:$Z65,25,FALSE),0)</f>
        <v>0</v>
      </c>
      <c r="AC38" s="246">
        <f>IFERROR(VLOOKUP(AC$31,'Patient Calcs'!$B13:$Z65,25,FALSE),0)</f>
        <v>0</v>
      </c>
      <c r="AD38" s="246">
        <f>IFERROR(VLOOKUP(AD$31,'Patient Calcs'!$B13:$Z65,25,FALSE),0)</f>
        <v>0</v>
      </c>
      <c r="AE38" s="246">
        <f>IFERROR(VLOOKUP(AE$31,'Patient Calcs'!$B13:$Z65,25,FALSE),0)</f>
        <v>0</v>
      </c>
      <c r="AF38" s="246">
        <f>IFERROR(VLOOKUP(AF$31,'Patient Calcs'!$B13:$Z65,25,FALSE),0)</f>
        <v>0</v>
      </c>
      <c r="AG38" s="246">
        <f>IFERROR(VLOOKUP(AG$31,'Patient Calcs'!$B13:$Z65,25,FALSE),0)</f>
        <v>0</v>
      </c>
      <c r="AH38" s="246">
        <f>IFERROR(VLOOKUP(AH$31,'Patient Calcs'!$B13:$Z65,25,FALSE),0)</f>
        <v>0</v>
      </c>
      <c r="AI38" s="246">
        <f>IFERROR(VLOOKUP(AI$31,'Patient Calcs'!$B13:$Z65,25,FALSE),0)</f>
        <v>0</v>
      </c>
      <c r="AJ38" s="246">
        <f>IFERROR(VLOOKUP(AJ$31,'Patient Calcs'!$B13:$Z65,25,FALSE),0)</f>
        <v>0</v>
      </c>
      <c r="AK38" s="246">
        <f>IFERROR(VLOOKUP(AK$31,'Patient Calcs'!$B13:$Z65,25,FALSE),0)</f>
        <v>0</v>
      </c>
      <c r="AL38" s="246">
        <f>IFERROR(VLOOKUP(AL$31,'Patient Calcs'!$B13:$Z65,25,FALSE),0)</f>
        <v>0</v>
      </c>
      <c r="AM38" s="246">
        <f>IFERROR(VLOOKUP(AM$31,'Patient Calcs'!$B13:$Z65,25,FALSE),0)</f>
        <v>0</v>
      </c>
      <c r="AN38" s="246">
        <f>IFERROR(VLOOKUP(AN$31,'Patient Calcs'!$B13:$Z65,25,FALSE),0)</f>
        <v>0</v>
      </c>
      <c r="AO38" s="246">
        <f>IFERROR(VLOOKUP(AO$31,'Patient Calcs'!$B13:$Z65,25,FALSE),0)</f>
        <v>0</v>
      </c>
      <c r="AP38" s="246">
        <f>IFERROR(VLOOKUP(AP$31,'Patient Calcs'!$B13:$Z65,25,FALSE),0)</f>
        <v>0</v>
      </c>
      <c r="AQ38" s="246">
        <f>IFERROR(VLOOKUP(AQ$31,'Patient Calcs'!$B13:$Z65,25,FALSE),0)</f>
        <v>0</v>
      </c>
      <c r="AR38" s="246">
        <f>IFERROR(VLOOKUP(AR$31,'Patient Calcs'!$B13:$Z65,25,FALSE),0)</f>
        <v>0</v>
      </c>
      <c r="AS38" s="246">
        <f>IFERROR(VLOOKUP(AS$31,'Patient Calcs'!$B13:$Z65,25,FALSE),0)</f>
        <v>0</v>
      </c>
      <c r="AT38" s="246">
        <f>IFERROR(VLOOKUP(AT$31,'Patient Calcs'!$B13:$Z65,25,FALSE),0)</f>
        <v>0</v>
      </c>
      <c r="AU38" s="246">
        <f>IFERROR(VLOOKUP(AU$31,'Patient Calcs'!$B13:$Z65,25,FALSE),0)</f>
        <v>0</v>
      </c>
      <c r="AV38" s="246">
        <f>IFERROR(VLOOKUP(AV$31,'Patient Calcs'!$B13:$Z65,25,FALSE),0)</f>
        <v>0</v>
      </c>
      <c r="AW38" s="246">
        <f>IFERROR(VLOOKUP(AW$31,'Patient Calcs'!$B13:$Z65,25,FALSE),0)</f>
        <v>0</v>
      </c>
      <c r="AX38" s="246">
        <f>IFERROR(VLOOKUP(AX$31,'Patient Calcs'!$B13:$Z65,25,FALSE),0)</f>
        <v>0</v>
      </c>
      <c r="AY38" s="246">
        <f>IFERROR(VLOOKUP(AY$31,'Patient Calcs'!$B13:$Z65,25,FALSE),0)</f>
        <v>0</v>
      </c>
      <c r="AZ38" s="246">
        <f>IFERROR(VLOOKUP(AZ$31,'Patient Calcs'!$B13:$Z65,25,FALSE),0)</f>
        <v>0</v>
      </c>
      <c r="BA38" s="246">
        <f>IFERROR(VLOOKUP(BA$31,'Patient Calcs'!$B13:$Z65,25,FALSE),0)</f>
        <v>0</v>
      </c>
      <c r="BB38" s="246">
        <f>IFERROR(VLOOKUP(BB$31,'Patient Calcs'!$B13:$Z65,25,FALSE),0)</f>
        <v>0</v>
      </c>
      <c r="BC38" s="246">
        <f>IFERROR(VLOOKUP(BC$31,'Patient Calcs'!$B13:$Z65,25,FALSE),0)</f>
        <v>0</v>
      </c>
      <c r="BD38" s="246">
        <f>IFERROR(VLOOKUP(BD$31,'Patient Calcs'!$B13:$Z65,25,FALSE),0)</f>
        <v>0</v>
      </c>
      <c r="BE38" s="30"/>
      <c r="BF38" s="249">
        <f t="shared" si="0"/>
        <v>16238141.884616647</v>
      </c>
      <c r="BG38"/>
      <c r="BH38"/>
      <c r="BI38"/>
      <c r="BJ38"/>
      <c r="BK38"/>
      <c r="BL38"/>
      <c r="BM38"/>
      <c r="BN38"/>
      <c r="BO38"/>
      <c r="BP38"/>
      <c r="BQ38"/>
      <c r="BR38"/>
    </row>
    <row r="39" spans="1:70" s="132" customFormat="1" ht="13.5" hidden="1" customHeight="1" x14ac:dyDescent="0.75">
      <c r="B39" s="432" t="s">
        <v>1138</v>
      </c>
      <c r="C39" s="441" t="s">
        <v>1139</v>
      </c>
      <c r="D39" s="247">
        <f ca="1">D49</f>
        <v>0.4</v>
      </c>
      <c r="E39" s="247" t="str">
        <f ca="1">IFERROR(IF((D49-E60+E34)&gt;$D$18,$D$18-(D49-E60),E34),"")</f>
        <v/>
      </c>
      <c r="F39" s="247" t="str">
        <f t="shared" ref="F39:BD39" ca="1" si="1">IFERROR(IF((E49-F60+F34)&gt;$D$18,$D$18-(E49-F60),F34),"")</f>
        <v/>
      </c>
      <c r="G39" s="247" t="str">
        <f t="shared" ca="1" si="1"/>
        <v/>
      </c>
      <c r="H39" s="247" t="str">
        <f t="shared" ca="1" si="1"/>
        <v/>
      </c>
      <c r="I39" s="247" t="str">
        <f t="shared" ca="1" si="1"/>
        <v/>
      </c>
      <c r="J39" s="247" t="str">
        <f t="shared" ca="1" si="1"/>
        <v/>
      </c>
      <c r="K39" s="247" t="str">
        <f t="shared" ca="1" si="1"/>
        <v/>
      </c>
      <c r="L39" s="247" t="str">
        <f t="shared" ca="1" si="1"/>
        <v/>
      </c>
      <c r="M39" s="247" t="str">
        <f t="shared" ca="1" si="1"/>
        <v/>
      </c>
      <c r="N39" s="247" t="str">
        <f t="shared" ca="1" si="1"/>
        <v/>
      </c>
      <c r="O39" s="247" t="str">
        <f t="shared" ca="1" si="1"/>
        <v/>
      </c>
      <c r="P39" s="247" t="str">
        <f t="shared" ca="1" si="1"/>
        <v/>
      </c>
      <c r="Q39" s="247" t="str">
        <f t="shared" ca="1" si="1"/>
        <v/>
      </c>
      <c r="R39" s="247" t="str">
        <f t="shared" ca="1" si="1"/>
        <v/>
      </c>
      <c r="S39" s="247" t="str">
        <f t="shared" ca="1" si="1"/>
        <v/>
      </c>
      <c r="T39" s="247" t="str">
        <f t="shared" ca="1" si="1"/>
        <v/>
      </c>
      <c r="U39" s="247" t="str">
        <f t="shared" ca="1" si="1"/>
        <v/>
      </c>
      <c r="V39" s="247" t="str">
        <f t="shared" ca="1" si="1"/>
        <v/>
      </c>
      <c r="W39" s="247" t="str">
        <f t="shared" ca="1" si="1"/>
        <v/>
      </c>
      <c r="X39" s="247" t="str">
        <f t="shared" ca="1" si="1"/>
        <v/>
      </c>
      <c r="Y39" s="247" t="str">
        <f t="shared" ca="1" si="1"/>
        <v/>
      </c>
      <c r="Z39" s="247" t="str">
        <f t="shared" ca="1" si="1"/>
        <v/>
      </c>
      <c r="AA39" s="247" t="str">
        <f t="shared" ca="1" si="1"/>
        <v/>
      </c>
      <c r="AB39" s="247" t="str">
        <f t="shared" ca="1" si="1"/>
        <v/>
      </c>
      <c r="AC39" s="247" t="str">
        <f t="shared" ca="1" si="1"/>
        <v/>
      </c>
      <c r="AD39" s="247" t="str">
        <f t="shared" ca="1" si="1"/>
        <v/>
      </c>
      <c r="AE39" s="247" t="str">
        <f t="shared" ca="1" si="1"/>
        <v/>
      </c>
      <c r="AF39" s="247" t="str">
        <f t="shared" ca="1" si="1"/>
        <v/>
      </c>
      <c r="AG39" s="247" t="str">
        <f t="shared" ca="1" si="1"/>
        <v/>
      </c>
      <c r="AH39" s="247" t="str">
        <f t="shared" ca="1" si="1"/>
        <v/>
      </c>
      <c r="AI39" s="247" t="str">
        <f t="shared" ca="1" si="1"/>
        <v/>
      </c>
      <c r="AJ39" s="247" t="str">
        <f t="shared" ca="1" si="1"/>
        <v/>
      </c>
      <c r="AK39" s="247" t="str">
        <f t="shared" ca="1" si="1"/>
        <v/>
      </c>
      <c r="AL39" s="247" t="str">
        <f t="shared" ca="1" si="1"/>
        <v/>
      </c>
      <c r="AM39" s="247" t="str">
        <f t="shared" ca="1" si="1"/>
        <v/>
      </c>
      <c r="AN39" s="247" t="str">
        <f t="shared" ca="1" si="1"/>
        <v/>
      </c>
      <c r="AO39" s="247" t="str">
        <f t="shared" ca="1" si="1"/>
        <v/>
      </c>
      <c r="AP39" s="247" t="str">
        <f t="shared" ca="1" si="1"/>
        <v/>
      </c>
      <c r="AQ39" s="247" t="str">
        <f t="shared" ca="1" si="1"/>
        <v/>
      </c>
      <c r="AR39" s="247" t="str">
        <f t="shared" ca="1" si="1"/>
        <v/>
      </c>
      <c r="AS39" s="247" t="str">
        <f t="shared" ca="1" si="1"/>
        <v/>
      </c>
      <c r="AT39" s="247" t="str">
        <f t="shared" ca="1" si="1"/>
        <v/>
      </c>
      <c r="AU39" s="247" t="str">
        <f t="shared" ca="1" si="1"/>
        <v/>
      </c>
      <c r="AV39" s="247" t="str">
        <f t="shared" ca="1" si="1"/>
        <v/>
      </c>
      <c r="AW39" s="247" t="str">
        <f t="shared" ca="1" si="1"/>
        <v/>
      </c>
      <c r="AX39" s="247" t="str">
        <f t="shared" ca="1" si="1"/>
        <v/>
      </c>
      <c r="AY39" s="247" t="str">
        <f t="shared" ca="1" si="1"/>
        <v/>
      </c>
      <c r="AZ39" s="247" t="str">
        <f t="shared" ca="1" si="1"/>
        <v/>
      </c>
      <c r="BA39" s="247" t="str">
        <f t="shared" ca="1" si="1"/>
        <v/>
      </c>
      <c r="BB39" s="247" t="str">
        <f t="shared" ca="1" si="1"/>
        <v/>
      </c>
      <c r="BC39" s="247" t="str">
        <f t="shared" ca="1" si="1"/>
        <v/>
      </c>
      <c r="BD39" s="247" t="str">
        <f t="shared" ca="1" si="1"/>
        <v/>
      </c>
      <c r="BE39" s="30"/>
      <c r="BF39" s="249">
        <f ca="1">SUMIFS($D39:$BD39,$D$31:$BD$31,"&lt;="&amp;WeekSuppliedUntil,$D$31:$BD$31,"&gt;="&amp;Start_week_for_forecasting)</f>
        <v>0</v>
      </c>
    </row>
    <row r="40" spans="1:70" s="132" customFormat="1" ht="13.5" hidden="1" customHeight="1" x14ac:dyDescent="0.75">
      <c r="C40" s="441" t="s">
        <v>1115</v>
      </c>
      <c r="D40" s="247">
        <f ca="1">D50</f>
        <v>0</v>
      </c>
      <c r="E40" s="247" t="str">
        <f ca="1">IFERROR(IF((D50-E61+E35)&gt;$D$15,$D$15-(D50-E61),E35),"")</f>
        <v/>
      </c>
      <c r="F40" s="247" t="str">
        <f t="shared" ref="F40:BD40" ca="1" si="2">IFERROR(IF((E50-F61+F35)&gt;$D$15,$D$15-(E50-F61),F35),"")</f>
        <v/>
      </c>
      <c r="G40" s="247" t="str">
        <f t="shared" ca="1" si="2"/>
        <v/>
      </c>
      <c r="H40" s="247" t="str">
        <f t="shared" ca="1" si="2"/>
        <v/>
      </c>
      <c r="I40" s="247" t="str">
        <f t="shared" ca="1" si="2"/>
        <v/>
      </c>
      <c r="J40" s="247" t="str">
        <f t="shared" ca="1" si="2"/>
        <v/>
      </c>
      <c r="K40" s="247" t="str">
        <f t="shared" ca="1" si="2"/>
        <v/>
      </c>
      <c r="L40" s="247" t="str">
        <f t="shared" ca="1" si="2"/>
        <v/>
      </c>
      <c r="M40" s="247" t="str">
        <f t="shared" ca="1" si="2"/>
        <v/>
      </c>
      <c r="N40" s="247" t="str">
        <f t="shared" ca="1" si="2"/>
        <v/>
      </c>
      <c r="O40" s="247" t="str">
        <f t="shared" ca="1" si="2"/>
        <v/>
      </c>
      <c r="P40" s="247" t="str">
        <f t="shared" ca="1" si="2"/>
        <v/>
      </c>
      <c r="Q40" s="247" t="str">
        <f t="shared" ca="1" si="2"/>
        <v/>
      </c>
      <c r="R40" s="247" t="str">
        <f t="shared" ca="1" si="2"/>
        <v/>
      </c>
      <c r="S40" s="247" t="str">
        <f t="shared" ca="1" si="2"/>
        <v/>
      </c>
      <c r="T40" s="247" t="str">
        <f t="shared" ca="1" si="2"/>
        <v/>
      </c>
      <c r="U40" s="247" t="str">
        <f t="shared" ca="1" si="2"/>
        <v/>
      </c>
      <c r="V40" s="247" t="str">
        <f t="shared" ca="1" si="2"/>
        <v/>
      </c>
      <c r="W40" s="247" t="str">
        <f t="shared" ca="1" si="2"/>
        <v/>
      </c>
      <c r="X40" s="247" t="str">
        <f t="shared" ca="1" si="2"/>
        <v/>
      </c>
      <c r="Y40" s="247" t="str">
        <f t="shared" ca="1" si="2"/>
        <v/>
      </c>
      <c r="Z40" s="247" t="str">
        <f t="shared" ca="1" si="2"/>
        <v/>
      </c>
      <c r="AA40" s="247" t="str">
        <f t="shared" ca="1" si="2"/>
        <v/>
      </c>
      <c r="AB40" s="247" t="str">
        <f t="shared" ca="1" si="2"/>
        <v/>
      </c>
      <c r="AC40" s="247" t="str">
        <f t="shared" ca="1" si="2"/>
        <v/>
      </c>
      <c r="AD40" s="247" t="str">
        <f t="shared" ca="1" si="2"/>
        <v/>
      </c>
      <c r="AE40" s="247" t="str">
        <f t="shared" ca="1" si="2"/>
        <v/>
      </c>
      <c r="AF40" s="247" t="str">
        <f t="shared" ca="1" si="2"/>
        <v/>
      </c>
      <c r="AG40" s="247" t="str">
        <f t="shared" ca="1" si="2"/>
        <v/>
      </c>
      <c r="AH40" s="247" t="str">
        <f t="shared" ca="1" si="2"/>
        <v/>
      </c>
      <c r="AI40" s="247" t="str">
        <f t="shared" ca="1" si="2"/>
        <v/>
      </c>
      <c r="AJ40" s="247" t="str">
        <f t="shared" ca="1" si="2"/>
        <v/>
      </c>
      <c r="AK40" s="247" t="str">
        <f t="shared" ca="1" si="2"/>
        <v/>
      </c>
      <c r="AL40" s="247" t="str">
        <f t="shared" ca="1" si="2"/>
        <v/>
      </c>
      <c r="AM40" s="247" t="str">
        <f t="shared" ca="1" si="2"/>
        <v/>
      </c>
      <c r="AN40" s="247" t="str">
        <f t="shared" ca="1" si="2"/>
        <v/>
      </c>
      <c r="AO40" s="247" t="str">
        <f t="shared" ca="1" si="2"/>
        <v/>
      </c>
      <c r="AP40" s="247" t="str">
        <f t="shared" ca="1" si="2"/>
        <v/>
      </c>
      <c r="AQ40" s="247" t="str">
        <f t="shared" ca="1" si="2"/>
        <v/>
      </c>
      <c r="AR40" s="247" t="str">
        <f t="shared" ca="1" si="2"/>
        <v/>
      </c>
      <c r="AS40" s="247" t="str">
        <f t="shared" ca="1" si="2"/>
        <v/>
      </c>
      <c r="AT40" s="247" t="str">
        <f t="shared" ca="1" si="2"/>
        <v/>
      </c>
      <c r="AU40" s="247" t="str">
        <f t="shared" ca="1" si="2"/>
        <v/>
      </c>
      <c r="AV40" s="247" t="str">
        <f t="shared" ca="1" si="2"/>
        <v/>
      </c>
      <c r="AW40" s="247" t="str">
        <f t="shared" ca="1" si="2"/>
        <v/>
      </c>
      <c r="AX40" s="247" t="str">
        <f t="shared" ca="1" si="2"/>
        <v/>
      </c>
      <c r="AY40" s="247" t="str">
        <f t="shared" ca="1" si="2"/>
        <v/>
      </c>
      <c r="AZ40" s="247" t="str">
        <f t="shared" ca="1" si="2"/>
        <v/>
      </c>
      <c r="BA40" s="247" t="str">
        <f t="shared" ca="1" si="2"/>
        <v/>
      </c>
      <c r="BB40" s="247" t="str">
        <f t="shared" ca="1" si="2"/>
        <v/>
      </c>
      <c r="BC40" s="247" t="str">
        <f t="shared" ca="1" si="2"/>
        <v/>
      </c>
      <c r="BD40" s="247" t="str">
        <f t="shared" ca="1" si="2"/>
        <v/>
      </c>
      <c r="BE40" s="30"/>
      <c r="BF40" s="249">
        <f ca="1">SUMIFS($D40:$BD40,$D$31:$BD$31,"&lt;="&amp;WeekSuppliedUntil,$D$31:$BD$31,"&gt;="&amp;Start_week_for_forecasting)</f>
        <v>0</v>
      </c>
    </row>
    <row r="41" spans="1:70" s="43" customFormat="1" ht="13.5" customHeight="1" x14ac:dyDescent="0.75">
      <c r="C41" s="559" t="s">
        <v>654</v>
      </c>
      <c r="D41" s="247">
        <f ca="1">D51</f>
        <v>0.15</v>
      </c>
      <c r="E41" s="247">
        <f ca="1">IFERROR(IF((D51-E62+E36)&gt;$D$11,$D$11-(D51-E62),E36),"")</f>
        <v>0.4470581088594901</v>
      </c>
      <c r="F41" s="247">
        <f t="shared" ref="F41:BD41" ca="1" si="3">IFERROR(IF((E51-F62+F36)&gt;$D$11,$D$11-(E51-F62),F36),"")</f>
        <v>1.5363187300013708</v>
      </c>
      <c r="G41" s="247">
        <f ca="1">IFERROR(IF((F51-G62+G36)&gt;$D$11,$D$11-(F51-G62),G36),"")</f>
        <v>5.2795195958472325</v>
      </c>
      <c r="H41" s="247">
        <f t="shared" ca="1" si="3"/>
        <v>18.142319929110887</v>
      </c>
      <c r="I41" s="247">
        <f t="shared" ca="1" si="3"/>
        <v>62.336274096810314</v>
      </c>
      <c r="J41" s="247">
        <f t="shared" ca="1" si="3"/>
        <v>214.09953259988393</v>
      </c>
      <c r="K41" s="247">
        <f t="shared" ca="1" si="3"/>
        <v>734.33822062734328</v>
      </c>
      <c r="L41" s="247">
        <f t="shared" ca="1" si="3"/>
        <v>2506.9170551750626</v>
      </c>
      <c r="M41" s="247">
        <f t="shared" ca="1" si="3"/>
        <v>8422.8414875842282</v>
      </c>
      <c r="N41" s="247">
        <f t="shared" ca="1" si="3"/>
        <v>21185.721600000001</v>
      </c>
      <c r="O41" s="247">
        <f t="shared" ca="1" si="3"/>
        <v>21185.721600000001</v>
      </c>
      <c r="P41" s="247">
        <f t="shared" ca="1" si="3"/>
        <v>21185.721600000001</v>
      </c>
      <c r="Q41" s="247">
        <f t="shared" ca="1" si="3"/>
        <v>0</v>
      </c>
      <c r="R41" s="247">
        <f t="shared" ca="1" si="3"/>
        <v>0</v>
      </c>
      <c r="S41" s="247">
        <f t="shared" ca="1" si="3"/>
        <v>0</v>
      </c>
      <c r="T41" s="247">
        <f ca="1">IFERROR(IF((S51-T62+T36)&gt;$D$11,$D$11-(S51-T62),T36),"")</f>
        <v>0</v>
      </c>
      <c r="U41" s="247">
        <f t="shared" ca="1" si="3"/>
        <v>0</v>
      </c>
      <c r="V41" s="247">
        <f t="shared" ca="1" si="3"/>
        <v>0</v>
      </c>
      <c r="W41" s="247">
        <f t="shared" ca="1" si="3"/>
        <v>0</v>
      </c>
      <c r="X41" s="247">
        <f t="shared" ca="1" si="3"/>
        <v>0</v>
      </c>
      <c r="Y41" s="247">
        <f t="shared" ca="1" si="3"/>
        <v>0</v>
      </c>
      <c r="Z41" s="247">
        <f t="shared" ca="1" si="3"/>
        <v>0</v>
      </c>
      <c r="AA41" s="247">
        <f t="shared" ca="1" si="3"/>
        <v>0</v>
      </c>
      <c r="AB41" s="247">
        <f t="shared" ca="1" si="3"/>
        <v>0</v>
      </c>
      <c r="AC41" s="247">
        <f t="shared" ca="1" si="3"/>
        <v>0</v>
      </c>
      <c r="AD41" s="247">
        <f t="shared" ca="1" si="3"/>
        <v>0</v>
      </c>
      <c r="AE41" s="247">
        <f t="shared" ca="1" si="3"/>
        <v>0</v>
      </c>
      <c r="AF41" s="247">
        <f t="shared" ca="1" si="3"/>
        <v>0</v>
      </c>
      <c r="AG41" s="247">
        <f t="shared" ca="1" si="3"/>
        <v>0</v>
      </c>
      <c r="AH41" s="247">
        <f t="shared" ca="1" si="3"/>
        <v>0</v>
      </c>
      <c r="AI41" s="247">
        <f t="shared" ca="1" si="3"/>
        <v>0</v>
      </c>
      <c r="AJ41" s="247">
        <f t="shared" ca="1" si="3"/>
        <v>0</v>
      </c>
      <c r="AK41" s="247">
        <f t="shared" ca="1" si="3"/>
        <v>0</v>
      </c>
      <c r="AL41" s="247">
        <f t="shared" ca="1" si="3"/>
        <v>0</v>
      </c>
      <c r="AM41" s="247">
        <f t="shared" ca="1" si="3"/>
        <v>0</v>
      </c>
      <c r="AN41" s="247">
        <f t="shared" ca="1" si="3"/>
        <v>0</v>
      </c>
      <c r="AO41" s="247">
        <f t="shared" ca="1" si="3"/>
        <v>0</v>
      </c>
      <c r="AP41" s="247">
        <f t="shared" ca="1" si="3"/>
        <v>0</v>
      </c>
      <c r="AQ41" s="247">
        <f t="shared" ca="1" si="3"/>
        <v>0</v>
      </c>
      <c r="AR41" s="247">
        <f t="shared" ca="1" si="3"/>
        <v>0</v>
      </c>
      <c r="AS41" s="247">
        <f t="shared" ca="1" si="3"/>
        <v>0</v>
      </c>
      <c r="AT41" s="247">
        <f t="shared" ca="1" si="3"/>
        <v>0</v>
      </c>
      <c r="AU41" s="247">
        <f t="shared" ca="1" si="3"/>
        <v>0</v>
      </c>
      <c r="AV41" s="247">
        <f t="shared" ca="1" si="3"/>
        <v>0</v>
      </c>
      <c r="AW41" s="247">
        <f t="shared" ca="1" si="3"/>
        <v>0</v>
      </c>
      <c r="AX41" s="247">
        <f t="shared" ca="1" si="3"/>
        <v>0</v>
      </c>
      <c r="AY41" s="247">
        <f t="shared" ca="1" si="3"/>
        <v>0</v>
      </c>
      <c r="AZ41" s="247">
        <f t="shared" ca="1" si="3"/>
        <v>0</v>
      </c>
      <c r="BA41" s="247">
        <f t="shared" ca="1" si="3"/>
        <v>0</v>
      </c>
      <c r="BB41" s="247">
        <f t="shared" ca="1" si="3"/>
        <v>0</v>
      </c>
      <c r="BC41" s="247">
        <f t="shared" ca="1" si="3"/>
        <v>0</v>
      </c>
      <c r="BD41" s="247">
        <f t="shared" ca="1" si="3"/>
        <v>0</v>
      </c>
      <c r="BE41" s="30"/>
      <c r="BF41" s="249">
        <f t="shared" ca="1" si="0"/>
        <v>75523.102586447159</v>
      </c>
    </row>
    <row r="42" spans="1:70" s="43" customFormat="1" ht="13.5" customHeight="1" x14ac:dyDescent="0.75">
      <c r="C42" s="559" t="s">
        <v>655</v>
      </c>
      <c r="D42" s="247">
        <f ca="1">D52</f>
        <v>0.05</v>
      </c>
      <c r="E42" s="247">
        <f ca="1">IFERROR(IF((D52-E63+E37)&gt;$D$12,$D$12-(D52-E63),E37),"")</f>
        <v>0.14901936961983006</v>
      </c>
      <c r="F42" s="247">
        <f t="shared" ref="F42:BD42" ca="1" si="4">IFERROR(IF((E52-F63+F37)&gt;$D$12,$D$12-(E52-F63),F37),"")</f>
        <v>0.51210624333379029</v>
      </c>
      <c r="G42" s="247">
        <f ca="1">IFERROR(IF((F52-G63+G37)&gt;$D$12,$D$12-(F52-G63),G37),"")</f>
        <v>1.759839865282411</v>
      </c>
      <c r="H42" s="247">
        <f ca="1">IFERROR(IF((G52-H63+H37)&gt;$D$12,$D$12-(G52-H63),H37),"")</f>
        <v>6.0474399763702964</v>
      </c>
      <c r="I42" s="247">
        <f t="shared" ca="1" si="4"/>
        <v>20.778758032270105</v>
      </c>
      <c r="J42" s="247">
        <f t="shared" ca="1" si="4"/>
        <v>71.366510866627991</v>
      </c>
      <c r="K42" s="247">
        <f t="shared" ca="1" si="4"/>
        <v>244.77940687578112</v>
      </c>
      <c r="L42" s="247">
        <f t="shared" ca="1" si="4"/>
        <v>630.29899312421901</v>
      </c>
      <c r="M42" s="247">
        <f t="shared" ca="1" si="4"/>
        <v>244.77940687578109</v>
      </c>
      <c r="N42" s="247">
        <f t="shared" ca="1" si="4"/>
        <v>630.29899312421901</v>
      </c>
      <c r="O42" s="247">
        <f t="shared" ca="1" si="4"/>
        <v>244.77940687578109</v>
      </c>
      <c r="P42" s="247">
        <f t="shared" ca="1" si="4"/>
        <v>630.29899312421901</v>
      </c>
      <c r="Q42" s="247">
        <f t="shared" ca="1" si="4"/>
        <v>0</v>
      </c>
      <c r="R42" s="247">
        <f t="shared" ca="1" si="4"/>
        <v>0</v>
      </c>
      <c r="S42" s="247">
        <f t="shared" ca="1" si="4"/>
        <v>0</v>
      </c>
      <c r="T42" s="247">
        <f t="shared" ca="1" si="4"/>
        <v>0</v>
      </c>
      <c r="U42" s="247">
        <f t="shared" ca="1" si="4"/>
        <v>0</v>
      </c>
      <c r="V42" s="247">
        <f t="shared" ca="1" si="4"/>
        <v>0</v>
      </c>
      <c r="W42" s="247">
        <f t="shared" ca="1" si="4"/>
        <v>0</v>
      </c>
      <c r="X42" s="247">
        <f t="shared" ca="1" si="4"/>
        <v>0</v>
      </c>
      <c r="Y42" s="247">
        <f t="shared" ca="1" si="4"/>
        <v>0</v>
      </c>
      <c r="Z42" s="247">
        <f t="shared" ca="1" si="4"/>
        <v>0</v>
      </c>
      <c r="AA42" s="247">
        <f t="shared" ca="1" si="4"/>
        <v>0</v>
      </c>
      <c r="AB42" s="247">
        <f t="shared" ca="1" si="4"/>
        <v>0</v>
      </c>
      <c r="AC42" s="247">
        <f t="shared" ca="1" si="4"/>
        <v>0</v>
      </c>
      <c r="AD42" s="247">
        <f t="shared" ca="1" si="4"/>
        <v>0</v>
      </c>
      <c r="AE42" s="247">
        <f t="shared" ca="1" si="4"/>
        <v>0</v>
      </c>
      <c r="AF42" s="247">
        <f t="shared" ca="1" si="4"/>
        <v>0</v>
      </c>
      <c r="AG42" s="247">
        <f t="shared" ca="1" si="4"/>
        <v>0</v>
      </c>
      <c r="AH42" s="247">
        <f t="shared" ca="1" si="4"/>
        <v>0</v>
      </c>
      <c r="AI42" s="247">
        <f t="shared" ca="1" si="4"/>
        <v>0</v>
      </c>
      <c r="AJ42" s="247">
        <f t="shared" ca="1" si="4"/>
        <v>0</v>
      </c>
      <c r="AK42" s="247">
        <f t="shared" ca="1" si="4"/>
        <v>0</v>
      </c>
      <c r="AL42" s="247">
        <f t="shared" ca="1" si="4"/>
        <v>0</v>
      </c>
      <c r="AM42" s="247">
        <f t="shared" ca="1" si="4"/>
        <v>0</v>
      </c>
      <c r="AN42" s="247">
        <f t="shared" ca="1" si="4"/>
        <v>0</v>
      </c>
      <c r="AO42" s="247">
        <f t="shared" ca="1" si="4"/>
        <v>0</v>
      </c>
      <c r="AP42" s="247">
        <f t="shared" ca="1" si="4"/>
        <v>0</v>
      </c>
      <c r="AQ42" s="247">
        <f t="shared" ca="1" si="4"/>
        <v>0</v>
      </c>
      <c r="AR42" s="247">
        <f t="shared" ca="1" si="4"/>
        <v>0</v>
      </c>
      <c r="AS42" s="247">
        <f t="shared" ca="1" si="4"/>
        <v>0</v>
      </c>
      <c r="AT42" s="247">
        <f t="shared" ca="1" si="4"/>
        <v>0</v>
      </c>
      <c r="AU42" s="247">
        <f t="shared" ca="1" si="4"/>
        <v>0</v>
      </c>
      <c r="AV42" s="247">
        <f t="shared" ca="1" si="4"/>
        <v>0</v>
      </c>
      <c r="AW42" s="247">
        <f t="shared" ca="1" si="4"/>
        <v>0</v>
      </c>
      <c r="AX42" s="247">
        <f t="shared" ca="1" si="4"/>
        <v>0</v>
      </c>
      <c r="AY42" s="247">
        <f t="shared" ca="1" si="4"/>
        <v>0</v>
      </c>
      <c r="AZ42" s="247">
        <f t="shared" ca="1" si="4"/>
        <v>0</v>
      </c>
      <c r="BA42" s="247">
        <f t="shared" ca="1" si="4"/>
        <v>0</v>
      </c>
      <c r="BB42" s="247">
        <f t="shared" ca="1" si="4"/>
        <v>0</v>
      </c>
      <c r="BC42" s="247">
        <f t="shared" ca="1" si="4"/>
        <v>0</v>
      </c>
      <c r="BD42" s="247">
        <f t="shared" ca="1" si="4"/>
        <v>0</v>
      </c>
      <c r="BE42" s="30"/>
      <c r="BF42" s="249">
        <f t="shared" ca="1" si="0"/>
        <v>2725.8488743535049</v>
      </c>
    </row>
    <row r="43" spans="1:70" x14ac:dyDescent="0.7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c r="BF43"/>
      <c r="BG43"/>
      <c r="BH43"/>
      <c r="BI43"/>
      <c r="BJ43"/>
      <c r="BK43"/>
      <c r="BL43"/>
      <c r="BM43"/>
      <c r="BN43"/>
      <c r="BO43"/>
      <c r="BP43"/>
      <c r="BQ43"/>
      <c r="BR43"/>
    </row>
    <row r="44" spans="1:70" s="26" customFormat="1" x14ac:dyDescent="0.75">
      <c r="C44" s="240" t="s">
        <v>1114</v>
      </c>
      <c r="BF44" s="251"/>
    </row>
    <row r="45" spans="1:70" x14ac:dyDescent="0.75">
      <c r="C45" s="6" t="s">
        <v>304</v>
      </c>
      <c r="D45" s="246">
        <f ca="1">IFERROR(VLOOKUP(D$31,'Patient Calcs'!$B13:$U65,20,FALSE),0)</f>
        <v>0.4</v>
      </c>
      <c r="E45" s="246">
        <f ca="1">IFERROR(VLOOKUP(E$31,'Patient Calcs'!$B13:$U65,20,FALSE),0)</f>
        <v>1.5921549569586404</v>
      </c>
      <c r="F45" s="246">
        <f ca="1">IFERROR(VLOOKUP(F$31,'Patient Calcs'!$B13:$U65,20,FALSE),0)</f>
        <v>5.2890049036289621</v>
      </c>
      <c r="G45" s="246">
        <f ca="1">IFERROR(VLOOKUP(G$31,'Patient Calcs'!$B13:$U65,20,FALSE),0)</f>
        <v>18.175568868929613</v>
      </c>
      <c r="H45" s="246">
        <f ca="1">IFERROR(VLOOKUP(H$31,'Patient Calcs'!$B13:$U65,20,FALSE),0)</f>
        <v>62.45823873322167</v>
      </c>
      <c r="I45" s="246">
        <f ca="1">IFERROR(VLOOKUP(I$31,'Patient Calcs'!$B13:$U65,20,FALSE),0)</f>
        <v>214.60958406912323</v>
      </c>
      <c r="J45" s="246">
        <f ca="1">IFERROR(VLOOKUP(J$31,'Patient Calcs'!$B13:$U65,20,FALSE),0)</f>
        <v>737.16215119118476</v>
      </c>
      <c r="K45" s="246">
        <f ca="1">IFERROR(VLOOKUP(K$31,'Patient Calcs'!$B13:$U65,20,FALSE),0)</f>
        <v>2529.1673419392728</v>
      </c>
      <c r="L45" s="246">
        <f ca="1">IFERROR(VLOOKUP(L$31,'Patient Calcs'!$B13:$U65,20,FALSE),0)</f>
        <v>8643.3474021397506</v>
      </c>
      <c r="M45" s="246">
        <f ca="1">IFERROR(VLOOKUP(M$31,'Patient Calcs'!$B13:$U65,20,FALSE),0)</f>
        <v>29146.022780691441</v>
      </c>
      <c r="N45" s="246">
        <f ca="1">IFERROR(VLOOKUP(N$31,'Patient Calcs'!$B13:$U65,20,FALSE),0)</f>
        <v>94039.010317365566</v>
      </c>
      <c r="O45" s="246">
        <f ca="1">IFERROR(VLOOKUP(O$31,'Patient Calcs'!$B13:$U65,20,FALSE),0)</f>
        <v>265563.88026148174</v>
      </c>
      <c r="P45" s="246">
        <f ca="1">IFERROR(VLOOKUP(P$31,'Patient Calcs'!$B13:$U65,20,FALSE),0)</f>
        <v>546038.4082703325</v>
      </c>
      <c r="Q45" s="246">
        <f>IFERROR(VLOOKUP(Q$31,'Patient Calcs'!$B13:$U65,20,FALSE),0)</f>
        <v>0</v>
      </c>
      <c r="R45" s="246">
        <f>IFERROR(VLOOKUP(R$31,'Patient Calcs'!$B13:$U65,20,FALSE),0)</f>
        <v>0</v>
      </c>
      <c r="S45" s="246">
        <f>IFERROR(VLOOKUP(S$31,'Patient Calcs'!$B13:$U65,20,FALSE),0)</f>
        <v>0</v>
      </c>
      <c r="T45" s="246">
        <f>IFERROR(VLOOKUP(T$31,'Patient Calcs'!$B13:$U65,20,FALSE),0)</f>
        <v>0</v>
      </c>
      <c r="U45" s="246">
        <f>IFERROR(VLOOKUP(U$31,'Patient Calcs'!$B13:$U65,20,FALSE),0)</f>
        <v>0</v>
      </c>
      <c r="V45" s="246">
        <f>IFERROR(VLOOKUP(V$31,'Patient Calcs'!$B13:$U65,20,FALSE),0)</f>
        <v>0</v>
      </c>
      <c r="W45" s="246">
        <f>IFERROR(VLOOKUP(W$31,'Patient Calcs'!$B13:$U65,20,FALSE),0)</f>
        <v>0</v>
      </c>
      <c r="X45" s="246">
        <f>IFERROR(VLOOKUP(X$31,'Patient Calcs'!$B13:$U65,20,FALSE),0)</f>
        <v>0</v>
      </c>
      <c r="Y45" s="246">
        <f>IFERROR(VLOOKUP(Y$31,'Patient Calcs'!$B13:$U65,20,FALSE),0)</f>
        <v>0</v>
      </c>
      <c r="Z45" s="246">
        <f>IFERROR(VLOOKUP(Z$31,'Patient Calcs'!$B13:$U65,20,FALSE),0)</f>
        <v>0</v>
      </c>
      <c r="AA45" s="246">
        <f>IFERROR(VLOOKUP(AA$31,'Patient Calcs'!$B13:$U65,20,FALSE),0)</f>
        <v>0</v>
      </c>
      <c r="AB45" s="246">
        <f>IFERROR(VLOOKUP(AB$31,'Patient Calcs'!$B13:$U65,20,FALSE),0)</f>
        <v>0</v>
      </c>
      <c r="AC45" s="246">
        <f>IFERROR(VLOOKUP(AC$31,'Patient Calcs'!$B13:$U65,20,FALSE),0)</f>
        <v>0</v>
      </c>
      <c r="AD45" s="246">
        <f>IFERROR(VLOOKUP(AD$31,'Patient Calcs'!$B13:$U65,20,FALSE),0)</f>
        <v>0</v>
      </c>
      <c r="AE45" s="246">
        <f>IFERROR(VLOOKUP(AE$31,'Patient Calcs'!$B13:$U65,20,FALSE),0)</f>
        <v>0</v>
      </c>
      <c r="AF45" s="246">
        <f>IFERROR(VLOOKUP(AF$31,'Patient Calcs'!$B13:$U65,20,FALSE),0)</f>
        <v>0</v>
      </c>
      <c r="AG45" s="246">
        <f>IFERROR(VLOOKUP(AG$31,'Patient Calcs'!$B13:$U65,20,FALSE),0)</f>
        <v>0</v>
      </c>
      <c r="AH45" s="246">
        <f>IFERROR(VLOOKUP(AH$31,'Patient Calcs'!$B13:$U65,20,FALSE),0)</f>
        <v>0</v>
      </c>
      <c r="AI45" s="246">
        <f>IFERROR(VLOOKUP(AI$31,'Patient Calcs'!$B13:$U65,20,FALSE),0)</f>
        <v>0</v>
      </c>
      <c r="AJ45" s="246">
        <f>IFERROR(VLOOKUP(AJ$31,'Patient Calcs'!$B13:$U65,20,FALSE),0)</f>
        <v>0</v>
      </c>
      <c r="AK45" s="246">
        <f>IFERROR(VLOOKUP(AK$31,'Patient Calcs'!$B13:$U65,20,FALSE),0)</f>
        <v>0</v>
      </c>
      <c r="AL45" s="246">
        <f>IFERROR(VLOOKUP(AL$31,'Patient Calcs'!$B13:$U65,20,FALSE),0)</f>
        <v>0</v>
      </c>
      <c r="AM45" s="246">
        <f>IFERROR(VLOOKUP(AM$31,'Patient Calcs'!$B13:$U65,20,FALSE),0)</f>
        <v>0</v>
      </c>
      <c r="AN45" s="246">
        <f>IFERROR(VLOOKUP(AN$31,'Patient Calcs'!$B13:$U65,20,FALSE),0)</f>
        <v>0</v>
      </c>
      <c r="AO45" s="246">
        <f>IFERROR(VLOOKUP(AO$31,'Patient Calcs'!$B13:$U65,20,FALSE),0)</f>
        <v>0</v>
      </c>
      <c r="AP45" s="246">
        <f>IFERROR(VLOOKUP(AP$31,'Patient Calcs'!$B13:$U65,20,FALSE),0)</f>
        <v>0</v>
      </c>
      <c r="AQ45" s="246">
        <f>IFERROR(VLOOKUP(AQ$31,'Patient Calcs'!$B13:$U65,20,FALSE),0)</f>
        <v>0</v>
      </c>
      <c r="AR45" s="246">
        <f>IFERROR(VLOOKUP(AR$31,'Patient Calcs'!$B13:$U65,20,FALSE),0)</f>
        <v>0</v>
      </c>
      <c r="AS45" s="246">
        <f>IFERROR(VLOOKUP(AS$31,'Patient Calcs'!$B13:$U65,20,FALSE),0)</f>
        <v>0</v>
      </c>
      <c r="AT45" s="246">
        <f>IFERROR(VLOOKUP(AT$31,'Patient Calcs'!$B13:$U65,20,FALSE),0)</f>
        <v>0</v>
      </c>
      <c r="AU45" s="246">
        <f>IFERROR(VLOOKUP(AU$31,'Patient Calcs'!$B13:$U65,20,FALSE),0)</f>
        <v>0</v>
      </c>
      <c r="AV45" s="246">
        <f>IFERROR(VLOOKUP(AV$31,'Patient Calcs'!$B13:$U65,20,FALSE),0)</f>
        <v>0</v>
      </c>
      <c r="AW45" s="246">
        <f>IFERROR(VLOOKUP(AW$31,'Patient Calcs'!$B13:$U65,20,FALSE),0)</f>
        <v>0</v>
      </c>
      <c r="AX45" s="246">
        <f>IFERROR(VLOOKUP(AX$31,'Patient Calcs'!$B13:$U65,20,FALSE),0)</f>
        <v>0</v>
      </c>
      <c r="AY45" s="246">
        <f>IFERROR(VLOOKUP(AY$31,'Patient Calcs'!$B13:$U65,20,FALSE),0)</f>
        <v>0</v>
      </c>
      <c r="AZ45" s="246">
        <f>IFERROR(VLOOKUP(AZ$31,'Patient Calcs'!$B13:$U65,20,FALSE),0)</f>
        <v>0</v>
      </c>
      <c r="BA45" s="246">
        <f>IFERROR(VLOOKUP(BA$31,'Patient Calcs'!$B13:$U65,20,FALSE),0)</f>
        <v>0</v>
      </c>
      <c r="BB45" s="246">
        <f>IFERROR(VLOOKUP(BB$31,'Patient Calcs'!$B13:$U65,20,FALSE),0)</f>
        <v>0</v>
      </c>
      <c r="BC45" s="246">
        <f>IFERROR(VLOOKUP(BC$31,'Patient Calcs'!$B13:$U65,20,FALSE),0)</f>
        <v>0</v>
      </c>
      <c r="BD45" s="246">
        <f>IFERROR(VLOOKUP(BD$31,'Patient Calcs'!$B13:$U65,20,FALSE),0)</f>
        <v>0</v>
      </c>
      <c r="BE45"/>
      <c r="BF45" s="58"/>
      <c r="BG45"/>
      <c r="BH45"/>
      <c r="BI45"/>
      <c r="BJ45"/>
      <c r="BK45"/>
      <c r="BL45"/>
      <c r="BM45"/>
      <c r="BN45"/>
      <c r="BO45"/>
      <c r="BP45"/>
      <c r="BQ45"/>
      <c r="BR45"/>
    </row>
    <row r="46" spans="1:70" s="132" customFormat="1" x14ac:dyDescent="0.75">
      <c r="C46" s="6" t="s">
        <v>989</v>
      </c>
      <c r="D46" s="246">
        <f ca="1">IFERROR(VLOOKUP(D$31,'Patient Calcs'!$B13:$V65,21,FALSE),0)</f>
        <v>0.4</v>
      </c>
      <c r="E46" s="246">
        <f ca="1">IFERROR(VLOOKUP(E$31,'Patient Calcs'!$B13:$V65,21,FALSE),0)</f>
        <v>1.5921549569586404</v>
      </c>
      <c r="F46" s="246">
        <f ca="1">IFERROR(VLOOKUP(F$31,'Patient Calcs'!$B13:$V65,21,FALSE),0)</f>
        <v>5.2890049036289621</v>
      </c>
      <c r="G46" s="246">
        <f ca="1">IFERROR(VLOOKUP(G$31,'Patient Calcs'!$B13:$V65,21,FALSE),0)</f>
        <v>18.175568868929613</v>
      </c>
      <c r="H46" s="246">
        <f ca="1">IFERROR(VLOOKUP(H$31,'Patient Calcs'!$B13:$V65,21,FALSE),0)</f>
        <v>62.45823873322167</v>
      </c>
      <c r="I46" s="246">
        <f ca="1">IFERROR(VLOOKUP(I$31,'Patient Calcs'!$B13:$V65,21,FALSE),0)</f>
        <v>214.60958406912323</v>
      </c>
      <c r="J46" s="246">
        <f ca="1">IFERROR(VLOOKUP(J$31,'Patient Calcs'!$B13:$V65,21,FALSE),0)</f>
        <v>737.16215119118476</v>
      </c>
      <c r="K46" s="246">
        <f ca="1">IFERROR(VLOOKUP(K$31,'Patient Calcs'!$B13:$V65,21,FALSE),0)</f>
        <v>2529.1673419392728</v>
      </c>
      <c r="L46" s="246">
        <f ca="1">IFERROR(VLOOKUP(L$31,'Patient Calcs'!$B13:$V65,21,FALSE),0)</f>
        <v>8643.3474021397506</v>
      </c>
      <c r="M46" s="246">
        <f ca="1">IFERROR(VLOOKUP(M$31,'Patient Calcs'!$B13:$V65,21,FALSE),0)</f>
        <v>29146.022780691441</v>
      </c>
      <c r="N46" s="246">
        <f ca="1">IFERROR(VLOOKUP(N$31,'Patient Calcs'!$B13:$V65,21,FALSE),0)</f>
        <v>94039.010317365566</v>
      </c>
      <c r="O46" s="246">
        <f ca="1">IFERROR(VLOOKUP(O$31,'Patient Calcs'!$B13:$V65,21,FALSE),0)</f>
        <v>265563.88026148174</v>
      </c>
      <c r="P46" s="246">
        <f ca="1">IFERROR(VLOOKUP(P$31,'Patient Calcs'!$B13:$V65,21,FALSE),0)</f>
        <v>546038.4082703325</v>
      </c>
      <c r="Q46" s="246">
        <f>IFERROR(VLOOKUP(Q$31,'Patient Calcs'!$B13:$V65,21,FALSE),0)</f>
        <v>0</v>
      </c>
      <c r="R46" s="246">
        <f>IFERROR(VLOOKUP(R$31,'Patient Calcs'!$B13:$V65,21,FALSE),0)</f>
        <v>0</v>
      </c>
      <c r="S46" s="246">
        <f>IFERROR(VLOOKUP(S$31,'Patient Calcs'!$B13:$V65,21,FALSE),0)</f>
        <v>0</v>
      </c>
      <c r="T46" s="246">
        <f>IFERROR(VLOOKUP(T$31,'Patient Calcs'!$B13:$V65,21,FALSE),0)</f>
        <v>0</v>
      </c>
      <c r="U46" s="246">
        <f>IFERROR(VLOOKUP(U$31,'Patient Calcs'!$B13:$V65,21,FALSE),0)</f>
        <v>0</v>
      </c>
      <c r="V46" s="246">
        <f>IFERROR(VLOOKUP(V$31,'Patient Calcs'!$B13:$V65,21,FALSE),0)</f>
        <v>0</v>
      </c>
      <c r="W46" s="246">
        <f>IFERROR(VLOOKUP(W$31,'Patient Calcs'!$B13:$V65,21,FALSE),0)</f>
        <v>0</v>
      </c>
      <c r="X46" s="246">
        <f>IFERROR(VLOOKUP(X$31,'Patient Calcs'!$B13:$V65,21,FALSE),0)</f>
        <v>0</v>
      </c>
      <c r="Y46" s="246">
        <f>IFERROR(VLOOKUP(Y$31,'Patient Calcs'!$B13:$V65,21,FALSE),0)</f>
        <v>0</v>
      </c>
      <c r="Z46" s="246">
        <f>IFERROR(VLOOKUP(Z$31,'Patient Calcs'!$B13:$V65,21,FALSE),0)</f>
        <v>0</v>
      </c>
      <c r="AA46" s="246">
        <f>IFERROR(VLOOKUP(AA$31,'Patient Calcs'!$B13:$V65,21,FALSE),0)</f>
        <v>0</v>
      </c>
      <c r="AB46" s="246">
        <f>IFERROR(VLOOKUP(AB$31,'Patient Calcs'!$B13:$V65,21,FALSE),0)</f>
        <v>0</v>
      </c>
      <c r="AC46" s="246">
        <f>IFERROR(VLOOKUP(AC$31,'Patient Calcs'!$B13:$V65,21,FALSE),0)</f>
        <v>0</v>
      </c>
      <c r="AD46" s="246">
        <f>IFERROR(VLOOKUP(AD$31,'Patient Calcs'!$B13:$V65,21,FALSE),0)</f>
        <v>0</v>
      </c>
      <c r="AE46" s="246">
        <f>IFERROR(VLOOKUP(AE$31,'Patient Calcs'!$B13:$V65,21,FALSE),0)</f>
        <v>0</v>
      </c>
      <c r="AF46" s="246">
        <f>IFERROR(VLOOKUP(AF$31,'Patient Calcs'!$B13:$V65,21,FALSE),0)</f>
        <v>0</v>
      </c>
      <c r="AG46" s="246">
        <f>IFERROR(VLOOKUP(AG$31,'Patient Calcs'!$B13:$V65,21,FALSE),0)</f>
        <v>0</v>
      </c>
      <c r="AH46" s="246">
        <f>IFERROR(VLOOKUP(AH$31,'Patient Calcs'!$B13:$V65,21,FALSE),0)</f>
        <v>0</v>
      </c>
      <c r="AI46" s="246">
        <f>IFERROR(VLOOKUP(AI$31,'Patient Calcs'!$B13:$V65,21,FALSE),0)</f>
        <v>0</v>
      </c>
      <c r="AJ46" s="246">
        <f>IFERROR(VLOOKUP(AJ$31,'Patient Calcs'!$B13:$V65,21,FALSE),0)</f>
        <v>0</v>
      </c>
      <c r="AK46" s="246">
        <f>IFERROR(VLOOKUP(AK$31,'Patient Calcs'!$B13:$V65,21,FALSE),0)</f>
        <v>0</v>
      </c>
      <c r="AL46" s="246">
        <f>IFERROR(VLOOKUP(AL$31,'Patient Calcs'!$B13:$V65,21,FALSE),0)</f>
        <v>0</v>
      </c>
      <c r="AM46" s="246">
        <f>IFERROR(VLOOKUP(AM$31,'Patient Calcs'!$B13:$V65,21,FALSE),0)</f>
        <v>0</v>
      </c>
      <c r="AN46" s="246">
        <f>IFERROR(VLOOKUP(AN$31,'Patient Calcs'!$B13:$V65,21,FALSE),0)</f>
        <v>0</v>
      </c>
      <c r="AO46" s="246">
        <f>IFERROR(VLOOKUP(AO$31,'Patient Calcs'!$B13:$V65,21,FALSE),0)</f>
        <v>0</v>
      </c>
      <c r="AP46" s="246">
        <f>IFERROR(VLOOKUP(AP$31,'Patient Calcs'!$B13:$V65,21,FALSE),0)</f>
        <v>0</v>
      </c>
      <c r="AQ46" s="246">
        <f>IFERROR(VLOOKUP(AQ$31,'Patient Calcs'!$B13:$V65,21,FALSE),0)</f>
        <v>0</v>
      </c>
      <c r="AR46" s="246">
        <f>IFERROR(VLOOKUP(AR$31,'Patient Calcs'!$B13:$V65,21,FALSE),0)</f>
        <v>0</v>
      </c>
      <c r="AS46" s="246">
        <f>IFERROR(VLOOKUP(AS$31,'Patient Calcs'!$B13:$V65,21,FALSE),0)</f>
        <v>0</v>
      </c>
      <c r="AT46" s="246">
        <f>IFERROR(VLOOKUP(AT$31,'Patient Calcs'!$B13:$V65,21,FALSE),0)</f>
        <v>0</v>
      </c>
      <c r="AU46" s="246">
        <f>IFERROR(VLOOKUP(AU$31,'Patient Calcs'!$B13:$V65,21,FALSE),0)</f>
        <v>0</v>
      </c>
      <c r="AV46" s="246">
        <f>IFERROR(VLOOKUP(AV$31,'Patient Calcs'!$B13:$V65,21,FALSE),0)</f>
        <v>0</v>
      </c>
      <c r="AW46" s="246">
        <f>IFERROR(VLOOKUP(AW$31,'Patient Calcs'!$B13:$V65,21,FALSE),0)</f>
        <v>0</v>
      </c>
      <c r="AX46" s="246">
        <f>IFERROR(VLOOKUP(AX$31,'Patient Calcs'!$B13:$V65,21,FALSE),0)</f>
        <v>0</v>
      </c>
      <c r="AY46" s="246">
        <f>IFERROR(VLOOKUP(AY$31,'Patient Calcs'!$B13:$V65,21,FALSE),0)</f>
        <v>0</v>
      </c>
      <c r="AZ46" s="246">
        <f>IFERROR(VLOOKUP(AZ$31,'Patient Calcs'!$B13:$V65,21,FALSE),0)</f>
        <v>0</v>
      </c>
      <c r="BA46" s="246">
        <f>IFERROR(VLOOKUP(BA$31,'Patient Calcs'!$B13:$V65,21,FALSE),0)</f>
        <v>0</v>
      </c>
      <c r="BB46" s="246">
        <f>IFERROR(VLOOKUP(BB$31,'Patient Calcs'!$B13:$V65,21,FALSE),0)</f>
        <v>0</v>
      </c>
      <c r="BC46" s="246">
        <f>IFERROR(VLOOKUP(BC$31,'Patient Calcs'!$B13:$V65,21,FALSE),0)</f>
        <v>0</v>
      </c>
      <c r="BD46" s="246">
        <f>IFERROR(VLOOKUP(BD$31,'Patient Calcs'!$B13:$V65,21,FALSE),0)</f>
        <v>0</v>
      </c>
      <c r="BF46" s="58"/>
    </row>
    <row r="47" spans="1:70" x14ac:dyDescent="0.75">
      <c r="C47" s="6" t="s">
        <v>303</v>
      </c>
      <c r="D47" s="246">
        <f ca="1">IFERROR(VLOOKUP(D$31,'Patient Calcs'!$B13:$W65,22,FALSE),0)</f>
        <v>0.15</v>
      </c>
      <c r="E47" s="246">
        <f ca="1">IFERROR(VLOOKUP(E$31,'Patient Calcs'!$B13:$W65,22,FALSE),0)</f>
        <v>0.44705810885949004</v>
      </c>
      <c r="F47" s="246">
        <f ca="1">IFERROR(VLOOKUP(F$31,'Patient Calcs'!$B13:$W65,22,FALSE),0)</f>
        <v>1.536318730001371</v>
      </c>
      <c r="G47" s="246">
        <f ca="1">IFERROR(VLOOKUP(G$31,'Patient Calcs'!$B13:$W65,22,FALSE),0)</f>
        <v>5.2795195958472325</v>
      </c>
      <c r="H47" s="246">
        <f ca="1">IFERROR(VLOOKUP(H$31,'Patient Calcs'!$B13:$W65,22,FALSE),0)</f>
        <v>18.14231992911089</v>
      </c>
      <c r="I47" s="246">
        <f ca="1">IFERROR(VLOOKUP(I$31,'Patient Calcs'!$B13:$W65,22,FALSE),0)</f>
        <v>62.336274096810314</v>
      </c>
      <c r="J47" s="246">
        <f ca="1">IFERROR(VLOOKUP(J$31,'Patient Calcs'!$B13:$W65,22,FALSE),0)</f>
        <v>214.0995325998839</v>
      </c>
      <c r="K47" s="246">
        <f ca="1">IFERROR(VLOOKUP(K$31,'Patient Calcs'!$B13:$W65,22,FALSE),0)</f>
        <v>734.33822062734316</v>
      </c>
      <c r="L47" s="246">
        <f ca="1">IFERROR(VLOOKUP(L$31,'Patient Calcs'!$B13:$W65,22,FALSE),0)</f>
        <v>2506.9170551750631</v>
      </c>
      <c r="M47" s="246">
        <f ca="1">IFERROR(VLOOKUP(M$31,'Patient Calcs'!$B13:$W65,22,FALSE),0)</f>
        <v>8422.8414875842282</v>
      </c>
      <c r="N47" s="246">
        <f ca="1">IFERROR(VLOOKUP(N$31,'Patient Calcs'!$B13:$W65,22,FALSE),0)</f>
        <v>26841.787381427857</v>
      </c>
      <c r="O47" s="246">
        <f ca="1">IFERROR(VLOOKUP(O$31,'Patient Calcs'!$B13:$W65,22,FALSE),0)</f>
        <v>72744.667716627795</v>
      </c>
      <c r="P47" s="246">
        <f ca="1">IFERROR(VLOOKUP(P$31,'Patient Calcs'!$B13:$W65,22,FALSE),0)</f>
        <v>132019.73538474686</v>
      </c>
      <c r="Q47" s="246">
        <f>IFERROR(VLOOKUP(Q$31,'Patient Calcs'!$B13:$W65,22,FALSE),0)</f>
        <v>0</v>
      </c>
      <c r="R47" s="246">
        <f>IFERROR(VLOOKUP(R$31,'Patient Calcs'!$B13:$W65,22,FALSE),0)</f>
        <v>0</v>
      </c>
      <c r="S47" s="246">
        <f>IFERROR(VLOOKUP(S$31,'Patient Calcs'!$B13:$W65,22,FALSE),0)</f>
        <v>0</v>
      </c>
      <c r="T47" s="246">
        <f>IFERROR(VLOOKUP(T$31,'Patient Calcs'!$B13:$W65,22,FALSE),0)</f>
        <v>0</v>
      </c>
      <c r="U47" s="246">
        <f>IFERROR(VLOOKUP(U$31,'Patient Calcs'!$B13:$W65,22,FALSE),0)</f>
        <v>0</v>
      </c>
      <c r="V47" s="246">
        <f>IFERROR(VLOOKUP(V$31,'Patient Calcs'!$B13:$W65,22,FALSE),0)</f>
        <v>0</v>
      </c>
      <c r="W47" s="246">
        <f>IFERROR(VLOOKUP(W$31,'Patient Calcs'!$B13:$W65,22,FALSE),0)</f>
        <v>0</v>
      </c>
      <c r="X47" s="246">
        <f>IFERROR(VLOOKUP(X$31,'Patient Calcs'!$B13:$W65,22,FALSE),0)</f>
        <v>0</v>
      </c>
      <c r="Y47" s="246">
        <f>IFERROR(VLOOKUP(Y$31,'Patient Calcs'!$B13:$W65,22,FALSE),0)</f>
        <v>0</v>
      </c>
      <c r="Z47" s="246">
        <f>IFERROR(VLOOKUP(Z$31,'Patient Calcs'!$B13:$W65,22,FALSE),0)</f>
        <v>0</v>
      </c>
      <c r="AA47" s="246">
        <f>IFERROR(VLOOKUP(AA$31,'Patient Calcs'!$B13:$W65,22,FALSE),0)</f>
        <v>0</v>
      </c>
      <c r="AB47" s="246">
        <f>IFERROR(VLOOKUP(AB$31,'Patient Calcs'!$B13:$W65,22,FALSE),0)</f>
        <v>0</v>
      </c>
      <c r="AC47" s="246">
        <f>IFERROR(VLOOKUP(AC$31,'Patient Calcs'!$B13:$W65,22,FALSE),0)</f>
        <v>0</v>
      </c>
      <c r="AD47" s="246">
        <f>IFERROR(VLOOKUP(AD$31,'Patient Calcs'!$B13:$W65,22,FALSE),0)</f>
        <v>0</v>
      </c>
      <c r="AE47" s="246">
        <f>IFERROR(VLOOKUP(AE$31,'Patient Calcs'!$B13:$W65,22,FALSE),0)</f>
        <v>0</v>
      </c>
      <c r="AF47" s="246">
        <f>IFERROR(VLOOKUP(AF$31,'Patient Calcs'!$B13:$W65,22,FALSE),0)</f>
        <v>0</v>
      </c>
      <c r="AG47" s="246">
        <f>IFERROR(VLOOKUP(AG$31,'Patient Calcs'!$B13:$W65,22,FALSE),0)</f>
        <v>0</v>
      </c>
      <c r="AH47" s="246">
        <f>IFERROR(VLOOKUP(AH$31,'Patient Calcs'!$B13:$W65,22,FALSE),0)</f>
        <v>0</v>
      </c>
      <c r="AI47" s="246">
        <f>IFERROR(VLOOKUP(AI$31,'Patient Calcs'!$B13:$W65,22,FALSE),0)</f>
        <v>0</v>
      </c>
      <c r="AJ47" s="246">
        <f>IFERROR(VLOOKUP(AJ$31,'Patient Calcs'!$B13:$W65,22,FALSE),0)</f>
        <v>0</v>
      </c>
      <c r="AK47" s="246">
        <f>IFERROR(VLOOKUP(AK$31,'Patient Calcs'!$B13:$W65,22,FALSE),0)</f>
        <v>0</v>
      </c>
      <c r="AL47" s="246">
        <f>IFERROR(VLOOKUP(AL$31,'Patient Calcs'!$B13:$W65,22,FALSE),0)</f>
        <v>0</v>
      </c>
      <c r="AM47" s="246">
        <f>IFERROR(VLOOKUP(AM$31,'Patient Calcs'!$B13:$W65,22,FALSE),0)</f>
        <v>0</v>
      </c>
      <c r="AN47" s="246">
        <f>IFERROR(VLOOKUP(AN$31,'Patient Calcs'!$B13:$W65,22,FALSE),0)</f>
        <v>0</v>
      </c>
      <c r="AO47" s="246">
        <f>IFERROR(VLOOKUP(AO$31,'Patient Calcs'!$B13:$W65,22,FALSE),0)</f>
        <v>0</v>
      </c>
      <c r="AP47" s="246">
        <f>IFERROR(VLOOKUP(AP$31,'Patient Calcs'!$B13:$W65,22,FALSE),0)</f>
        <v>0</v>
      </c>
      <c r="AQ47" s="246">
        <f>IFERROR(VLOOKUP(AQ$31,'Patient Calcs'!$B13:$W65,22,FALSE),0)</f>
        <v>0</v>
      </c>
      <c r="AR47" s="246">
        <f>IFERROR(VLOOKUP(AR$31,'Patient Calcs'!$B13:$W65,22,FALSE),0)</f>
        <v>0</v>
      </c>
      <c r="AS47" s="246">
        <f>IFERROR(VLOOKUP(AS$31,'Patient Calcs'!$B13:$W65,22,FALSE),0)</f>
        <v>0</v>
      </c>
      <c r="AT47" s="246">
        <f>IFERROR(VLOOKUP(AT$31,'Patient Calcs'!$B13:$W65,22,FALSE),0)</f>
        <v>0</v>
      </c>
      <c r="AU47" s="246">
        <f>IFERROR(VLOOKUP(AU$31,'Patient Calcs'!$B13:$W65,22,FALSE),0)</f>
        <v>0</v>
      </c>
      <c r="AV47" s="246">
        <f>IFERROR(VLOOKUP(AV$31,'Patient Calcs'!$B13:$W65,22,FALSE),0)</f>
        <v>0</v>
      </c>
      <c r="AW47" s="246">
        <f>IFERROR(VLOOKUP(AW$31,'Patient Calcs'!$B13:$W65,22,FALSE),0)</f>
        <v>0</v>
      </c>
      <c r="AX47" s="246">
        <f>IFERROR(VLOOKUP(AX$31,'Patient Calcs'!$B13:$W65,22,FALSE),0)</f>
        <v>0</v>
      </c>
      <c r="AY47" s="246">
        <f>IFERROR(VLOOKUP(AY$31,'Patient Calcs'!$B13:$W65,22,FALSE),0)</f>
        <v>0</v>
      </c>
      <c r="AZ47" s="246">
        <f>IFERROR(VLOOKUP(AZ$31,'Patient Calcs'!$B13:$W65,22,FALSE),0)</f>
        <v>0</v>
      </c>
      <c r="BA47" s="246">
        <f>IFERROR(VLOOKUP(BA$31,'Patient Calcs'!$B13:$W65,22,FALSE),0)</f>
        <v>0</v>
      </c>
      <c r="BB47" s="246">
        <f>IFERROR(VLOOKUP(BB$31,'Patient Calcs'!$B13:$W65,22,FALSE),0)</f>
        <v>0</v>
      </c>
      <c r="BC47" s="246">
        <f>IFERROR(VLOOKUP(BC$31,'Patient Calcs'!$B13:$W65,22,FALSE),0)</f>
        <v>0</v>
      </c>
      <c r="BD47" s="246">
        <f>IFERROR(VLOOKUP(BD$31,'Patient Calcs'!$B13:$W65,22,FALSE),0)</f>
        <v>0</v>
      </c>
      <c r="BE47"/>
      <c r="BF47" s="58"/>
      <c r="BG47"/>
      <c r="BH47"/>
      <c r="BI47"/>
      <c r="BJ47"/>
      <c r="BK47"/>
      <c r="BL47"/>
      <c r="BM47"/>
      <c r="BN47"/>
      <c r="BO47"/>
      <c r="BP47"/>
      <c r="BQ47"/>
      <c r="BR47"/>
    </row>
    <row r="48" spans="1:70" x14ac:dyDescent="0.75">
      <c r="C48" s="6" t="s">
        <v>305</v>
      </c>
      <c r="D48" s="246">
        <f ca="1">IFERROR(VLOOKUP(D$31,'Patient Calcs'!$B13:$X65,23,FALSE),0)</f>
        <v>0.05</v>
      </c>
      <c r="E48" s="246">
        <f ca="1">IFERROR(VLOOKUP(E$31,'Patient Calcs'!$B13:$X65,23,FALSE),0)</f>
        <v>0.19901936961983005</v>
      </c>
      <c r="F48" s="246">
        <f ca="1">IFERROR(VLOOKUP(F$31,'Patient Calcs'!$B13:$X65,23,FALSE),0)</f>
        <v>0.66112561295362027</v>
      </c>
      <c r="G48" s="246">
        <f ca="1">IFERROR(VLOOKUP(G$31,'Patient Calcs'!$B13:$X65,23,FALSE),0)</f>
        <v>2.2719461086162016</v>
      </c>
      <c r="H48" s="246">
        <f ca="1">IFERROR(VLOOKUP(H$31,'Patient Calcs'!$B13:$X65,23,FALSE),0)</f>
        <v>7.8072798416527087</v>
      </c>
      <c r="I48" s="246">
        <f ca="1">IFERROR(VLOOKUP(I$31,'Patient Calcs'!$B13:$X65,23,FALSE),0)</f>
        <v>26.826198008640404</v>
      </c>
      <c r="J48" s="246">
        <f ca="1">IFERROR(VLOOKUP(J$31,'Patient Calcs'!$B13:$X65,23,FALSE),0)</f>
        <v>92.145268898898095</v>
      </c>
      <c r="K48" s="246">
        <f ca="1">IFERROR(VLOOKUP(K$31,'Patient Calcs'!$B13:$X65,23,FALSE),0)</f>
        <v>316.1459177424091</v>
      </c>
      <c r="L48" s="246">
        <f ca="1">IFERROR(VLOOKUP(L$31,'Patient Calcs'!$B13:$X65,23,FALSE),0)</f>
        <v>1080.4184252674688</v>
      </c>
      <c r="M48" s="246">
        <f ca="1">IFERROR(VLOOKUP(M$31,'Patient Calcs'!$B13:$X65,23,FALSE),0)</f>
        <v>3643.2528475864301</v>
      </c>
      <c r="N48" s="246">
        <f ca="1">IFERROR(VLOOKUP(N$31,'Patient Calcs'!$B13:$X65,23,FALSE),0)</f>
        <v>11754.876289670696</v>
      </c>
      <c r="O48" s="246">
        <f ca="1">IFERROR(VLOOKUP(O$31,'Patient Calcs'!$B13:$X65,23,FALSE),0)</f>
        <v>33195.485032685217</v>
      </c>
      <c r="P48" s="246">
        <f ca="1">IFERROR(VLOOKUP(P$31,'Patient Calcs'!$B13:$X65,23,FALSE),0)</f>
        <v>68254.801033791562</v>
      </c>
      <c r="Q48" s="246">
        <f>IFERROR(VLOOKUP(Q$31,'Patient Calcs'!$B13:$X65,23,FALSE),0)</f>
        <v>0</v>
      </c>
      <c r="R48" s="246">
        <f>IFERROR(VLOOKUP(R$31,'Patient Calcs'!$B13:$X65,23,FALSE),0)</f>
        <v>0</v>
      </c>
      <c r="S48" s="246">
        <f>IFERROR(VLOOKUP(S$31,'Patient Calcs'!$B13:$X65,23,FALSE),0)</f>
        <v>0</v>
      </c>
      <c r="T48" s="246">
        <f>IFERROR(VLOOKUP(T$31,'Patient Calcs'!$B13:$X65,23,FALSE),0)</f>
        <v>0</v>
      </c>
      <c r="U48" s="246">
        <f>IFERROR(VLOOKUP(U$31,'Patient Calcs'!$B13:$X65,23,FALSE),0)</f>
        <v>0</v>
      </c>
      <c r="V48" s="246">
        <f>IFERROR(VLOOKUP(V$31,'Patient Calcs'!$B13:$X65,23,FALSE),0)</f>
        <v>0</v>
      </c>
      <c r="W48" s="246">
        <f>IFERROR(VLOOKUP(W$31,'Patient Calcs'!$B13:$X65,23,FALSE),0)</f>
        <v>0</v>
      </c>
      <c r="X48" s="246">
        <f>IFERROR(VLOOKUP(X$31,'Patient Calcs'!$B13:$X65,23,FALSE),0)</f>
        <v>0</v>
      </c>
      <c r="Y48" s="246">
        <f>IFERROR(VLOOKUP(Y$31,'Patient Calcs'!$B13:$X65,23,FALSE),0)</f>
        <v>0</v>
      </c>
      <c r="Z48" s="246">
        <f>IFERROR(VLOOKUP(Z$31,'Patient Calcs'!$B13:$X65,23,FALSE),0)</f>
        <v>0</v>
      </c>
      <c r="AA48" s="246">
        <f>IFERROR(VLOOKUP(AA$31,'Patient Calcs'!$B13:$X65,23,FALSE),0)</f>
        <v>0</v>
      </c>
      <c r="AB48" s="246">
        <f>IFERROR(VLOOKUP(AB$31,'Patient Calcs'!$B13:$X65,23,FALSE),0)</f>
        <v>0</v>
      </c>
      <c r="AC48" s="246">
        <f>IFERROR(VLOOKUP(AC$31,'Patient Calcs'!$B13:$X65,23,FALSE),0)</f>
        <v>0</v>
      </c>
      <c r="AD48" s="246">
        <f>IFERROR(VLOOKUP(AD$31,'Patient Calcs'!$B13:$X65,23,FALSE),0)</f>
        <v>0</v>
      </c>
      <c r="AE48" s="246">
        <f>IFERROR(VLOOKUP(AE$31,'Patient Calcs'!$B13:$X65,23,FALSE),0)</f>
        <v>0</v>
      </c>
      <c r="AF48" s="246">
        <f>IFERROR(VLOOKUP(AF$31,'Patient Calcs'!$B13:$X65,23,FALSE),0)</f>
        <v>0</v>
      </c>
      <c r="AG48" s="246">
        <f>IFERROR(VLOOKUP(AG$31,'Patient Calcs'!$B13:$X65,23,FALSE),0)</f>
        <v>0</v>
      </c>
      <c r="AH48" s="246">
        <f>IFERROR(VLOOKUP(AH$31,'Patient Calcs'!$B13:$X65,23,FALSE),0)</f>
        <v>0</v>
      </c>
      <c r="AI48" s="246">
        <f>IFERROR(VLOOKUP(AI$31,'Patient Calcs'!$B13:$X65,23,FALSE),0)</f>
        <v>0</v>
      </c>
      <c r="AJ48" s="246">
        <f>IFERROR(VLOOKUP(AJ$31,'Patient Calcs'!$B13:$X65,23,FALSE),0)</f>
        <v>0</v>
      </c>
      <c r="AK48" s="246">
        <f>IFERROR(VLOOKUP(AK$31,'Patient Calcs'!$B13:$X65,23,FALSE),0)</f>
        <v>0</v>
      </c>
      <c r="AL48" s="246">
        <f>IFERROR(VLOOKUP(AL$31,'Patient Calcs'!$B13:$X65,23,FALSE),0)</f>
        <v>0</v>
      </c>
      <c r="AM48" s="246">
        <f>IFERROR(VLOOKUP(AM$31,'Patient Calcs'!$B13:$X65,23,FALSE),0)</f>
        <v>0</v>
      </c>
      <c r="AN48" s="246">
        <f>IFERROR(VLOOKUP(AN$31,'Patient Calcs'!$B13:$X65,23,FALSE),0)</f>
        <v>0</v>
      </c>
      <c r="AO48" s="246">
        <f>IFERROR(VLOOKUP(AO$31,'Patient Calcs'!$B13:$X65,23,FALSE),0)</f>
        <v>0</v>
      </c>
      <c r="AP48" s="246">
        <f>IFERROR(VLOOKUP(AP$31,'Patient Calcs'!$B13:$X65,23,FALSE),0)</f>
        <v>0</v>
      </c>
      <c r="AQ48" s="246">
        <f>IFERROR(VLOOKUP(AQ$31,'Patient Calcs'!$B13:$X65,23,FALSE),0)</f>
        <v>0</v>
      </c>
      <c r="AR48" s="246">
        <f>IFERROR(VLOOKUP(AR$31,'Patient Calcs'!$B13:$X65,23,FALSE),0)</f>
        <v>0</v>
      </c>
      <c r="AS48" s="246">
        <f>IFERROR(VLOOKUP(AS$31,'Patient Calcs'!$B13:$X65,23,FALSE),0)</f>
        <v>0</v>
      </c>
      <c r="AT48" s="246">
        <f>IFERROR(VLOOKUP(AT$31,'Patient Calcs'!$B13:$X65,23,FALSE),0)</f>
        <v>0</v>
      </c>
      <c r="AU48" s="246">
        <f>IFERROR(VLOOKUP(AU$31,'Patient Calcs'!$B13:$X65,23,FALSE),0)</f>
        <v>0</v>
      </c>
      <c r="AV48" s="246">
        <f>IFERROR(VLOOKUP(AV$31,'Patient Calcs'!$B13:$X65,23,FALSE),0)</f>
        <v>0</v>
      </c>
      <c r="AW48" s="246">
        <f>IFERROR(VLOOKUP(AW$31,'Patient Calcs'!$B13:$X65,23,FALSE),0)</f>
        <v>0</v>
      </c>
      <c r="AX48" s="246">
        <f>IFERROR(VLOOKUP(AX$31,'Patient Calcs'!$B13:$X65,23,FALSE),0)</f>
        <v>0</v>
      </c>
      <c r="AY48" s="246">
        <f>IFERROR(VLOOKUP(AY$31,'Patient Calcs'!$B13:$X65,23,FALSE),0)</f>
        <v>0</v>
      </c>
      <c r="AZ48" s="246">
        <f>IFERROR(VLOOKUP(AZ$31,'Patient Calcs'!$B13:$X65,23,FALSE),0)</f>
        <v>0</v>
      </c>
      <c r="BA48" s="246">
        <f>IFERROR(VLOOKUP(BA$31,'Patient Calcs'!$B13:$X65,23,FALSE),0)</f>
        <v>0</v>
      </c>
      <c r="BB48" s="246">
        <f>IFERROR(VLOOKUP(BB$31,'Patient Calcs'!$B13:$X65,23,FALSE),0)</f>
        <v>0</v>
      </c>
      <c r="BC48" s="246">
        <f>IFERROR(VLOOKUP(BC$31,'Patient Calcs'!$B13:$X65,23,FALSE),0)</f>
        <v>0</v>
      </c>
      <c r="BD48" s="246">
        <f>IFERROR(VLOOKUP(BD$31,'Patient Calcs'!$B13:$X65,23,FALSE),0)</f>
        <v>0</v>
      </c>
      <c r="BE48"/>
      <c r="BF48" s="58"/>
      <c r="BG48"/>
      <c r="BH48"/>
      <c r="BI48"/>
      <c r="BJ48"/>
      <c r="BK48"/>
      <c r="BL48"/>
      <c r="BM48"/>
      <c r="BN48"/>
      <c r="BO48"/>
      <c r="BP48"/>
      <c r="BQ48"/>
      <c r="BR48"/>
    </row>
    <row r="49" spans="2:70" s="132" customFormat="1" hidden="1" x14ac:dyDescent="0.75">
      <c r="B49" s="432" t="s">
        <v>1138</v>
      </c>
      <c r="C49" s="441" t="s">
        <v>1122</v>
      </c>
      <c r="D49" s="247">
        <f ca="1">IFERROR(IF(D45="","",IF(D45&lt;$D$18,D45,$D$18)),"")</f>
        <v>0.4</v>
      </c>
      <c r="E49" s="247">
        <f ca="1">IFERROR(IF(E45="","",IF(E45&lt;$D$18,E45,$D$18)),"")</f>
        <v>1.5921549569586404</v>
      </c>
      <c r="F49" s="247">
        <f t="shared" ref="F49:AI49" ca="1" si="5">IFERROR(IF(F45="","",IF(F45&lt;$D$18,F45,$D$18)),"")</f>
        <v>5.2890049036289621</v>
      </c>
      <c r="G49" s="247">
        <f t="shared" ca="1" si="5"/>
        <v>18.175568868929613</v>
      </c>
      <c r="H49" s="247">
        <f t="shared" ca="1" si="5"/>
        <v>62.45823873322167</v>
      </c>
      <c r="I49" s="247">
        <f t="shared" ca="1" si="5"/>
        <v>214.60958406912323</v>
      </c>
      <c r="J49" s="247">
        <f t="shared" ca="1" si="5"/>
        <v>737.16215119118476</v>
      </c>
      <c r="K49" s="247">
        <f t="shared" ca="1" si="5"/>
        <v>2529.1673419392728</v>
      </c>
      <c r="L49" s="247">
        <f t="shared" ca="1" si="5"/>
        <v>8643.3474021397506</v>
      </c>
      <c r="M49" s="247">
        <f t="shared" ca="1" si="5"/>
        <v>29146.022780691441</v>
      </c>
      <c r="N49" s="247">
        <f t="shared" ca="1" si="5"/>
        <v>94039.010317365566</v>
      </c>
      <c r="O49" s="247">
        <f t="shared" ca="1" si="5"/>
        <v>265563.88026148174</v>
      </c>
      <c r="P49" s="247">
        <f t="shared" ca="1" si="5"/>
        <v>546038.4082703325</v>
      </c>
      <c r="Q49" s="247">
        <f t="shared" si="5"/>
        <v>0</v>
      </c>
      <c r="R49" s="247">
        <f t="shared" si="5"/>
        <v>0</v>
      </c>
      <c r="S49" s="247">
        <f t="shared" si="5"/>
        <v>0</v>
      </c>
      <c r="T49" s="247">
        <f t="shared" si="5"/>
        <v>0</v>
      </c>
      <c r="U49" s="247">
        <f t="shared" si="5"/>
        <v>0</v>
      </c>
      <c r="V49" s="247">
        <f t="shared" si="5"/>
        <v>0</v>
      </c>
      <c r="W49" s="247">
        <f t="shared" si="5"/>
        <v>0</v>
      </c>
      <c r="X49" s="247">
        <f t="shared" si="5"/>
        <v>0</v>
      </c>
      <c r="Y49" s="247">
        <f t="shared" si="5"/>
        <v>0</v>
      </c>
      <c r="Z49" s="247">
        <f t="shared" si="5"/>
        <v>0</v>
      </c>
      <c r="AA49" s="247">
        <f t="shared" si="5"/>
        <v>0</v>
      </c>
      <c r="AB49" s="247">
        <f t="shared" si="5"/>
        <v>0</v>
      </c>
      <c r="AC49" s="247">
        <f t="shared" si="5"/>
        <v>0</v>
      </c>
      <c r="AD49" s="247">
        <f t="shared" si="5"/>
        <v>0</v>
      </c>
      <c r="AE49" s="247">
        <f t="shared" si="5"/>
        <v>0</v>
      </c>
      <c r="AF49" s="247">
        <f t="shared" si="5"/>
        <v>0</v>
      </c>
      <c r="AG49" s="247">
        <f t="shared" si="5"/>
        <v>0</v>
      </c>
      <c r="AH49" s="247">
        <f t="shared" si="5"/>
        <v>0</v>
      </c>
      <c r="AI49" s="247">
        <f t="shared" si="5"/>
        <v>0</v>
      </c>
      <c r="AJ49" s="247">
        <f t="shared" ref="AJ49:BD49" si="6">IFERROR(IF(AJ45="","",IF(AJ45&lt;$D$18,AJ45,$D$18)),"")</f>
        <v>0</v>
      </c>
      <c r="AK49" s="247">
        <f t="shared" si="6"/>
        <v>0</v>
      </c>
      <c r="AL49" s="247">
        <f t="shared" si="6"/>
        <v>0</v>
      </c>
      <c r="AM49" s="247">
        <f t="shared" si="6"/>
        <v>0</v>
      </c>
      <c r="AN49" s="247">
        <f t="shared" si="6"/>
        <v>0</v>
      </c>
      <c r="AO49" s="247">
        <f t="shared" si="6"/>
        <v>0</v>
      </c>
      <c r="AP49" s="247">
        <f t="shared" si="6"/>
        <v>0</v>
      </c>
      <c r="AQ49" s="247">
        <f t="shared" si="6"/>
        <v>0</v>
      </c>
      <c r="AR49" s="247">
        <f t="shared" si="6"/>
        <v>0</v>
      </c>
      <c r="AS49" s="247">
        <f t="shared" si="6"/>
        <v>0</v>
      </c>
      <c r="AT49" s="247">
        <f t="shared" si="6"/>
        <v>0</v>
      </c>
      <c r="AU49" s="247">
        <f t="shared" si="6"/>
        <v>0</v>
      </c>
      <c r="AV49" s="247">
        <f t="shared" si="6"/>
        <v>0</v>
      </c>
      <c r="AW49" s="247">
        <f t="shared" si="6"/>
        <v>0</v>
      </c>
      <c r="AX49" s="247">
        <f t="shared" si="6"/>
        <v>0</v>
      </c>
      <c r="AY49" s="247">
        <f t="shared" si="6"/>
        <v>0</v>
      </c>
      <c r="AZ49" s="247">
        <f t="shared" si="6"/>
        <v>0</v>
      </c>
      <c r="BA49" s="247">
        <f t="shared" si="6"/>
        <v>0</v>
      </c>
      <c r="BB49" s="247">
        <f t="shared" si="6"/>
        <v>0</v>
      </c>
      <c r="BC49" s="247">
        <f t="shared" si="6"/>
        <v>0</v>
      </c>
      <c r="BD49" s="247">
        <f t="shared" si="6"/>
        <v>0</v>
      </c>
      <c r="BF49" s="58"/>
    </row>
    <row r="50" spans="2:70" s="132" customFormat="1" hidden="1" x14ac:dyDescent="0.75">
      <c r="C50" s="441" t="s">
        <v>1117</v>
      </c>
      <c r="D50" s="247">
        <f ca="1">IFERROR(IF(D46="","",IF(D46&lt;$D$15,D46,$D$15)),"")</f>
        <v>0</v>
      </c>
      <c r="E50" s="247">
        <f t="shared" ref="E50:BD50" ca="1" si="7">IFERROR(IF(E46="","",IF(E46&lt;$D$15,E46,$D$15)),"")</f>
        <v>0</v>
      </c>
      <c r="F50" s="247">
        <f t="shared" ca="1" si="7"/>
        <v>0</v>
      </c>
      <c r="G50" s="247">
        <f ca="1">IFERROR(IF(G46="","",IF(G46&lt;$D$15,G46,$D$15)),"")</f>
        <v>0</v>
      </c>
      <c r="H50" s="247">
        <f t="shared" ca="1" si="7"/>
        <v>0</v>
      </c>
      <c r="I50" s="247">
        <f t="shared" ca="1" si="7"/>
        <v>0</v>
      </c>
      <c r="J50" s="247">
        <f t="shared" ca="1" si="7"/>
        <v>0</v>
      </c>
      <c r="K50" s="247">
        <f t="shared" ca="1" si="7"/>
        <v>0</v>
      </c>
      <c r="L50" s="247">
        <f t="shared" ca="1" si="7"/>
        <v>0</v>
      </c>
      <c r="M50" s="247">
        <f t="shared" ca="1" si="7"/>
        <v>0</v>
      </c>
      <c r="N50" s="247">
        <f t="shared" ca="1" si="7"/>
        <v>0</v>
      </c>
      <c r="O50" s="247">
        <f t="shared" ca="1" si="7"/>
        <v>0</v>
      </c>
      <c r="P50" s="247">
        <f t="shared" ca="1" si="7"/>
        <v>0</v>
      </c>
      <c r="Q50" s="247">
        <f t="shared" si="7"/>
        <v>0</v>
      </c>
      <c r="R50" s="247">
        <f t="shared" si="7"/>
        <v>0</v>
      </c>
      <c r="S50" s="247">
        <f t="shared" si="7"/>
        <v>0</v>
      </c>
      <c r="T50" s="247">
        <f t="shared" si="7"/>
        <v>0</v>
      </c>
      <c r="U50" s="247">
        <f t="shared" si="7"/>
        <v>0</v>
      </c>
      <c r="V50" s="247">
        <f t="shared" si="7"/>
        <v>0</v>
      </c>
      <c r="W50" s="247">
        <f t="shared" si="7"/>
        <v>0</v>
      </c>
      <c r="X50" s="247">
        <f t="shared" si="7"/>
        <v>0</v>
      </c>
      <c r="Y50" s="247">
        <f t="shared" si="7"/>
        <v>0</v>
      </c>
      <c r="Z50" s="247">
        <f t="shared" si="7"/>
        <v>0</v>
      </c>
      <c r="AA50" s="247">
        <f t="shared" si="7"/>
        <v>0</v>
      </c>
      <c r="AB50" s="247">
        <f t="shared" si="7"/>
        <v>0</v>
      </c>
      <c r="AC50" s="247">
        <f t="shared" si="7"/>
        <v>0</v>
      </c>
      <c r="AD50" s="247">
        <f t="shared" si="7"/>
        <v>0</v>
      </c>
      <c r="AE50" s="247">
        <f t="shared" si="7"/>
        <v>0</v>
      </c>
      <c r="AF50" s="247">
        <f t="shared" si="7"/>
        <v>0</v>
      </c>
      <c r="AG50" s="247">
        <f t="shared" si="7"/>
        <v>0</v>
      </c>
      <c r="AH50" s="247">
        <f t="shared" si="7"/>
        <v>0</v>
      </c>
      <c r="AI50" s="247">
        <f t="shared" si="7"/>
        <v>0</v>
      </c>
      <c r="AJ50" s="247">
        <f t="shared" si="7"/>
        <v>0</v>
      </c>
      <c r="AK50" s="247">
        <f t="shared" si="7"/>
        <v>0</v>
      </c>
      <c r="AL50" s="247">
        <f t="shared" si="7"/>
        <v>0</v>
      </c>
      <c r="AM50" s="247">
        <f t="shared" si="7"/>
        <v>0</v>
      </c>
      <c r="AN50" s="247">
        <f t="shared" si="7"/>
        <v>0</v>
      </c>
      <c r="AO50" s="247">
        <f t="shared" si="7"/>
        <v>0</v>
      </c>
      <c r="AP50" s="247">
        <f t="shared" si="7"/>
        <v>0</v>
      </c>
      <c r="AQ50" s="247">
        <f t="shared" si="7"/>
        <v>0</v>
      </c>
      <c r="AR50" s="247">
        <f t="shared" si="7"/>
        <v>0</v>
      </c>
      <c r="AS50" s="247">
        <f t="shared" si="7"/>
        <v>0</v>
      </c>
      <c r="AT50" s="247">
        <f t="shared" si="7"/>
        <v>0</v>
      </c>
      <c r="AU50" s="247">
        <f t="shared" si="7"/>
        <v>0</v>
      </c>
      <c r="AV50" s="247">
        <f t="shared" si="7"/>
        <v>0</v>
      </c>
      <c r="AW50" s="247">
        <f t="shared" si="7"/>
        <v>0</v>
      </c>
      <c r="AX50" s="247">
        <f t="shared" si="7"/>
        <v>0</v>
      </c>
      <c r="AY50" s="247">
        <f t="shared" si="7"/>
        <v>0</v>
      </c>
      <c r="AZ50" s="247">
        <f t="shared" si="7"/>
        <v>0</v>
      </c>
      <c r="BA50" s="247">
        <f t="shared" si="7"/>
        <v>0</v>
      </c>
      <c r="BB50" s="247">
        <f t="shared" si="7"/>
        <v>0</v>
      </c>
      <c r="BC50" s="247">
        <f t="shared" si="7"/>
        <v>0</v>
      </c>
      <c r="BD50" s="247">
        <f t="shared" si="7"/>
        <v>0</v>
      </c>
      <c r="BF50" s="544" t="s">
        <v>1305</v>
      </c>
    </row>
    <row r="51" spans="2:70" s="43" customFormat="1" x14ac:dyDescent="0.75">
      <c r="C51" s="559" t="s">
        <v>658</v>
      </c>
      <c r="D51" s="247">
        <f ca="1">IFERROR(IF(D47="","",IF(D47&lt;$D$11,D47,$D$11)),0)</f>
        <v>0.15</v>
      </c>
      <c r="E51" s="247">
        <f t="shared" ref="E51:BD51" ca="1" si="8">IFERROR(IF(E47="","",IF(E47&lt;$D$11,E47,$D$11)),0)</f>
        <v>0.44705810885949004</v>
      </c>
      <c r="F51" s="247">
        <f t="shared" ca="1" si="8"/>
        <v>1.536318730001371</v>
      </c>
      <c r="G51" s="247">
        <f t="shared" ca="1" si="8"/>
        <v>5.2795195958472325</v>
      </c>
      <c r="H51" s="247">
        <f t="shared" ca="1" si="8"/>
        <v>18.14231992911089</v>
      </c>
      <c r="I51" s="247">
        <f t="shared" ca="1" si="8"/>
        <v>62.336274096810314</v>
      </c>
      <c r="J51" s="247">
        <f t="shared" ca="1" si="8"/>
        <v>214.0995325998839</v>
      </c>
      <c r="K51" s="247">
        <f t="shared" ca="1" si="8"/>
        <v>734.33822062734316</v>
      </c>
      <c r="L51" s="247">
        <f t="shared" ca="1" si="8"/>
        <v>2506.9170551750631</v>
      </c>
      <c r="M51" s="247">
        <f t="shared" ca="1" si="8"/>
        <v>8422.8414875842282</v>
      </c>
      <c r="N51" s="247">
        <f t="shared" ca="1" si="8"/>
        <v>21185.721600000001</v>
      </c>
      <c r="O51" s="247">
        <f t="shared" ca="1" si="8"/>
        <v>21185.721600000001</v>
      </c>
      <c r="P51" s="247">
        <f t="shared" ca="1" si="8"/>
        <v>21185.721600000001</v>
      </c>
      <c r="Q51" s="247">
        <f t="shared" si="8"/>
        <v>0</v>
      </c>
      <c r="R51" s="247">
        <f t="shared" si="8"/>
        <v>0</v>
      </c>
      <c r="S51" s="247">
        <f t="shared" si="8"/>
        <v>0</v>
      </c>
      <c r="T51" s="247">
        <f t="shared" si="8"/>
        <v>0</v>
      </c>
      <c r="U51" s="247">
        <f t="shared" si="8"/>
        <v>0</v>
      </c>
      <c r="V51" s="247">
        <f t="shared" si="8"/>
        <v>0</v>
      </c>
      <c r="W51" s="247">
        <f t="shared" si="8"/>
        <v>0</v>
      </c>
      <c r="X51" s="247">
        <f t="shared" si="8"/>
        <v>0</v>
      </c>
      <c r="Y51" s="247">
        <f t="shared" si="8"/>
        <v>0</v>
      </c>
      <c r="Z51" s="247">
        <f t="shared" si="8"/>
        <v>0</v>
      </c>
      <c r="AA51" s="247">
        <f t="shared" si="8"/>
        <v>0</v>
      </c>
      <c r="AB51" s="247">
        <f t="shared" si="8"/>
        <v>0</v>
      </c>
      <c r="AC51" s="247">
        <f t="shared" si="8"/>
        <v>0</v>
      </c>
      <c r="AD51" s="247">
        <f t="shared" si="8"/>
        <v>0</v>
      </c>
      <c r="AE51" s="247">
        <f t="shared" si="8"/>
        <v>0</v>
      </c>
      <c r="AF51" s="247">
        <f t="shared" si="8"/>
        <v>0</v>
      </c>
      <c r="AG51" s="247">
        <f t="shared" si="8"/>
        <v>0</v>
      </c>
      <c r="AH51" s="247">
        <f t="shared" si="8"/>
        <v>0</v>
      </c>
      <c r="AI51" s="247">
        <f t="shared" si="8"/>
        <v>0</v>
      </c>
      <c r="AJ51" s="247">
        <f t="shared" si="8"/>
        <v>0</v>
      </c>
      <c r="AK51" s="247">
        <f t="shared" si="8"/>
        <v>0</v>
      </c>
      <c r="AL51" s="247">
        <f t="shared" si="8"/>
        <v>0</v>
      </c>
      <c r="AM51" s="247">
        <f t="shared" si="8"/>
        <v>0</v>
      </c>
      <c r="AN51" s="247">
        <f t="shared" si="8"/>
        <v>0</v>
      </c>
      <c r="AO51" s="247">
        <f t="shared" si="8"/>
        <v>0</v>
      </c>
      <c r="AP51" s="247">
        <f t="shared" si="8"/>
        <v>0</v>
      </c>
      <c r="AQ51" s="247">
        <f t="shared" si="8"/>
        <v>0</v>
      </c>
      <c r="AR51" s="247">
        <f t="shared" si="8"/>
        <v>0</v>
      </c>
      <c r="AS51" s="247">
        <f t="shared" si="8"/>
        <v>0</v>
      </c>
      <c r="AT51" s="247">
        <f t="shared" si="8"/>
        <v>0</v>
      </c>
      <c r="AU51" s="247">
        <f t="shared" si="8"/>
        <v>0</v>
      </c>
      <c r="AV51" s="247">
        <f t="shared" si="8"/>
        <v>0</v>
      </c>
      <c r="AW51" s="247">
        <f t="shared" si="8"/>
        <v>0</v>
      </c>
      <c r="AX51" s="247">
        <f t="shared" si="8"/>
        <v>0</v>
      </c>
      <c r="AY51" s="247">
        <f t="shared" si="8"/>
        <v>0</v>
      </c>
      <c r="AZ51" s="247">
        <f t="shared" si="8"/>
        <v>0</v>
      </c>
      <c r="BA51" s="247">
        <f t="shared" si="8"/>
        <v>0</v>
      </c>
      <c r="BB51" s="247">
        <f t="shared" si="8"/>
        <v>0</v>
      </c>
      <c r="BC51" s="247">
        <f t="shared" si="8"/>
        <v>0</v>
      </c>
      <c r="BD51" s="247">
        <f t="shared" si="8"/>
        <v>0</v>
      </c>
      <c r="BF51" s="249">
        <f ca="1">SUMIFS($D51:$BD51,$D$31:$BD$31,"&lt;="&amp;WeekSuppliedUntil,$D$31:$BD$31,"&gt;="&amp;Start_week_for_forecasting)</f>
        <v>75523.102586447159</v>
      </c>
    </row>
    <row r="52" spans="2:70" s="43" customFormat="1" x14ac:dyDescent="0.75">
      <c r="C52" s="559" t="s">
        <v>659</v>
      </c>
      <c r="D52" s="247">
        <f ca="1">IFERROR(IF(D48="","",IF(D48&lt;$D$12,D48,$D$12)),0)</f>
        <v>0.05</v>
      </c>
      <c r="E52" s="247">
        <f t="shared" ref="E52:BD52" ca="1" si="9">IFERROR(IF(E48="","",IF(E48&lt;$D$12,E48,$D$12)),0)</f>
        <v>0.19901936961983005</v>
      </c>
      <c r="F52" s="247">
        <f t="shared" ca="1" si="9"/>
        <v>0.66112561295362027</v>
      </c>
      <c r="G52" s="247">
        <f t="shared" ca="1" si="9"/>
        <v>2.2719461086162016</v>
      </c>
      <c r="H52" s="247">
        <f t="shared" ca="1" si="9"/>
        <v>7.8072798416527087</v>
      </c>
      <c r="I52" s="247">
        <f t="shared" ca="1" si="9"/>
        <v>26.826198008640404</v>
      </c>
      <c r="J52" s="247">
        <f t="shared" ca="1" si="9"/>
        <v>92.145268898898095</v>
      </c>
      <c r="K52" s="247">
        <f t="shared" ca="1" si="9"/>
        <v>316.1459177424091</v>
      </c>
      <c r="L52" s="247">
        <f t="shared" ca="1" si="9"/>
        <v>875.0784000000001</v>
      </c>
      <c r="M52" s="247">
        <f t="shared" ca="1" si="9"/>
        <v>875.0784000000001</v>
      </c>
      <c r="N52" s="247">
        <f t="shared" ca="1" si="9"/>
        <v>875.0784000000001</v>
      </c>
      <c r="O52" s="247">
        <f t="shared" ca="1" si="9"/>
        <v>875.0784000000001</v>
      </c>
      <c r="P52" s="247">
        <f t="shared" ca="1" si="9"/>
        <v>875.0784000000001</v>
      </c>
      <c r="Q52" s="247">
        <f t="shared" si="9"/>
        <v>0</v>
      </c>
      <c r="R52" s="247">
        <f t="shared" si="9"/>
        <v>0</v>
      </c>
      <c r="S52" s="247">
        <f t="shared" si="9"/>
        <v>0</v>
      </c>
      <c r="T52" s="247">
        <f t="shared" si="9"/>
        <v>0</v>
      </c>
      <c r="U52" s="247">
        <f t="shared" si="9"/>
        <v>0</v>
      </c>
      <c r="V52" s="247">
        <f t="shared" si="9"/>
        <v>0</v>
      </c>
      <c r="W52" s="247">
        <f t="shared" si="9"/>
        <v>0</v>
      </c>
      <c r="X52" s="247">
        <f t="shared" si="9"/>
        <v>0</v>
      </c>
      <c r="Y52" s="247">
        <f t="shared" si="9"/>
        <v>0</v>
      </c>
      <c r="Z52" s="247">
        <f t="shared" si="9"/>
        <v>0</v>
      </c>
      <c r="AA52" s="247">
        <f t="shared" si="9"/>
        <v>0</v>
      </c>
      <c r="AB52" s="247">
        <f t="shared" si="9"/>
        <v>0</v>
      </c>
      <c r="AC52" s="247">
        <f t="shared" si="9"/>
        <v>0</v>
      </c>
      <c r="AD52" s="247">
        <f t="shared" si="9"/>
        <v>0</v>
      </c>
      <c r="AE52" s="247">
        <f t="shared" si="9"/>
        <v>0</v>
      </c>
      <c r="AF52" s="247">
        <f t="shared" si="9"/>
        <v>0</v>
      </c>
      <c r="AG52" s="247">
        <f t="shared" si="9"/>
        <v>0</v>
      </c>
      <c r="AH52" s="247">
        <f t="shared" si="9"/>
        <v>0</v>
      </c>
      <c r="AI52" s="247">
        <f t="shared" si="9"/>
        <v>0</v>
      </c>
      <c r="AJ52" s="247">
        <f t="shared" si="9"/>
        <v>0</v>
      </c>
      <c r="AK52" s="247">
        <f t="shared" si="9"/>
        <v>0</v>
      </c>
      <c r="AL52" s="247">
        <f t="shared" si="9"/>
        <v>0</v>
      </c>
      <c r="AM52" s="247">
        <f t="shared" si="9"/>
        <v>0</v>
      </c>
      <c r="AN52" s="247">
        <f t="shared" si="9"/>
        <v>0</v>
      </c>
      <c r="AO52" s="247">
        <f t="shared" si="9"/>
        <v>0</v>
      </c>
      <c r="AP52" s="247">
        <f t="shared" si="9"/>
        <v>0</v>
      </c>
      <c r="AQ52" s="247">
        <f t="shared" si="9"/>
        <v>0</v>
      </c>
      <c r="AR52" s="247">
        <f t="shared" si="9"/>
        <v>0</v>
      </c>
      <c r="AS52" s="247">
        <f t="shared" si="9"/>
        <v>0</v>
      </c>
      <c r="AT52" s="247">
        <f t="shared" si="9"/>
        <v>0</v>
      </c>
      <c r="AU52" s="247">
        <f t="shared" si="9"/>
        <v>0</v>
      </c>
      <c r="AV52" s="247">
        <f t="shared" si="9"/>
        <v>0</v>
      </c>
      <c r="AW52" s="247">
        <f t="shared" si="9"/>
        <v>0</v>
      </c>
      <c r="AX52" s="247">
        <f t="shared" si="9"/>
        <v>0</v>
      </c>
      <c r="AY52" s="247">
        <f t="shared" si="9"/>
        <v>0</v>
      </c>
      <c r="AZ52" s="247">
        <f t="shared" si="9"/>
        <v>0</v>
      </c>
      <c r="BA52" s="247">
        <f t="shared" si="9"/>
        <v>0</v>
      </c>
      <c r="BB52" s="247">
        <f t="shared" si="9"/>
        <v>0</v>
      </c>
      <c r="BC52" s="247">
        <f t="shared" si="9"/>
        <v>0</v>
      </c>
      <c r="BD52" s="247">
        <f t="shared" si="9"/>
        <v>0</v>
      </c>
      <c r="BF52" s="249">
        <f t="shared" ref="BF52" ca="1" si="10">SUMIFS($D52:$BD52,$D$31:$BD$31,"&lt;="&amp;WeekSuppliedUntil,$D$31:$BD$31,"&gt;="&amp;Start_week_for_forecasting)</f>
        <v>4821.4487555827909</v>
      </c>
    </row>
    <row r="53" spans="2:70" x14ac:dyDescent="0.75">
      <c r="C53" t="s">
        <v>610</v>
      </c>
      <c r="D53" s="245">
        <f ca="1">IF(ROUNDUP(SUM(Patients!D51:D52)/NumberOfBeds_per_centre,0)=0,0,ROUNDUP(SUM(Patients!D51:D52)/NumberOfBeds_per_centre,0))</f>
        <v>1</v>
      </c>
      <c r="E53" s="1009">
        <f ca="1">IF(ROUNDUP(SUM(Patients!E51:E52)/NumberOfBeds_per_centre,0)=0,0,ROUNDUP(SUM(Patients!E51:E52)/NumberOfBeds_per_centre,0))</f>
        <v>1</v>
      </c>
      <c r="F53" s="1009">
        <f ca="1">IF(ROUNDUP(SUM(Patients!F51:F52)/NumberOfBeds_per_centre,0)=0,0,ROUNDUP(SUM(Patients!F51:F52)/NumberOfBeds_per_centre,0))</f>
        <v>1</v>
      </c>
      <c r="G53" s="1009">
        <f ca="1">IF(ROUNDUP(SUM(Patients!G51:G52)/NumberOfBeds_per_centre,0)=0,0,ROUNDUP(SUM(Patients!G51:G52)/NumberOfBeds_per_centre,0))</f>
        <v>1</v>
      </c>
      <c r="H53" s="1009">
        <f ca="1">IF(ROUNDUP(SUM(Patients!H51:H52)/NumberOfBeds_per_centre,0)=0,0,ROUNDUP(SUM(Patients!H51:H52)/NumberOfBeds_per_centre,0))</f>
        <v>1</v>
      </c>
      <c r="I53" s="1009">
        <f ca="1">IF(ROUNDUP(SUM(Patients!I51:I52)/NumberOfBeds_per_centre,0)=0,0,ROUNDUP(SUM(Patients!I51:I52)/NumberOfBeds_per_centre,0))</f>
        <v>3</v>
      </c>
      <c r="J53" s="1009">
        <f ca="1">IF(ROUNDUP(SUM(Patients!J51:J52)/NumberOfBeds_per_centre,0)=0,0,ROUNDUP(SUM(Patients!J51:J52)/NumberOfBeds_per_centre,0))</f>
        <v>8</v>
      </c>
      <c r="K53" s="1009">
        <f ca="1">IF(ROUNDUP(SUM(Patients!K51:K52)/NumberOfBeds_per_centre,0)=0,0,ROUNDUP(SUM(Patients!K51:K52)/NumberOfBeds_per_centre,0))</f>
        <v>27</v>
      </c>
      <c r="L53" s="1009">
        <f ca="1">IF(ROUNDUP(SUM(Patients!L51:L52)/NumberOfBeds_per_centre,0)=0,0,ROUNDUP(SUM(Patients!L51:L52)/NumberOfBeds_per_centre,0))</f>
        <v>85</v>
      </c>
      <c r="M53" s="1009">
        <f ca="1">IF(ROUNDUP(SUM(Patients!M51:M52)/NumberOfBeds_per_centre,0)=0,0,ROUNDUP(SUM(Patients!M51:M52)/NumberOfBeds_per_centre,0))</f>
        <v>233</v>
      </c>
      <c r="N53" s="1009">
        <f ca="1">IF(ROUNDUP(SUM(Patients!N51:N52)/NumberOfBeds_per_centre,0)=0,0,ROUNDUP(SUM(Patients!N51:N52)/NumberOfBeds_per_centre,0))</f>
        <v>552</v>
      </c>
      <c r="O53" s="1009">
        <f ca="1">IF(ROUNDUP(SUM(Patients!O51:O52)/NumberOfBeds_per_centre,0)=0,0,ROUNDUP(SUM(Patients!O51:O52)/NumberOfBeds_per_centre,0))</f>
        <v>552</v>
      </c>
      <c r="P53" s="1009">
        <f ca="1">IF(ROUNDUP(SUM(Patients!P51:P52)/NumberOfBeds_per_centre,0)=0,0,ROUNDUP(SUM(Patients!P51:P52)/NumberOfBeds_per_centre,0))</f>
        <v>552</v>
      </c>
      <c r="Q53" s="1009">
        <f>IF(ROUNDUP(SUM(Patients!Q51:Q52)/NumberOfBeds_per_centre,0)=0,0,ROUNDUP(SUM(Patients!Q51:Q52)/NumberOfBeds_per_centre,0))</f>
        <v>0</v>
      </c>
      <c r="R53" s="1009">
        <f>IF(ROUNDUP(SUM(Patients!R51:R52)/NumberOfBeds_per_centre,0)=0,0,ROUNDUP(SUM(Patients!R51:R52)/NumberOfBeds_per_centre,0))</f>
        <v>0</v>
      </c>
      <c r="S53" s="1009">
        <f>IF(ROUNDUP(SUM(Patients!S51:S52)/NumberOfBeds_per_centre,0)=0,0,ROUNDUP(SUM(Patients!S51:S52)/NumberOfBeds_per_centre,0))</f>
        <v>0</v>
      </c>
      <c r="T53" s="1009">
        <f>IF(ROUNDUP(SUM(Patients!T51:T52)/NumberOfBeds_per_centre,0)=0,0,ROUNDUP(SUM(Patients!T51:T52)/NumberOfBeds_per_centre,0))</f>
        <v>0</v>
      </c>
      <c r="U53" s="1009">
        <f>IF(ROUNDUP(SUM(Patients!U51:U52)/NumberOfBeds_per_centre,0)=0,0,ROUNDUP(SUM(Patients!U51:U52)/NumberOfBeds_per_centre,0))</f>
        <v>0</v>
      </c>
      <c r="V53" s="1009">
        <f>IF(ROUNDUP(SUM(Patients!V51:V52)/NumberOfBeds_per_centre,0)=0,0,ROUNDUP(SUM(Patients!V51:V52)/NumberOfBeds_per_centre,0))</f>
        <v>0</v>
      </c>
      <c r="W53" s="1009">
        <f>IF(ROUNDUP(SUM(Patients!W51:W52)/NumberOfBeds_per_centre,0)=0,0,ROUNDUP(SUM(Patients!W51:W52)/NumberOfBeds_per_centre,0))</f>
        <v>0</v>
      </c>
      <c r="X53" s="1009">
        <f>IF(ROUNDUP(SUM(Patients!X51:X52)/NumberOfBeds_per_centre,0)=0,0,ROUNDUP(SUM(Patients!X51:X52)/NumberOfBeds_per_centre,0))</f>
        <v>0</v>
      </c>
      <c r="Y53" s="1009">
        <f>IF(ROUNDUP(SUM(Patients!Y51:Y52)/NumberOfBeds_per_centre,0)=0,0,ROUNDUP(SUM(Patients!Y51:Y52)/NumberOfBeds_per_centre,0))</f>
        <v>0</v>
      </c>
      <c r="Z53" s="1009">
        <f>IF(ROUNDUP(SUM(Patients!Z51:Z52)/NumberOfBeds_per_centre,0)=0,0,ROUNDUP(SUM(Patients!Z51:Z52)/NumberOfBeds_per_centre,0))</f>
        <v>0</v>
      </c>
      <c r="AA53" s="1009">
        <f>IF(ROUNDUP(SUM(Patients!AA51:AA52)/NumberOfBeds_per_centre,0)=0,0,ROUNDUP(SUM(Patients!AA51:AA52)/NumberOfBeds_per_centre,0))</f>
        <v>0</v>
      </c>
      <c r="AB53" s="1009">
        <f>IF(ROUNDUP(SUM(Patients!AB51:AB52)/NumberOfBeds_per_centre,0)=0,0,ROUNDUP(SUM(Patients!AB51:AB52)/NumberOfBeds_per_centre,0))</f>
        <v>0</v>
      </c>
      <c r="AC53" s="1009">
        <f>IF(ROUNDUP(SUM(Patients!AC51:AC52)/NumberOfBeds_per_centre,0)=0,0,ROUNDUP(SUM(Patients!AC51:AC52)/NumberOfBeds_per_centre,0))</f>
        <v>0</v>
      </c>
      <c r="AD53" s="1009">
        <f>IF(ROUNDUP(SUM(Patients!AD51:AD52)/NumberOfBeds_per_centre,0)=0,0,ROUNDUP(SUM(Patients!AD51:AD52)/NumberOfBeds_per_centre,0))</f>
        <v>0</v>
      </c>
      <c r="AE53" s="1009">
        <f>IF(ROUNDUP(SUM(Patients!AE51:AE52)/NumberOfBeds_per_centre,0)=0,0,ROUNDUP(SUM(Patients!AE51:AE52)/NumberOfBeds_per_centre,0))</f>
        <v>0</v>
      </c>
      <c r="AF53" s="1009">
        <f>IF(ROUNDUP(SUM(Patients!AF51:AF52)/NumberOfBeds_per_centre,0)=0,0,ROUNDUP(SUM(Patients!AF51:AF52)/NumberOfBeds_per_centre,0))</f>
        <v>0</v>
      </c>
      <c r="AG53" s="1009">
        <f>IF(ROUNDUP(SUM(Patients!AG51:AG52)/NumberOfBeds_per_centre,0)=0,0,ROUNDUP(SUM(Patients!AG51:AG52)/NumberOfBeds_per_centre,0))</f>
        <v>0</v>
      </c>
      <c r="AH53" s="1009">
        <f>IF(ROUNDUP(SUM(Patients!AH51:AH52)/NumberOfBeds_per_centre,0)=0,0,ROUNDUP(SUM(Patients!AH51:AH52)/NumberOfBeds_per_centre,0))</f>
        <v>0</v>
      </c>
      <c r="AI53" s="1009">
        <f>IF(ROUNDUP(SUM(Patients!AI51:AI52)/NumberOfBeds_per_centre,0)=0,0,ROUNDUP(SUM(Patients!AI51:AI52)/NumberOfBeds_per_centre,0))</f>
        <v>0</v>
      </c>
      <c r="AJ53" s="1009">
        <f>IF(ROUNDUP(SUM(Patients!AJ51:AJ52)/NumberOfBeds_per_centre,0)=0,0,ROUNDUP(SUM(Patients!AJ51:AJ52)/NumberOfBeds_per_centre,0))</f>
        <v>0</v>
      </c>
      <c r="AK53" s="1009">
        <f>IF(ROUNDUP(SUM(Patients!AK51:AK52)/NumberOfBeds_per_centre,0)=0,0,ROUNDUP(SUM(Patients!AK51:AK52)/NumberOfBeds_per_centre,0))</f>
        <v>0</v>
      </c>
      <c r="AL53" s="1009">
        <f>IF(ROUNDUP(SUM(Patients!AL51:AL52)/NumberOfBeds_per_centre,0)=0,0,ROUNDUP(SUM(Patients!AL51:AL52)/NumberOfBeds_per_centre,0))</f>
        <v>0</v>
      </c>
      <c r="AM53" s="1009">
        <f>IF(ROUNDUP(SUM(Patients!AM51:AM52)/NumberOfBeds_per_centre,0)=0,0,ROUNDUP(SUM(Patients!AM51:AM52)/NumberOfBeds_per_centre,0))</f>
        <v>0</v>
      </c>
      <c r="AN53" s="1009">
        <f>IF(ROUNDUP(SUM(Patients!AN51:AN52)/NumberOfBeds_per_centre,0)=0,0,ROUNDUP(SUM(Patients!AN51:AN52)/NumberOfBeds_per_centre,0))</f>
        <v>0</v>
      </c>
      <c r="AO53" s="1009">
        <f>IF(ROUNDUP(SUM(Patients!AO51:AO52)/NumberOfBeds_per_centre,0)=0,0,ROUNDUP(SUM(Patients!AO51:AO52)/NumberOfBeds_per_centre,0))</f>
        <v>0</v>
      </c>
      <c r="AP53" s="1009">
        <f>IF(ROUNDUP(SUM(Patients!AP51:AP52)/NumberOfBeds_per_centre,0)=0,0,ROUNDUP(SUM(Patients!AP51:AP52)/NumberOfBeds_per_centre,0))</f>
        <v>0</v>
      </c>
      <c r="AQ53" s="1009">
        <f>IF(ROUNDUP(SUM(Patients!AQ51:AQ52)/NumberOfBeds_per_centre,0)=0,0,ROUNDUP(SUM(Patients!AQ51:AQ52)/NumberOfBeds_per_centre,0))</f>
        <v>0</v>
      </c>
      <c r="AR53" s="1009">
        <f>IF(ROUNDUP(SUM(Patients!AR51:AR52)/NumberOfBeds_per_centre,0)=0,0,ROUNDUP(SUM(Patients!AR51:AR52)/NumberOfBeds_per_centre,0))</f>
        <v>0</v>
      </c>
      <c r="AS53" s="1009">
        <f>IF(ROUNDUP(SUM(Patients!AS51:AS52)/NumberOfBeds_per_centre,0)=0,0,ROUNDUP(SUM(Patients!AS51:AS52)/NumberOfBeds_per_centre,0))</f>
        <v>0</v>
      </c>
      <c r="AT53" s="1009">
        <f>IF(ROUNDUP(SUM(Patients!AT51:AT52)/NumberOfBeds_per_centre,0)=0,0,ROUNDUP(SUM(Patients!AT51:AT52)/NumberOfBeds_per_centre,0))</f>
        <v>0</v>
      </c>
      <c r="AU53" s="1009">
        <f>IF(ROUNDUP(SUM(Patients!AU51:AU52)/NumberOfBeds_per_centre,0)=0,0,ROUNDUP(SUM(Patients!AU51:AU52)/NumberOfBeds_per_centre,0))</f>
        <v>0</v>
      </c>
      <c r="AV53" s="1009">
        <f>IF(ROUNDUP(SUM(Patients!AV51:AV52)/NumberOfBeds_per_centre,0)=0,0,ROUNDUP(SUM(Patients!AV51:AV52)/NumberOfBeds_per_centre,0))</f>
        <v>0</v>
      </c>
      <c r="AW53" s="1009">
        <f>IF(ROUNDUP(SUM(Patients!AW51:AW52)/NumberOfBeds_per_centre,0)=0,0,ROUNDUP(SUM(Patients!AW51:AW52)/NumberOfBeds_per_centre,0))</f>
        <v>0</v>
      </c>
      <c r="AX53" s="1009">
        <f>IF(ROUNDUP(SUM(Patients!AX51:AX52)/NumberOfBeds_per_centre,0)=0,0,ROUNDUP(SUM(Patients!AX51:AX52)/NumberOfBeds_per_centre,0))</f>
        <v>0</v>
      </c>
      <c r="AY53" s="1009">
        <f>IF(ROUNDUP(SUM(Patients!AY51:AY52)/NumberOfBeds_per_centre,0)=0,0,ROUNDUP(SUM(Patients!AY51:AY52)/NumberOfBeds_per_centre,0))</f>
        <v>0</v>
      </c>
      <c r="AZ53" s="1009">
        <f>IF(ROUNDUP(SUM(Patients!AZ51:AZ52)/NumberOfBeds_per_centre,0)=0,0,ROUNDUP(SUM(Patients!AZ51:AZ52)/NumberOfBeds_per_centre,0))</f>
        <v>0</v>
      </c>
      <c r="BA53" s="1009">
        <f>IF(ROUNDUP(SUM(Patients!BA51:BA52)/NumberOfBeds_per_centre,0)=0,0,ROUNDUP(SUM(Patients!BA51:BA52)/NumberOfBeds_per_centre,0))</f>
        <v>0</v>
      </c>
      <c r="BB53" s="1009">
        <f>IF(ROUNDUP(SUM(Patients!BB51:BB52)/NumberOfBeds_per_centre,0)=0,0,ROUNDUP(SUM(Patients!BB51:BB52)/NumberOfBeds_per_centre,0))</f>
        <v>0</v>
      </c>
      <c r="BC53" s="1009">
        <f>IF(ROUNDUP(SUM(Patients!BC51:BC52)/NumberOfBeds_per_centre,0)=0,0,ROUNDUP(SUM(Patients!BC51:BC52)/NumberOfBeds_per_centre,0))</f>
        <v>0</v>
      </c>
      <c r="BD53" s="1009">
        <f>IF(ROUNDUP(SUM(Patients!BD51:BD52)/NumberOfBeds_per_centre,0)=0,0,ROUNDUP(SUM(Patients!BD51:BD52)/NumberOfBeds_per_centre,0))</f>
        <v>0</v>
      </c>
      <c r="BE53"/>
      <c r="BF53" s="367">
        <f ca="1">SUMIFS($D53:$BD53,$D$31:$BD$31,"&lt;="&amp;WeekSuppliedUntil,$D$31:$BD$31,"&gt;="&amp;Start_week_for_forecasting)</f>
        <v>2016</v>
      </c>
      <c r="BG53" s="5"/>
      <c r="BH53" s="367">
        <f t="array" aca="1" ref="BH53" ca="1">MAX(IF(D$31:BD$31&gt;=Start_week_for_forecasting,IF(D$31:BD$31&lt;=WeekSuppliedUntil,D53:BD53)))</f>
        <v>552</v>
      </c>
      <c r="BI53"/>
      <c r="BJ53"/>
      <c r="BK53"/>
      <c r="BL53"/>
      <c r="BM53"/>
      <c r="BN53"/>
      <c r="BO53"/>
      <c r="BP53"/>
      <c r="BQ53"/>
      <c r="BR53"/>
    </row>
    <row r="54" spans="2:70" x14ac:dyDescent="0.75">
      <c r="C54" s="5"/>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c r="BF54"/>
      <c r="BG54"/>
      <c r="BH54"/>
      <c r="BI54"/>
      <c r="BJ54"/>
      <c r="BK54"/>
      <c r="BL54"/>
      <c r="BM54"/>
      <c r="BN54"/>
      <c r="BO54"/>
      <c r="BP54"/>
      <c r="BQ54"/>
      <c r="BR54"/>
    </row>
    <row r="55" spans="2:70" s="26" customFormat="1" x14ac:dyDescent="0.75">
      <c r="C55" s="180" t="s">
        <v>594</v>
      </c>
    </row>
    <row r="56" spans="2:70" ht="15.65" customHeight="1" x14ac:dyDescent="0.75">
      <c r="C56" s="6" t="s">
        <v>304</v>
      </c>
      <c r="D56" s="246">
        <f ca="1">IFERROR(VLOOKUP(D$31,'Patient Calcs'!$B13:$N65,13,FALSE),0)</f>
        <v>0</v>
      </c>
      <c r="E56" s="246">
        <f ca="1">IFERROR(VLOOKUP(E$31,'Patient Calcs'!$B13:$N65,13,FALSE),0)</f>
        <v>0</v>
      </c>
      <c r="F56" s="246">
        <f ca="1">IFERROR(VLOOKUP(F$31,'Patient Calcs'!$B13:$N65,13,FALSE),0)</f>
        <v>0.4</v>
      </c>
      <c r="G56" s="246">
        <f ca="1">IFERROR(VLOOKUP(G$31,'Patient Calcs'!$B13:$N65,13,FALSE),0)</f>
        <v>1.1921549569586405</v>
      </c>
      <c r="H56" s="246">
        <f ca="1">IFERROR(VLOOKUP(H$31,'Patient Calcs'!$B13:$N65,13,FALSE),0)</f>
        <v>4.0968499466703223</v>
      </c>
      <c r="I56" s="246">
        <f ca="1">IFERROR(VLOOKUP(I$31,'Patient Calcs'!$B13:$N65,13,FALSE),0)</f>
        <v>14.078718922259288</v>
      </c>
      <c r="J56" s="246">
        <f ca="1">IFERROR(VLOOKUP(J$31,'Patient Calcs'!$B13:$N65,13,FALSE),0)</f>
        <v>48.379519810962371</v>
      </c>
      <c r="K56" s="246">
        <f ca="1">IFERROR(VLOOKUP(K$31,'Patient Calcs'!$B13:$N65,13,FALSE),0)</f>
        <v>166.23006425816084</v>
      </c>
      <c r="L56" s="246">
        <f ca="1">IFERROR(VLOOKUP(L$31,'Patient Calcs'!$B13:$N65,13,FALSE),0)</f>
        <v>570.93208693302392</v>
      </c>
      <c r="M56" s="246">
        <f ca="1">IFERROR(VLOOKUP(M$31,'Patient Calcs'!$B13:$N65,13,FALSE),0)</f>
        <v>1958.235255006249</v>
      </c>
      <c r="N56" s="246">
        <f ca="1">IFERROR(VLOOKUP(N$31,'Patient Calcs'!$B13:$N65,13,FALSE),0)</f>
        <v>6685.1121471335009</v>
      </c>
      <c r="O56" s="246">
        <f ca="1">IFERROR(VLOOKUP(O$31,'Patient Calcs'!$B13:$N65,13,FALSE),0)</f>
        <v>22460.910633557942</v>
      </c>
      <c r="P56" s="246">
        <f ca="1">IFERROR(VLOOKUP(P$31,'Patient Calcs'!$B13:$N65,13,FALSE),0)</f>
        <v>71578.099683807624</v>
      </c>
      <c r="Q56" s="246">
        <f>IFERROR(VLOOKUP(Q$31,'Patient Calcs'!$B13:$N65,13,FALSE),0)</f>
        <v>0</v>
      </c>
      <c r="R56" s="246">
        <f>IFERROR(VLOOKUP(R$31,'Patient Calcs'!$B13:$N65,13,FALSE),0)</f>
        <v>0</v>
      </c>
      <c r="S56" s="246">
        <f>IFERROR(VLOOKUP(S$31,'Patient Calcs'!$B13:$N65,13,FALSE),0)</f>
        <v>0</v>
      </c>
      <c r="T56" s="246">
        <f>IFERROR(VLOOKUP(T$31,'Patient Calcs'!$B13:$N65,13,FALSE),0)</f>
        <v>0</v>
      </c>
      <c r="U56" s="246">
        <f>IFERROR(VLOOKUP(U$31,'Patient Calcs'!$B13:$N65,13,FALSE),0)</f>
        <v>0</v>
      </c>
      <c r="V56" s="246">
        <f>IFERROR(VLOOKUP(V$31,'Patient Calcs'!$B13:$N65,13,FALSE),0)</f>
        <v>0</v>
      </c>
      <c r="W56" s="246">
        <f>IFERROR(VLOOKUP(W$31,'Patient Calcs'!$B13:$N65,13,FALSE),0)</f>
        <v>0</v>
      </c>
      <c r="X56" s="246">
        <f>IFERROR(VLOOKUP(X$31,'Patient Calcs'!$B13:$N65,13,FALSE),0)</f>
        <v>0</v>
      </c>
      <c r="Y56" s="246">
        <f>IFERROR(VLOOKUP(Y$31,'Patient Calcs'!$B13:$N65,13,FALSE),0)</f>
        <v>0</v>
      </c>
      <c r="Z56" s="246">
        <f>IFERROR(VLOOKUP(Z$31,'Patient Calcs'!$B13:$N65,13,FALSE),0)</f>
        <v>0</v>
      </c>
      <c r="AA56" s="246">
        <f>IFERROR(VLOOKUP(AA$31,'Patient Calcs'!$B13:$N65,13,FALSE),0)</f>
        <v>0</v>
      </c>
      <c r="AB56" s="246">
        <f>IFERROR(VLOOKUP(AB$31,'Patient Calcs'!$B13:$N65,13,FALSE),0)</f>
        <v>0</v>
      </c>
      <c r="AC56" s="246">
        <f>IFERROR(VLOOKUP(AC$31,'Patient Calcs'!$B13:$N65,13,FALSE),0)</f>
        <v>0</v>
      </c>
      <c r="AD56" s="246">
        <f>IFERROR(VLOOKUP(AD$31,'Patient Calcs'!$B13:$N65,13,FALSE),0)</f>
        <v>0</v>
      </c>
      <c r="AE56" s="246">
        <f>IFERROR(VLOOKUP(AE$31,'Patient Calcs'!$B13:$N65,13,FALSE),0)</f>
        <v>0</v>
      </c>
      <c r="AF56" s="246">
        <f>IFERROR(VLOOKUP(AF$31,'Patient Calcs'!$B13:$N65,13,FALSE),0)</f>
        <v>0</v>
      </c>
      <c r="AG56" s="246">
        <f>IFERROR(VLOOKUP(AG$31,'Patient Calcs'!$B13:$N65,13,FALSE),0)</f>
        <v>0</v>
      </c>
      <c r="AH56" s="246">
        <f>IFERROR(VLOOKUP(AH$31,'Patient Calcs'!$B13:$N65,13,FALSE),0)</f>
        <v>0</v>
      </c>
      <c r="AI56" s="246">
        <f>IFERROR(VLOOKUP(AI$31,'Patient Calcs'!$B13:$N65,13,FALSE),0)</f>
        <v>0</v>
      </c>
      <c r="AJ56" s="246">
        <f>IFERROR(VLOOKUP(AJ$31,'Patient Calcs'!$B13:$N65,13,FALSE),0)</f>
        <v>0</v>
      </c>
      <c r="AK56" s="246">
        <f>IFERROR(VLOOKUP(AK$31,'Patient Calcs'!$B13:$N65,13,FALSE),0)</f>
        <v>0</v>
      </c>
      <c r="AL56" s="246">
        <f>IFERROR(VLOOKUP(AL$31,'Patient Calcs'!$B13:$N65,13,FALSE),0)</f>
        <v>0</v>
      </c>
      <c r="AM56" s="246">
        <f>IFERROR(VLOOKUP(AM$31,'Patient Calcs'!$B13:$N65,13,FALSE),0)</f>
        <v>0</v>
      </c>
      <c r="AN56" s="246">
        <f>IFERROR(VLOOKUP(AN$31,'Patient Calcs'!$B13:$N65,13,FALSE),0)</f>
        <v>0</v>
      </c>
      <c r="AO56" s="246">
        <f>IFERROR(VLOOKUP(AO$31,'Patient Calcs'!$B13:$N65,13,FALSE),0)</f>
        <v>0</v>
      </c>
      <c r="AP56" s="246">
        <f>IFERROR(VLOOKUP(AP$31,'Patient Calcs'!$B13:$N65,13,FALSE),0)</f>
        <v>0</v>
      </c>
      <c r="AQ56" s="246">
        <f>IFERROR(VLOOKUP(AQ$31,'Patient Calcs'!$B13:$N65,13,FALSE),0)</f>
        <v>0</v>
      </c>
      <c r="AR56" s="246">
        <f>IFERROR(VLOOKUP(AR$31,'Patient Calcs'!$B13:$N65,13,FALSE),0)</f>
        <v>0</v>
      </c>
      <c r="AS56" s="246">
        <f>IFERROR(VLOOKUP(AS$31,'Patient Calcs'!$B13:$N65,13,FALSE),0)</f>
        <v>0</v>
      </c>
      <c r="AT56" s="246">
        <f>IFERROR(VLOOKUP(AT$31,'Patient Calcs'!$B13:$N65,13,FALSE),0)</f>
        <v>0</v>
      </c>
      <c r="AU56" s="246">
        <f>IFERROR(VLOOKUP(AU$31,'Patient Calcs'!$B13:$N65,13,FALSE),0)</f>
        <v>0</v>
      </c>
      <c r="AV56" s="246">
        <f>IFERROR(VLOOKUP(AV$31,'Patient Calcs'!$B13:$N65,13,FALSE),0)</f>
        <v>0</v>
      </c>
      <c r="AW56" s="246">
        <f>IFERROR(VLOOKUP(AW$31,'Patient Calcs'!$B13:$N65,13,FALSE),0)</f>
        <v>0</v>
      </c>
      <c r="AX56" s="246">
        <f>IFERROR(VLOOKUP(AX$31,'Patient Calcs'!$B13:$N65,13,FALSE),0)</f>
        <v>0</v>
      </c>
      <c r="AY56" s="246">
        <f>IFERROR(VLOOKUP(AY$31,'Patient Calcs'!$B13:$N65,13,FALSE),0)</f>
        <v>0</v>
      </c>
      <c r="AZ56" s="246">
        <f>IFERROR(VLOOKUP(AZ$31,'Patient Calcs'!$B13:$N65,13,FALSE),0)</f>
        <v>0</v>
      </c>
      <c r="BA56" s="246">
        <f>IFERROR(VLOOKUP(BA$31,'Patient Calcs'!$B13:$N65,13,FALSE),0)</f>
        <v>0</v>
      </c>
      <c r="BB56" s="246">
        <f>IFERROR(VLOOKUP(BB$31,'Patient Calcs'!$B13:$N65,13,FALSE),0)</f>
        <v>0</v>
      </c>
      <c r="BC56" s="246">
        <f>IFERROR(VLOOKUP(BC$31,'Patient Calcs'!$B13:$N65,13,FALSE),0)</f>
        <v>0</v>
      </c>
      <c r="BD56" s="246">
        <f>IFERROR(VLOOKUP(BD$31,'Patient Calcs'!$B13:$N65,13,FALSE),0)</f>
        <v>0</v>
      </c>
      <c r="BE56"/>
      <c r="BF56"/>
      <c r="BG56"/>
      <c r="BH56"/>
      <c r="BI56"/>
      <c r="BJ56"/>
      <c r="BK56"/>
      <c r="BL56"/>
      <c r="BM56"/>
      <c r="BN56"/>
      <c r="BO56"/>
      <c r="BP56"/>
      <c r="BQ56"/>
      <c r="BR56"/>
    </row>
    <row r="57" spans="2:70" s="132" customFormat="1" ht="15.65" customHeight="1" x14ac:dyDescent="0.75">
      <c r="C57" s="6" t="s">
        <v>989</v>
      </c>
      <c r="D57" s="246">
        <f ca="1">IFERROR(VLOOKUP(D$31,'Patient Calcs'!$B13:$P65,15,FALSE),0)</f>
        <v>0</v>
      </c>
      <c r="E57" s="246">
        <f ca="1">IFERROR(VLOOKUP(E$31,'Patient Calcs'!$B13:$P65,15,FALSE),0)</f>
        <v>0</v>
      </c>
      <c r="F57" s="246">
        <f ca="1">IFERROR(VLOOKUP(F$31,'Patient Calcs'!$B13:$P65,15,FALSE),0)</f>
        <v>0.4</v>
      </c>
      <c r="G57" s="246">
        <f ca="1">IFERROR(VLOOKUP(G$31,'Patient Calcs'!$B13:$P65,15,FALSE),0)</f>
        <v>1.1921549569586405</v>
      </c>
      <c r="H57" s="246">
        <f ca="1">IFERROR(VLOOKUP(H$31,'Patient Calcs'!$B13:$P65,15,FALSE),0)</f>
        <v>4.0968499466703223</v>
      </c>
      <c r="I57" s="246">
        <f ca="1">IFERROR(VLOOKUP(I$31,'Patient Calcs'!$B13:$P65,15,FALSE),0)</f>
        <v>14.078718922259288</v>
      </c>
      <c r="J57" s="246">
        <f ca="1">IFERROR(VLOOKUP(J$31,'Patient Calcs'!$B13:$P65,15,FALSE),0)</f>
        <v>48.379519810962371</v>
      </c>
      <c r="K57" s="246">
        <f ca="1">IFERROR(VLOOKUP(K$31,'Patient Calcs'!$B13:$P65,15,FALSE),0)</f>
        <v>166.23006425816084</v>
      </c>
      <c r="L57" s="246">
        <f ca="1">IFERROR(VLOOKUP(L$31,'Patient Calcs'!$B13:$P65,15,FALSE),0)</f>
        <v>570.93208693302392</v>
      </c>
      <c r="M57" s="246">
        <f ca="1">IFERROR(VLOOKUP(M$31,'Patient Calcs'!$B13:$P65,15,FALSE),0)</f>
        <v>1958.235255006249</v>
      </c>
      <c r="N57" s="246">
        <f ca="1">IFERROR(VLOOKUP(N$31,'Patient Calcs'!$B13:$P65,15,FALSE),0)</f>
        <v>6685.1121471335009</v>
      </c>
      <c r="O57" s="246">
        <f ca="1">IFERROR(VLOOKUP(O$31,'Patient Calcs'!$B13:$P65,15,FALSE),0)</f>
        <v>22460.910633557942</v>
      </c>
      <c r="P57" s="246">
        <f ca="1">IFERROR(VLOOKUP(P$31,'Patient Calcs'!$B13:$P65,15,FALSE),0)</f>
        <v>71578.099683807624</v>
      </c>
      <c r="Q57" s="246">
        <f>IFERROR(VLOOKUP(Q$31,'Patient Calcs'!$B13:$P65,15,FALSE),0)</f>
        <v>0</v>
      </c>
      <c r="R57" s="246">
        <f>IFERROR(VLOOKUP(R$31,'Patient Calcs'!$B13:$P65,15,FALSE),0)</f>
        <v>0</v>
      </c>
      <c r="S57" s="246">
        <f>IFERROR(VLOOKUP(S$31,'Patient Calcs'!$B13:$P65,15,FALSE),0)</f>
        <v>0</v>
      </c>
      <c r="T57" s="246">
        <f>IFERROR(VLOOKUP(T$31,'Patient Calcs'!$B13:$P65,15,FALSE),0)</f>
        <v>0</v>
      </c>
      <c r="U57" s="246">
        <f>IFERROR(VLOOKUP(U$31,'Patient Calcs'!$B13:$P65,15,FALSE),0)</f>
        <v>0</v>
      </c>
      <c r="V57" s="246">
        <f>IFERROR(VLOOKUP(V$31,'Patient Calcs'!$B13:$P65,15,FALSE),0)</f>
        <v>0</v>
      </c>
      <c r="W57" s="246">
        <f>IFERROR(VLOOKUP(W$31,'Patient Calcs'!$B13:$P65,15,FALSE),0)</f>
        <v>0</v>
      </c>
      <c r="X57" s="246">
        <f>IFERROR(VLOOKUP(X$31,'Patient Calcs'!$B13:$P65,15,FALSE),0)</f>
        <v>0</v>
      </c>
      <c r="Y57" s="246">
        <f>IFERROR(VLOOKUP(Y$31,'Patient Calcs'!$B13:$P65,15,FALSE),0)</f>
        <v>0</v>
      </c>
      <c r="Z57" s="246">
        <f>IFERROR(VLOOKUP(Z$31,'Patient Calcs'!$B13:$P65,15,FALSE),0)</f>
        <v>0</v>
      </c>
      <c r="AA57" s="246">
        <f>IFERROR(VLOOKUP(AA$31,'Patient Calcs'!$B13:$P65,15,FALSE),0)</f>
        <v>0</v>
      </c>
      <c r="AB57" s="246">
        <f>IFERROR(VLOOKUP(AB$31,'Patient Calcs'!$B13:$P65,15,FALSE),0)</f>
        <v>0</v>
      </c>
      <c r="AC57" s="246">
        <f>IFERROR(VLOOKUP(AC$31,'Patient Calcs'!$B13:$P65,15,FALSE),0)</f>
        <v>0</v>
      </c>
      <c r="AD57" s="246">
        <f>IFERROR(VLOOKUP(AD$31,'Patient Calcs'!$B13:$P65,15,FALSE),0)</f>
        <v>0</v>
      </c>
      <c r="AE57" s="246">
        <f>IFERROR(VLOOKUP(AE$31,'Patient Calcs'!$B13:$P65,15,FALSE),0)</f>
        <v>0</v>
      </c>
      <c r="AF57" s="246">
        <f>IFERROR(VLOOKUP(AF$31,'Patient Calcs'!$B13:$P65,15,FALSE),0)</f>
        <v>0</v>
      </c>
      <c r="AG57" s="246">
        <f>IFERROR(VLOOKUP(AG$31,'Patient Calcs'!$B13:$P65,15,FALSE),0)</f>
        <v>0</v>
      </c>
      <c r="AH57" s="246">
        <f>IFERROR(VLOOKUP(AH$31,'Patient Calcs'!$B13:$P65,15,FALSE),0)</f>
        <v>0</v>
      </c>
      <c r="AI57" s="246">
        <f>IFERROR(VLOOKUP(AI$31,'Patient Calcs'!$B13:$P65,15,FALSE),0)</f>
        <v>0</v>
      </c>
      <c r="AJ57" s="246">
        <f>IFERROR(VLOOKUP(AJ$31,'Patient Calcs'!$B13:$P65,15,FALSE),0)</f>
        <v>0</v>
      </c>
      <c r="AK57" s="246">
        <f>IFERROR(VLOOKUP(AK$31,'Patient Calcs'!$B13:$P65,15,FALSE),0)</f>
        <v>0</v>
      </c>
      <c r="AL57" s="246">
        <f>IFERROR(VLOOKUP(AL$31,'Patient Calcs'!$B13:$P65,15,FALSE),0)</f>
        <v>0</v>
      </c>
      <c r="AM57" s="246">
        <f>IFERROR(VLOOKUP(AM$31,'Patient Calcs'!$B13:$P65,15,FALSE),0)</f>
        <v>0</v>
      </c>
      <c r="AN57" s="246">
        <f>IFERROR(VLOOKUP(AN$31,'Patient Calcs'!$B13:$P65,15,FALSE),0)</f>
        <v>0</v>
      </c>
      <c r="AO57" s="246">
        <f>IFERROR(VLOOKUP(AO$31,'Patient Calcs'!$B13:$P65,15,FALSE),0)</f>
        <v>0</v>
      </c>
      <c r="AP57" s="246">
        <f>IFERROR(VLOOKUP(AP$31,'Patient Calcs'!$B13:$P65,15,FALSE),0)</f>
        <v>0</v>
      </c>
      <c r="AQ57" s="246">
        <f>IFERROR(VLOOKUP(AQ$31,'Patient Calcs'!$B13:$P65,15,FALSE),0)</f>
        <v>0</v>
      </c>
      <c r="AR57" s="246">
        <f>IFERROR(VLOOKUP(AR$31,'Patient Calcs'!$B13:$P65,15,FALSE),0)</f>
        <v>0</v>
      </c>
      <c r="AS57" s="246">
        <f>IFERROR(VLOOKUP(AS$31,'Patient Calcs'!$B13:$P65,15,FALSE),0)</f>
        <v>0</v>
      </c>
      <c r="AT57" s="246">
        <f>IFERROR(VLOOKUP(AT$31,'Patient Calcs'!$B13:$P65,15,FALSE),0)</f>
        <v>0</v>
      </c>
      <c r="AU57" s="246">
        <f>IFERROR(VLOOKUP(AU$31,'Patient Calcs'!$B13:$P65,15,FALSE),0)</f>
        <v>0</v>
      </c>
      <c r="AV57" s="246">
        <f>IFERROR(VLOOKUP(AV$31,'Patient Calcs'!$B13:$P65,15,FALSE),0)</f>
        <v>0</v>
      </c>
      <c r="AW57" s="246">
        <f>IFERROR(VLOOKUP(AW$31,'Patient Calcs'!$B13:$P65,15,FALSE),0)</f>
        <v>0</v>
      </c>
      <c r="AX57" s="246">
        <f>IFERROR(VLOOKUP(AX$31,'Patient Calcs'!$B13:$P65,15,FALSE),0)</f>
        <v>0</v>
      </c>
      <c r="AY57" s="246">
        <f>IFERROR(VLOOKUP(AY$31,'Patient Calcs'!$B13:$P65,15,FALSE),0)</f>
        <v>0</v>
      </c>
      <c r="AZ57" s="246">
        <f>IFERROR(VLOOKUP(AZ$31,'Patient Calcs'!$B13:$P65,15,FALSE),0)</f>
        <v>0</v>
      </c>
      <c r="BA57" s="246">
        <f>IFERROR(VLOOKUP(BA$31,'Patient Calcs'!$B13:$P65,15,FALSE),0)</f>
        <v>0</v>
      </c>
      <c r="BB57" s="246">
        <f>IFERROR(VLOOKUP(BB$31,'Patient Calcs'!$B13:$P65,15,FALSE),0)</f>
        <v>0</v>
      </c>
      <c r="BC57" s="246">
        <f>IFERROR(VLOOKUP(BC$31,'Patient Calcs'!$B13:$P65,15,FALSE),0)</f>
        <v>0</v>
      </c>
      <c r="BD57" s="246">
        <f>IFERROR(VLOOKUP(BD$31,'Patient Calcs'!$B13:$P65,15,FALSE),0)</f>
        <v>0</v>
      </c>
    </row>
    <row r="58" spans="2:70" ht="15.65" customHeight="1" x14ac:dyDescent="0.75">
      <c r="C58" s="6" t="s">
        <v>303</v>
      </c>
      <c r="D58" s="246">
        <f ca="1">IFERROR(VLOOKUP(D$31,'Patient Calcs'!$B13:$R65,17,FALSE),0)</f>
        <v>0</v>
      </c>
      <c r="E58" s="246">
        <f ca="1">IFERROR(VLOOKUP(E$31,'Patient Calcs'!$B13:$R65,17,FALSE),0)</f>
        <v>0.15</v>
      </c>
      <c r="F58" s="246">
        <f ca="1">IFERROR(VLOOKUP(F$31,'Patient Calcs'!$B13:$R65,17,FALSE),0)</f>
        <v>0.4470581088594901</v>
      </c>
      <c r="G58" s="246">
        <f ca="1">IFERROR(VLOOKUP(G$31,'Patient Calcs'!$B13:$R65,17,FALSE),0)</f>
        <v>1.5363187300013708</v>
      </c>
      <c r="H58" s="246">
        <f ca="1">IFERROR(VLOOKUP(H$31,'Patient Calcs'!$B13:$R65,17,FALSE),0)</f>
        <v>5.2795195958472325</v>
      </c>
      <c r="I58" s="246">
        <f ca="1">IFERROR(VLOOKUP(I$31,'Patient Calcs'!$B13:$R65,17,FALSE),0)</f>
        <v>18.142319929110887</v>
      </c>
      <c r="J58" s="246">
        <f ca="1">IFERROR(VLOOKUP(J$31,'Patient Calcs'!$B13:$R65,17,FALSE),0)</f>
        <v>62.336274096810314</v>
      </c>
      <c r="K58" s="246">
        <f ca="1">IFERROR(VLOOKUP(K$31,'Patient Calcs'!$B13:$R65,17,FALSE),0)</f>
        <v>214.09953259988393</v>
      </c>
      <c r="L58" s="246">
        <f ca="1">IFERROR(VLOOKUP(L$31,'Patient Calcs'!$B13:$R65,17,FALSE),0)</f>
        <v>734.33822062734328</v>
      </c>
      <c r="M58" s="246">
        <f ca="1">IFERROR(VLOOKUP(M$31,'Patient Calcs'!$B13:$R65,17,FALSE),0)</f>
        <v>2506.9170551750626</v>
      </c>
      <c r="N58" s="246">
        <f ca="1">IFERROR(VLOOKUP(N$31,'Patient Calcs'!$B13:$R65,17,FALSE),0)</f>
        <v>8422.8414875842282</v>
      </c>
      <c r="O58" s="246">
        <f ca="1">IFERROR(VLOOKUP(O$31,'Patient Calcs'!$B13:$R65,17,FALSE),0)</f>
        <v>26841.787381427854</v>
      </c>
      <c r="P58" s="246">
        <f ca="1">IFERROR(VLOOKUP(P$31,'Patient Calcs'!$B13:$R65,17,FALSE),0)</f>
        <v>72744.667716627795</v>
      </c>
      <c r="Q58" s="246">
        <f>IFERROR(VLOOKUP(Q$31,'Patient Calcs'!$B13:$R65,17,FALSE),0)</f>
        <v>0</v>
      </c>
      <c r="R58" s="246">
        <f>IFERROR(VLOOKUP(R$31,'Patient Calcs'!$B13:$R65,17,FALSE),0)</f>
        <v>0</v>
      </c>
      <c r="S58" s="246">
        <f>IFERROR(VLOOKUP(S$31,'Patient Calcs'!$B13:$R65,17,FALSE),0)</f>
        <v>0</v>
      </c>
      <c r="T58" s="246">
        <f>IFERROR(VLOOKUP(T$31,'Patient Calcs'!$B13:$R65,17,FALSE),0)</f>
        <v>0</v>
      </c>
      <c r="U58" s="246">
        <f>IFERROR(VLOOKUP(U$31,'Patient Calcs'!$B13:$R65,17,FALSE),0)</f>
        <v>0</v>
      </c>
      <c r="V58" s="246">
        <f>IFERROR(VLOOKUP(V$31,'Patient Calcs'!$B13:$R65,17,FALSE),0)</f>
        <v>0</v>
      </c>
      <c r="W58" s="246">
        <f>IFERROR(VLOOKUP(W$31,'Patient Calcs'!$B13:$R65,17,FALSE),0)</f>
        <v>0</v>
      </c>
      <c r="X58" s="246">
        <f>IFERROR(VLOOKUP(X$31,'Patient Calcs'!$B13:$R65,17,FALSE),0)</f>
        <v>0</v>
      </c>
      <c r="Y58" s="246">
        <f>IFERROR(VLOOKUP(Y$31,'Patient Calcs'!$B13:$R65,17,FALSE),0)</f>
        <v>0</v>
      </c>
      <c r="Z58" s="246">
        <f>IFERROR(VLOOKUP(Z$31,'Patient Calcs'!$B13:$R65,17,FALSE),0)</f>
        <v>0</v>
      </c>
      <c r="AA58" s="246">
        <f>IFERROR(VLOOKUP(AA$31,'Patient Calcs'!$B13:$R65,17,FALSE),0)</f>
        <v>0</v>
      </c>
      <c r="AB58" s="246">
        <f>IFERROR(VLOOKUP(AB$31,'Patient Calcs'!$B13:$R65,17,FALSE),0)</f>
        <v>0</v>
      </c>
      <c r="AC58" s="246">
        <f>IFERROR(VLOOKUP(AC$31,'Patient Calcs'!$B13:$R65,17,FALSE),0)</f>
        <v>0</v>
      </c>
      <c r="AD58" s="246">
        <f>IFERROR(VLOOKUP(AD$31,'Patient Calcs'!$B13:$R65,17,FALSE),0)</f>
        <v>0</v>
      </c>
      <c r="AE58" s="246">
        <f>IFERROR(VLOOKUP(AE$31,'Patient Calcs'!$B13:$R65,17,FALSE),0)</f>
        <v>0</v>
      </c>
      <c r="AF58" s="246">
        <f>IFERROR(VLOOKUP(AF$31,'Patient Calcs'!$B13:$R65,17,FALSE),0)</f>
        <v>0</v>
      </c>
      <c r="AG58" s="246">
        <f>IFERROR(VLOOKUP(AG$31,'Patient Calcs'!$B13:$R65,17,FALSE),0)</f>
        <v>0</v>
      </c>
      <c r="AH58" s="246">
        <f>IFERROR(VLOOKUP(AH$31,'Patient Calcs'!$B13:$R65,17,FALSE),0)</f>
        <v>0</v>
      </c>
      <c r="AI58" s="246">
        <f>IFERROR(VLOOKUP(AI$31,'Patient Calcs'!$B13:$R65,17,FALSE),0)</f>
        <v>0</v>
      </c>
      <c r="AJ58" s="246">
        <f>IFERROR(VLOOKUP(AJ$31,'Patient Calcs'!$B13:$R65,17,FALSE),0)</f>
        <v>0</v>
      </c>
      <c r="AK58" s="246">
        <f>IFERROR(VLOOKUP(AK$31,'Patient Calcs'!$B13:$R65,17,FALSE),0)</f>
        <v>0</v>
      </c>
      <c r="AL58" s="246">
        <f>IFERROR(VLOOKUP(AL$31,'Patient Calcs'!$B13:$R65,17,FALSE),0)</f>
        <v>0</v>
      </c>
      <c r="AM58" s="246">
        <f>IFERROR(VLOOKUP(AM$31,'Patient Calcs'!$B13:$R65,17,FALSE),0)</f>
        <v>0</v>
      </c>
      <c r="AN58" s="246">
        <f>IFERROR(VLOOKUP(AN$31,'Patient Calcs'!$B13:$R65,17,FALSE),0)</f>
        <v>0</v>
      </c>
      <c r="AO58" s="246">
        <f>IFERROR(VLOOKUP(AO$31,'Patient Calcs'!$B13:$R65,17,FALSE),0)</f>
        <v>0</v>
      </c>
      <c r="AP58" s="246">
        <f>IFERROR(VLOOKUP(AP$31,'Patient Calcs'!$B13:$R65,17,FALSE),0)</f>
        <v>0</v>
      </c>
      <c r="AQ58" s="246">
        <f>IFERROR(VLOOKUP(AQ$31,'Patient Calcs'!$B13:$R65,17,FALSE),0)</f>
        <v>0</v>
      </c>
      <c r="AR58" s="246">
        <f>IFERROR(VLOOKUP(AR$31,'Patient Calcs'!$B13:$R65,17,FALSE),0)</f>
        <v>0</v>
      </c>
      <c r="AS58" s="246">
        <f>IFERROR(VLOOKUP(AS$31,'Patient Calcs'!$B13:$R65,17,FALSE),0)</f>
        <v>0</v>
      </c>
      <c r="AT58" s="246">
        <f>IFERROR(VLOOKUP(AT$31,'Patient Calcs'!$B13:$R65,17,FALSE),0)</f>
        <v>0</v>
      </c>
      <c r="AU58" s="246">
        <f>IFERROR(VLOOKUP(AU$31,'Patient Calcs'!$B13:$R65,17,FALSE),0)</f>
        <v>0</v>
      </c>
      <c r="AV58" s="246">
        <f>IFERROR(VLOOKUP(AV$31,'Patient Calcs'!$B13:$R65,17,FALSE),0)</f>
        <v>0</v>
      </c>
      <c r="AW58" s="246">
        <f>IFERROR(VLOOKUP(AW$31,'Patient Calcs'!$B13:$R65,17,FALSE),0)</f>
        <v>0</v>
      </c>
      <c r="AX58" s="246">
        <f>IFERROR(VLOOKUP(AX$31,'Patient Calcs'!$B13:$R65,17,FALSE),0)</f>
        <v>0</v>
      </c>
      <c r="AY58" s="246">
        <f>IFERROR(VLOOKUP(AY$31,'Patient Calcs'!$B13:$R65,17,FALSE),0)</f>
        <v>0</v>
      </c>
      <c r="AZ58" s="246">
        <f>IFERROR(VLOOKUP(AZ$31,'Patient Calcs'!$B13:$R65,17,FALSE),0)</f>
        <v>0</v>
      </c>
      <c r="BA58" s="246">
        <f>IFERROR(VLOOKUP(BA$31,'Patient Calcs'!$B13:$R65,17,FALSE),0)</f>
        <v>0</v>
      </c>
      <c r="BB58" s="246">
        <f>IFERROR(VLOOKUP(BB$31,'Patient Calcs'!$B13:$R65,17,FALSE),0)</f>
        <v>0</v>
      </c>
      <c r="BC58" s="246">
        <f>IFERROR(VLOOKUP(BC$31,'Patient Calcs'!$B13:$R65,17,FALSE),0)</f>
        <v>0</v>
      </c>
      <c r="BD58" s="246">
        <f>IFERROR(VLOOKUP(BD$31,'Patient Calcs'!$B13:$R65,17,FALSE),0)</f>
        <v>0</v>
      </c>
      <c r="BE58"/>
      <c r="BF58"/>
      <c r="BG58"/>
      <c r="BH58"/>
      <c r="BI58"/>
      <c r="BJ58"/>
      <c r="BK58"/>
      <c r="BL58"/>
      <c r="BM58"/>
      <c r="BN58"/>
      <c r="BO58"/>
      <c r="BP58"/>
      <c r="BQ58"/>
      <c r="BR58"/>
    </row>
    <row r="59" spans="2:70" ht="15.65" customHeight="1" x14ac:dyDescent="0.75">
      <c r="C59" s="6" t="s">
        <v>305</v>
      </c>
      <c r="D59" s="246">
        <f ca="1">IFERROR(VLOOKUP(D$31,'Patient Calcs'!$B13:$T65,19,FALSE),0)</f>
        <v>0</v>
      </c>
      <c r="E59" s="246">
        <f ca="1">IFERROR(VLOOKUP(E$31,'Patient Calcs'!$B13:$T65,19,FALSE),0)</f>
        <v>0</v>
      </c>
      <c r="F59" s="246">
        <f ca="1">IFERROR(VLOOKUP(F$31,'Patient Calcs'!$B13:$T65,19,FALSE),0)</f>
        <v>0.05</v>
      </c>
      <c r="G59" s="246">
        <f ca="1">IFERROR(VLOOKUP(G$31,'Patient Calcs'!$B13:$T65,19,FALSE),0)</f>
        <v>0.14901936961983006</v>
      </c>
      <c r="H59" s="246">
        <f ca="1">IFERROR(VLOOKUP(H$31,'Patient Calcs'!$B13:$T65,19,FALSE),0)</f>
        <v>0.51210624333379029</v>
      </c>
      <c r="I59" s="246">
        <f ca="1">IFERROR(VLOOKUP(I$31,'Patient Calcs'!$B13:$T65,19,FALSE),0)</f>
        <v>1.759839865282411</v>
      </c>
      <c r="J59" s="246">
        <f ca="1">IFERROR(VLOOKUP(J$31,'Patient Calcs'!$B13:$T65,19,FALSE),0)</f>
        <v>6.0474399763702964</v>
      </c>
      <c r="K59" s="246">
        <f ca="1">IFERROR(VLOOKUP(K$31,'Patient Calcs'!$B13:$T65,19,FALSE),0)</f>
        <v>20.778758032270105</v>
      </c>
      <c r="L59" s="246">
        <f ca="1">IFERROR(VLOOKUP(L$31,'Patient Calcs'!$B13:$T65,19,FALSE),0)</f>
        <v>71.366510866627991</v>
      </c>
      <c r="M59" s="246">
        <f ca="1">IFERROR(VLOOKUP(M$31,'Patient Calcs'!$B13:$T65,19,FALSE),0)</f>
        <v>244.77940687578112</v>
      </c>
      <c r="N59" s="246">
        <f ca="1">IFERROR(VLOOKUP(N$31,'Patient Calcs'!$B13:$T65,19,FALSE),0)</f>
        <v>835.63901839168761</v>
      </c>
      <c r="O59" s="246">
        <f ca="1">IFERROR(VLOOKUP(O$31,'Patient Calcs'!$B13:$T65,19,FALSE),0)</f>
        <v>2807.6138291947427</v>
      </c>
      <c r="P59" s="246">
        <f ca="1">IFERROR(VLOOKUP(P$31,'Patient Calcs'!$B13:$T65,19,FALSE),0)</f>
        <v>8947.262460475953</v>
      </c>
      <c r="Q59" s="246">
        <f>IFERROR(VLOOKUP(Q$31,'Patient Calcs'!$B13:$T65,19,FALSE),0)</f>
        <v>0</v>
      </c>
      <c r="R59" s="246">
        <f>IFERROR(VLOOKUP(R$31,'Patient Calcs'!$B13:$T65,19,FALSE),0)</f>
        <v>0</v>
      </c>
      <c r="S59" s="246">
        <f>IFERROR(VLOOKUP(S$31,'Patient Calcs'!$B13:$T65,19,FALSE),0)</f>
        <v>0</v>
      </c>
      <c r="T59" s="246">
        <f>IFERROR(VLOOKUP(T$31,'Patient Calcs'!$B13:$T65,19,FALSE),0)</f>
        <v>0</v>
      </c>
      <c r="U59" s="246">
        <f>IFERROR(VLOOKUP(U$31,'Patient Calcs'!$B13:$T65,19,FALSE),0)</f>
        <v>0</v>
      </c>
      <c r="V59" s="246">
        <f>IFERROR(VLOOKUP(V$31,'Patient Calcs'!$B13:$T65,19,FALSE),0)</f>
        <v>0</v>
      </c>
      <c r="W59" s="246">
        <f>IFERROR(VLOOKUP(W$31,'Patient Calcs'!$B13:$T65,19,FALSE),0)</f>
        <v>0</v>
      </c>
      <c r="X59" s="246">
        <f>IFERROR(VLOOKUP(X$31,'Patient Calcs'!$B13:$T65,19,FALSE),0)</f>
        <v>0</v>
      </c>
      <c r="Y59" s="246">
        <f>IFERROR(VLOOKUP(Y$31,'Patient Calcs'!$B13:$T65,19,FALSE),0)</f>
        <v>0</v>
      </c>
      <c r="Z59" s="246">
        <f>IFERROR(VLOOKUP(Z$31,'Patient Calcs'!$B13:$T65,19,FALSE),0)</f>
        <v>0</v>
      </c>
      <c r="AA59" s="246">
        <f>IFERROR(VLOOKUP(AA$31,'Patient Calcs'!$B13:$T65,19,FALSE),0)</f>
        <v>0</v>
      </c>
      <c r="AB59" s="246">
        <f>IFERROR(VLOOKUP(AB$31,'Patient Calcs'!$B13:$T65,19,FALSE),0)</f>
        <v>0</v>
      </c>
      <c r="AC59" s="246">
        <f>IFERROR(VLOOKUP(AC$31,'Patient Calcs'!$B13:$T65,19,FALSE),0)</f>
        <v>0</v>
      </c>
      <c r="AD59" s="246">
        <f>IFERROR(VLOOKUP(AD$31,'Patient Calcs'!$B13:$T65,19,FALSE),0)</f>
        <v>0</v>
      </c>
      <c r="AE59" s="246">
        <f>IFERROR(VLOOKUP(AE$31,'Patient Calcs'!$B13:$T65,19,FALSE),0)</f>
        <v>0</v>
      </c>
      <c r="AF59" s="246">
        <f>IFERROR(VLOOKUP(AF$31,'Patient Calcs'!$B13:$T65,19,FALSE),0)</f>
        <v>0</v>
      </c>
      <c r="AG59" s="246">
        <f>IFERROR(VLOOKUP(AG$31,'Patient Calcs'!$B13:$T65,19,FALSE),0)</f>
        <v>0</v>
      </c>
      <c r="AH59" s="246">
        <f>IFERROR(VLOOKUP(AH$31,'Patient Calcs'!$B13:$T65,19,FALSE),0)</f>
        <v>0</v>
      </c>
      <c r="AI59" s="246">
        <f>IFERROR(VLOOKUP(AI$31,'Patient Calcs'!$B13:$T65,19,FALSE),0)</f>
        <v>0</v>
      </c>
      <c r="AJ59" s="246">
        <f>IFERROR(VLOOKUP(AJ$31,'Patient Calcs'!$B13:$T65,19,FALSE),0)</f>
        <v>0</v>
      </c>
      <c r="AK59" s="246">
        <f>IFERROR(VLOOKUP(AK$31,'Patient Calcs'!$B13:$T65,19,FALSE),0)</f>
        <v>0</v>
      </c>
      <c r="AL59" s="246">
        <f>IFERROR(VLOOKUP(AL$31,'Patient Calcs'!$B13:$T65,19,FALSE),0)</f>
        <v>0</v>
      </c>
      <c r="AM59" s="246">
        <f>IFERROR(VLOOKUP(AM$31,'Patient Calcs'!$B13:$T65,19,FALSE),0)</f>
        <v>0</v>
      </c>
      <c r="AN59" s="246">
        <f>IFERROR(VLOOKUP(AN$31,'Patient Calcs'!$B13:$T65,19,FALSE),0)</f>
        <v>0</v>
      </c>
      <c r="AO59" s="246">
        <f>IFERROR(VLOOKUP(AO$31,'Patient Calcs'!$B13:$T65,19,FALSE),0)</f>
        <v>0</v>
      </c>
      <c r="AP59" s="246">
        <f>IFERROR(VLOOKUP(AP$31,'Patient Calcs'!$B13:$T65,19,FALSE),0)</f>
        <v>0</v>
      </c>
      <c r="AQ59" s="246">
        <f>IFERROR(VLOOKUP(AQ$31,'Patient Calcs'!$B13:$T65,19,FALSE),0)</f>
        <v>0</v>
      </c>
      <c r="AR59" s="246">
        <f>IFERROR(VLOOKUP(AR$31,'Patient Calcs'!$B13:$T65,19,FALSE),0)</f>
        <v>0</v>
      </c>
      <c r="AS59" s="246">
        <f>IFERROR(VLOOKUP(AS$31,'Patient Calcs'!$B13:$T65,19,FALSE),0)</f>
        <v>0</v>
      </c>
      <c r="AT59" s="246">
        <f>IFERROR(VLOOKUP(AT$31,'Patient Calcs'!$B13:$T65,19,FALSE),0)</f>
        <v>0</v>
      </c>
      <c r="AU59" s="246">
        <f>IFERROR(VLOOKUP(AU$31,'Patient Calcs'!$B13:$T65,19,FALSE),0)</f>
        <v>0</v>
      </c>
      <c r="AV59" s="246">
        <f>IFERROR(VLOOKUP(AV$31,'Patient Calcs'!$B13:$T65,19,FALSE),0)</f>
        <v>0</v>
      </c>
      <c r="AW59" s="246">
        <f>IFERROR(VLOOKUP(AW$31,'Patient Calcs'!$B13:$T65,19,FALSE),0)</f>
        <v>0</v>
      </c>
      <c r="AX59" s="246">
        <f>IFERROR(VLOOKUP(AX$31,'Patient Calcs'!$B13:$T65,19,FALSE),0)</f>
        <v>0</v>
      </c>
      <c r="AY59" s="246">
        <f>IFERROR(VLOOKUP(AY$31,'Patient Calcs'!$B13:$T65,19,FALSE),0)</f>
        <v>0</v>
      </c>
      <c r="AZ59" s="246">
        <f>IFERROR(VLOOKUP(AZ$31,'Patient Calcs'!$B13:$T65,19,FALSE),0)</f>
        <v>0</v>
      </c>
      <c r="BA59" s="246">
        <f>IFERROR(VLOOKUP(BA$31,'Patient Calcs'!$B13:$T65,19,FALSE),0)</f>
        <v>0</v>
      </c>
      <c r="BB59" s="246">
        <f>IFERROR(VLOOKUP(BB$31,'Patient Calcs'!$B13:$T65,19,FALSE),0)</f>
        <v>0</v>
      </c>
      <c r="BC59" s="246">
        <f>IFERROR(VLOOKUP(BC$31,'Patient Calcs'!$B13:$T65,19,FALSE),0)</f>
        <v>0</v>
      </c>
      <c r="BD59" s="246">
        <f>IFERROR(VLOOKUP(BD$31,'Patient Calcs'!$B13:$T65,19,FALSE),0)</f>
        <v>0</v>
      </c>
      <c r="BE59"/>
      <c r="BF59"/>
      <c r="BG59"/>
      <c r="BH59"/>
      <c r="BI59"/>
      <c r="BJ59"/>
      <c r="BK59"/>
      <c r="BL59"/>
      <c r="BM59"/>
      <c r="BN59"/>
      <c r="BO59"/>
      <c r="BP59"/>
      <c r="BQ59"/>
      <c r="BR59"/>
    </row>
    <row r="60" spans="2:70" s="132" customFormat="1" ht="15.65" hidden="1" customHeight="1" x14ac:dyDescent="0.75">
      <c r="B60" s="432" t="s">
        <v>1402</v>
      </c>
      <c r="C60" s="440" t="s">
        <v>1120</v>
      </c>
      <c r="D60" s="248" t="str">
        <f t="shared" ref="D60:AI60" ca="1" si="11">IFERROR(IF(ISTEXT((OFFSET(D$39,0,-BedStay_Mild))),0,(OFFSET(D$39,0,-BedStay_Mild))),"")</f>
        <v/>
      </c>
      <c r="E60" s="248" t="str">
        <f t="shared" ca="1" si="11"/>
        <v/>
      </c>
      <c r="F60" s="248" t="str">
        <f t="shared" ca="1" si="11"/>
        <v/>
      </c>
      <c r="G60" s="248" t="str">
        <f t="shared" ca="1" si="11"/>
        <v/>
      </c>
      <c r="H60" s="248" t="str">
        <f t="shared" ca="1" si="11"/>
        <v/>
      </c>
      <c r="I60" s="248" t="str">
        <f t="shared" ca="1" si="11"/>
        <v/>
      </c>
      <c r="J60" s="248" t="str">
        <f t="shared" ca="1" si="11"/>
        <v/>
      </c>
      <c r="K60" s="248" t="str">
        <f t="shared" ca="1" si="11"/>
        <v/>
      </c>
      <c r="L60" s="248" t="str">
        <f t="shared" ca="1" si="11"/>
        <v/>
      </c>
      <c r="M60" s="248" t="str">
        <f t="shared" ca="1" si="11"/>
        <v/>
      </c>
      <c r="N60" s="248" t="str">
        <f t="shared" ca="1" si="11"/>
        <v/>
      </c>
      <c r="O60" s="248" t="str">
        <f t="shared" ca="1" si="11"/>
        <v/>
      </c>
      <c r="P60" s="248" t="str">
        <f t="shared" ca="1" si="11"/>
        <v/>
      </c>
      <c r="Q60" s="248" t="str">
        <f t="shared" ca="1" si="11"/>
        <v/>
      </c>
      <c r="R60" s="248" t="str">
        <f t="shared" ca="1" si="11"/>
        <v/>
      </c>
      <c r="S60" s="248" t="str">
        <f t="shared" ca="1" si="11"/>
        <v/>
      </c>
      <c r="T60" s="248" t="str">
        <f t="shared" ca="1" si="11"/>
        <v/>
      </c>
      <c r="U60" s="248" t="str">
        <f t="shared" ca="1" si="11"/>
        <v/>
      </c>
      <c r="V60" s="248" t="str">
        <f t="shared" ca="1" si="11"/>
        <v/>
      </c>
      <c r="W60" s="248" t="str">
        <f t="shared" ca="1" si="11"/>
        <v/>
      </c>
      <c r="X60" s="248" t="str">
        <f t="shared" ca="1" si="11"/>
        <v/>
      </c>
      <c r="Y60" s="248" t="str">
        <f t="shared" ca="1" si="11"/>
        <v/>
      </c>
      <c r="Z60" s="248" t="str">
        <f t="shared" ca="1" si="11"/>
        <v/>
      </c>
      <c r="AA60" s="248" t="str">
        <f t="shared" ca="1" si="11"/>
        <v/>
      </c>
      <c r="AB60" s="248" t="str">
        <f t="shared" ca="1" si="11"/>
        <v/>
      </c>
      <c r="AC60" s="248" t="str">
        <f t="shared" ca="1" si="11"/>
        <v/>
      </c>
      <c r="AD60" s="248" t="str">
        <f t="shared" ca="1" si="11"/>
        <v/>
      </c>
      <c r="AE60" s="248" t="str">
        <f t="shared" ca="1" si="11"/>
        <v/>
      </c>
      <c r="AF60" s="248" t="str">
        <f t="shared" ca="1" si="11"/>
        <v/>
      </c>
      <c r="AG60" s="248" t="str">
        <f t="shared" ca="1" si="11"/>
        <v/>
      </c>
      <c r="AH60" s="248" t="str">
        <f t="shared" ca="1" si="11"/>
        <v/>
      </c>
      <c r="AI60" s="248" t="str">
        <f t="shared" ca="1" si="11"/>
        <v/>
      </c>
      <c r="AJ60" s="248" t="str">
        <f t="shared" ref="AJ60:BD60" ca="1" si="12">IFERROR(IF(ISTEXT((OFFSET(AJ$39,0,-BedStay_Mild))),0,(OFFSET(AJ$39,0,-BedStay_Mild))),"")</f>
        <v/>
      </c>
      <c r="AK60" s="248" t="str">
        <f t="shared" ca="1" si="12"/>
        <v/>
      </c>
      <c r="AL60" s="248" t="str">
        <f t="shared" ca="1" si="12"/>
        <v/>
      </c>
      <c r="AM60" s="248" t="str">
        <f t="shared" ca="1" si="12"/>
        <v/>
      </c>
      <c r="AN60" s="248" t="str">
        <f t="shared" ca="1" si="12"/>
        <v/>
      </c>
      <c r="AO60" s="248" t="str">
        <f t="shared" ca="1" si="12"/>
        <v/>
      </c>
      <c r="AP60" s="248" t="str">
        <f t="shared" ca="1" si="12"/>
        <v/>
      </c>
      <c r="AQ60" s="248" t="str">
        <f t="shared" ca="1" si="12"/>
        <v/>
      </c>
      <c r="AR60" s="248" t="str">
        <f t="shared" ca="1" si="12"/>
        <v/>
      </c>
      <c r="AS60" s="248" t="str">
        <f t="shared" ca="1" si="12"/>
        <v/>
      </c>
      <c r="AT60" s="248" t="str">
        <f t="shared" ca="1" si="12"/>
        <v/>
      </c>
      <c r="AU60" s="248" t="str">
        <f t="shared" ca="1" si="12"/>
        <v/>
      </c>
      <c r="AV60" s="248" t="str">
        <f t="shared" ca="1" si="12"/>
        <v/>
      </c>
      <c r="AW60" s="248" t="str">
        <f t="shared" ca="1" si="12"/>
        <v/>
      </c>
      <c r="AX60" s="248" t="str">
        <f t="shared" ca="1" si="12"/>
        <v/>
      </c>
      <c r="AY60" s="248" t="str">
        <f t="shared" ca="1" si="12"/>
        <v/>
      </c>
      <c r="AZ60" s="248" t="str">
        <f t="shared" ca="1" si="12"/>
        <v/>
      </c>
      <c r="BA60" s="248" t="str">
        <f t="shared" ca="1" si="12"/>
        <v/>
      </c>
      <c r="BB60" s="248" t="str">
        <f t="shared" ca="1" si="12"/>
        <v/>
      </c>
      <c r="BC60" s="248" t="str">
        <f t="shared" ca="1" si="12"/>
        <v/>
      </c>
      <c r="BD60" s="248" t="str">
        <f t="shared" ca="1" si="12"/>
        <v/>
      </c>
    </row>
    <row r="61" spans="2:70" s="132" customFormat="1" hidden="1" x14ac:dyDescent="0.75">
      <c r="B61" s="432" t="s">
        <v>1402</v>
      </c>
      <c r="C61" s="440" t="s">
        <v>1116</v>
      </c>
      <c r="D61" s="248" t="str">
        <f t="shared" ref="D61:AI61" ca="1" si="13">IFERROR(IF(ISTEXT((OFFSET(D$40,0,-BedStay_Moderate))),0,(OFFSET(D$40,0,-BedStay_Moderate))),"")</f>
        <v/>
      </c>
      <c r="E61" s="248" t="str">
        <f t="shared" ca="1" si="13"/>
        <v/>
      </c>
      <c r="F61" s="248" t="str">
        <f t="shared" ca="1" si="13"/>
        <v/>
      </c>
      <c r="G61" s="248" t="str">
        <f t="shared" ca="1" si="13"/>
        <v/>
      </c>
      <c r="H61" s="248" t="str">
        <f t="shared" ca="1" si="13"/>
        <v/>
      </c>
      <c r="I61" s="248" t="str">
        <f t="shared" ca="1" si="13"/>
        <v/>
      </c>
      <c r="J61" s="248" t="str">
        <f t="shared" ca="1" si="13"/>
        <v/>
      </c>
      <c r="K61" s="248" t="str">
        <f t="shared" ca="1" si="13"/>
        <v/>
      </c>
      <c r="L61" s="248" t="str">
        <f t="shared" ca="1" si="13"/>
        <v/>
      </c>
      <c r="M61" s="248" t="str">
        <f t="shared" ca="1" si="13"/>
        <v/>
      </c>
      <c r="N61" s="248" t="str">
        <f t="shared" ca="1" si="13"/>
        <v/>
      </c>
      <c r="O61" s="248" t="str">
        <f t="shared" ca="1" si="13"/>
        <v/>
      </c>
      <c r="P61" s="248" t="str">
        <f t="shared" ca="1" si="13"/>
        <v/>
      </c>
      <c r="Q61" s="248" t="str">
        <f t="shared" ca="1" si="13"/>
        <v/>
      </c>
      <c r="R61" s="248" t="str">
        <f t="shared" ca="1" si="13"/>
        <v/>
      </c>
      <c r="S61" s="248" t="str">
        <f t="shared" ca="1" si="13"/>
        <v/>
      </c>
      <c r="T61" s="248" t="str">
        <f t="shared" ca="1" si="13"/>
        <v/>
      </c>
      <c r="U61" s="248" t="str">
        <f t="shared" ca="1" si="13"/>
        <v/>
      </c>
      <c r="V61" s="248" t="str">
        <f t="shared" ca="1" si="13"/>
        <v/>
      </c>
      <c r="W61" s="248" t="str">
        <f t="shared" ca="1" si="13"/>
        <v/>
      </c>
      <c r="X61" s="248" t="str">
        <f t="shared" ca="1" si="13"/>
        <v/>
      </c>
      <c r="Y61" s="248" t="str">
        <f t="shared" ca="1" si="13"/>
        <v/>
      </c>
      <c r="Z61" s="248" t="str">
        <f t="shared" ca="1" si="13"/>
        <v/>
      </c>
      <c r="AA61" s="248" t="str">
        <f t="shared" ca="1" si="13"/>
        <v/>
      </c>
      <c r="AB61" s="248" t="str">
        <f t="shared" ca="1" si="13"/>
        <v/>
      </c>
      <c r="AC61" s="248" t="str">
        <f t="shared" ca="1" si="13"/>
        <v/>
      </c>
      <c r="AD61" s="248" t="str">
        <f t="shared" ca="1" si="13"/>
        <v/>
      </c>
      <c r="AE61" s="248" t="str">
        <f t="shared" ca="1" si="13"/>
        <v/>
      </c>
      <c r="AF61" s="248" t="str">
        <f t="shared" ca="1" si="13"/>
        <v/>
      </c>
      <c r="AG61" s="248" t="str">
        <f t="shared" ca="1" si="13"/>
        <v/>
      </c>
      <c r="AH61" s="248" t="str">
        <f t="shared" ca="1" si="13"/>
        <v/>
      </c>
      <c r="AI61" s="248" t="str">
        <f t="shared" ca="1" si="13"/>
        <v/>
      </c>
      <c r="AJ61" s="248" t="str">
        <f t="shared" ref="AJ61:BD61" ca="1" si="14">IFERROR(IF(ISTEXT((OFFSET(AJ$40,0,-BedStay_Moderate))),0,(OFFSET(AJ$40,0,-BedStay_Moderate))),"")</f>
        <v/>
      </c>
      <c r="AK61" s="248" t="str">
        <f t="shared" ca="1" si="14"/>
        <v/>
      </c>
      <c r="AL61" s="248" t="str">
        <f t="shared" ca="1" si="14"/>
        <v/>
      </c>
      <c r="AM61" s="248" t="str">
        <f t="shared" ca="1" si="14"/>
        <v/>
      </c>
      <c r="AN61" s="248" t="str">
        <f t="shared" ca="1" si="14"/>
        <v/>
      </c>
      <c r="AO61" s="248" t="str">
        <f t="shared" ca="1" si="14"/>
        <v/>
      </c>
      <c r="AP61" s="248" t="str">
        <f t="shared" ca="1" si="14"/>
        <v/>
      </c>
      <c r="AQ61" s="248" t="str">
        <f t="shared" ca="1" si="14"/>
        <v/>
      </c>
      <c r="AR61" s="248" t="str">
        <f t="shared" ca="1" si="14"/>
        <v/>
      </c>
      <c r="AS61" s="248" t="str">
        <f t="shared" ca="1" si="14"/>
        <v/>
      </c>
      <c r="AT61" s="248" t="str">
        <f t="shared" ca="1" si="14"/>
        <v/>
      </c>
      <c r="AU61" s="248" t="str">
        <f t="shared" ca="1" si="14"/>
        <v/>
      </c>
      <c r="AV61" s="248" t="str">
        <f t="shared" ca="1" si="14"/>
        <v/>
      </c>
      <c r="AW61" s="248" t="str">
        <f t="shared" ca="1" si="14"/>
        <v/>
      </c>
      <c r="AX61" s="248" t="str">
        <f t="shared" ca="1" si="14"/>
        <v/>
      </c>
      <c r="AY61" s="248" t="str">
        <f t="shared" ca="1" si="14"/>
        <v/>
      </c>
      <c r="AZ61" s="248" t="str">
        <f t="shared" ca="1" si="14"/>
        <v/>
      </c>
      <c r="BA61" s="248" t="str">
        <f t="shared" ca="1" si="14"/>
        <v/>
      </c>
      <c r="BB61" s="248" t="str">
        <f t="shared" ca="1" si="14"/>
        <v/>
      </c>
      <c r="BC61" s="248" t="str">
        <f t="shared" ca="1" si="14"/>
        <v/>
      </c>
      <c r="BD61" s="248" t="str">
        <f t="shared" ca="1" si="14"/>
        <v/>
      </c>
    </row>
    <row r="62" spans="2:70" s="43" customFormat="1" x14ac:dyDescent="0.75">
      <c r="C62" s="560" t="s">
        <v>656</v>
      </c>
      <c r="D62" s="248">
        <f t="shared" ref="D62:AI62" ca="1" si="15">IFERROR(IF(ISTEXT((OFFSET(D$41,0,-BedStay_Severe))),0,(OFFSET(D$41,0,-BedStay_Severe))),0)</f>
        <v>0</v>
      </c>
      <c r="E62" s="248">
        <f t="shared" ca="1" si="15"/>
        <v>0.15</v>
      </c>
      <c r="F62" s="248">
        <f t="shared" ca="1" si="15"/>
        <v>0.4470581088594901</v>
      </c>
      <c r="G62" s="248">
        <f t="shared" ca="1" si="15"/>
        <v>1.5363187300013708</v>
      </c>
      <c r="H62" s="248">
        <f t="shared" ca="1" si="15"/>
        <v>5.2795195958472325</v>
      </c>
      <c r="I62" s="248">
        <f t="shared" ca="1" si="15"/>
        <v>18.142319929110887</v>
      </c>
      <c r="J62" s="248">
        <f t="shared" ca="1" si="15"/>
        <v>62.336274096810314</v>
      </c>
      <c r="K62" s="248">
        <f t="shared" ca="1" si="15"/>
        <v>214.09953259988393</v>
      </c>
      <c r="L62" s="248">
        <f t="shared" ca="1" si="15"/>
        <v>734.33822062734328</v>
      </c>
      <c r="M62" s="248">
        <f t="shared" ca="1" si="15"/>
        <v>2506.9170551750626</v>
      </c>
      <c r="N62" s="248">
        <f t="shared" ca="1" si="15"/>
        <v>8422.8414875842282</v>
      </c>
      <c r="O62" s="248">
        <f t="shared" ca="1" si="15"/>
        <v>21185.721600000001</v>
      </c>
      <c r="P62" s="248">
        <f t="shared" ca="1" si="15"/>
        <v>21185.721600000001</v>
      </c>
      <c r="Q62" s="248">
        <f t="shared" ca="1" si="15"/>
        <v>21185.721600000001</v>
      </c>
      <c r="R62" s="248">
        <f t="shared" ca="1" si="15"/>
        <v>0</v>
      </c>
      <c r="S62" s="248">
        <f t="shared" ca="1" si="15"/>
        <v>0</v>
      </c>
      <c r="T62" s="248">
        <f t="shared" ca="1" si="15"/>
        <v>0</v>
      </c>
      <c r="U62" s="248">
        <f t="shared" ca="1" si="15"/>
        <v>0</v>
      </c>
      <c r="V62" s="248">
        <f t="shared" ca="1" si="15"/>
        <v>0</v>
      </c>
      <c r="W62" s="248">
        <f t="shared" ca="1" si="15"/>
        <v>0</v>
      </c>
      <c r="X62" s="248">
        <f t="shared" ca="1" si="15"/>
        <v>0</v>
      </c>
      <c r="Y62" s="248">
        <f t="shared" ca="1" si="15"/>
        <v>0</v>
      </c>
      <c r="Z62" s="248">
        <f t="shared" ca="1" si="15"/>
        <v>0</v>
      </c>
      <c r="AA62" s="248">
        <f t="shared" ca="1" si="15"/>
        <v>0</v>
      </c>
      <c r="AB62" s="248">
        <f t="shared" ca="1" si="15"/>
        <v>0</v>
      </c>
      <c r="AC62" s="248">
        <f t="shared" ca="1" si="15"/>
        <v>0</v>
      </c>
      <c r="AD62" s="248">
        <f t="shared" ca="1" si="15"/>
        <v>0</v>
      </c>
      <c r="AE62" s="248">
        <f t="shared" ca="1" si="15"/>
        <v>0</v>
      </c>
      <c r="AF62" s="248">
        <f t="shared" ca="1" si="15"/>
        <v>0</v>
      </c>
      <c r="AG62" s="248">
        <f t="shared" ca="1" si="15"/>
        <v>0</v>
      </c>
      <c r="AH62" s="248">
        <f t="shared" ca="1" si="15"/>
        <v>0</v>
      </c>
      <c r="AI62" s="248">
        <f t="shared" ca="1" si="15"/>
        <v>0</v>
      </c>
      <c r="AJ62" s="248">
        <f t="shared" ref="AJ62:BD62" ca="1" si="16">IFERROR(IF(ISTEXT((OFFSET(AJ$41,0,-BedStay_Severe))),0,(OFFSET(AJ$41,0,-BedStay_Severe))),0)</f>
        <v>0</v>
      </c>
      <c r="AK62" s="248">
        <f t="shared" ca="1" si="16"/>
        <v>0</v>
      </c>
      <c r="AL62" s="248">
        <f t="shared" ca="1" si="16"/>
        <v>0</v>
      </c>
      <c r="AM62" s="248">
        <f t="shared" ca="1" si="16"/>
        <v>0</v>
      </c>
      <c r="AN62" s="248">
        <f t="shared" ca="1" si="16"/>
        <v>0</v>
      </c>
      <c r="AO62" s="248">
        <f t="shared" ca="1" si="16"/>
        <v>0</v>
      </c>
      <c r="AP62" s="248">
        <f t="shared" ca="1" si="16"/>
        <v>0</v>
      </c>
      <c r="AQ62" s="248">
        <f t="shared" ca="1" si="16"/>
        <v>0</v>
      </c>
      <c r="AR62" s="248">
        <f t="shared" ca="1" si="16"/>
        <v>0</v>
      </c>
      <c r="AS62" s="248">
        <f t="shared" ca="1" si="16"/>
        <v>0</v>
      </c>
      <c r="AT62" s="248">
        <f t="shared" ca="1" si="16"/>
        <v>0</v>
      </c>
      <c r="AU62" s="248">
        <f t="shared" ca="1" si="16"/>
        <v>0</v>
      </c>
      <c r="AV62" s="248">
        <f t="shared" ca="1" si="16"/>
        <v>0</v>
      </c>
      <c r="AW62" s="248">
        <f t="shared" ca="1" si="16"/>
        <v>0</v>
      </c>
      <c r="AX62" s="248">
        <f t="shared" ca="1" si="16"/>
        <v>0</v>
      </c>
      <c r="AY62" s="248">
        <f t="shared" ca="1" si="16"/>
        <v>0</v>
      </c>
      <c r="AZ62" s="248">
        <f t="shared" ca="1" si="16"/>
        <v>0</v>
      </c>
      <c r="BA62" s="248">
        <f t="shared" ca="1" si="16"/>
        <v>0</v>
      </c>
      <c r="BB62" s="248">
        <f t="shared" ca="1" si="16"/>
        <v>0</v>
      </c>
      <c r="BC62" s="248">
        <f t="shared" ca="1" si="16"/>
        <v>0</v>
      </c>
      <c r="BD62" s="248">
        <f t="shared" ca="1" si="16"/>
        <v>0</v>
      </c>
      <c r="BE62" s="20" t="s">
        <v>1864</v>
      </c>
      <c r="BF62" s="30"/>
    </row>
    <row r="63" spans="2:70" s="43" customFormat="1" x14ac:dyDescent="0.75">
      <c r="C63" s="560" t="s">
        <v>657</v>
      </c>
      <c r="D63" s="248">
        <f t="shared" ref="D63:AI63" ca="1" si="17">IFERROR(IF(ISTEXT((OFFSET(D$42,0,-BedStay_Critical))),0,(OFFSET(D$42,0,-BedStay_Critical))),0)</f>
        <v>0</v>
      </c>
      <c r="E63" s="248">
        <f t="shared" ca="1" si="17"/>
        <v>0</v>
      </c>
      <c r="F63" s="248">
        <f t="shared" ca="1" si="17"/>
        <v>0.05</v>
      </c>
      <c r="G63" s="248">
        <f t="shared" ca="1" si="17"/>
        <v>0.14901936961983006</v>
      </c>
      <c r="H63" s="248">
        <f t="shared" ca="1" si="17"/>
        <v>0.51210624333379029</v>
      </c>
      <c r="I63" s="248">
        <f t="shared" ca="1" si="17"/>
        <v>1.759839865282411</v>
      </c>
      <c r="J63" s="248">
        <f t="shared" ca="1" si="17"/>
        <v>6.0474399763702964</v>
      </c>
      <c r="K63" s="248">
        <f t="shared" ca="1" si="17"/>
        <v>20.778758032270105</v>
      </c>
      <c r="L63" s="248">
        <f t="shared" ca="1" si="17"/>
        <v>71.366510866627991</v>
      </c>
      <c r="M63" s="248">
        <f t="shared" ca="1" si="17"/>
        <v>244.77940687578112</v>
      </c>
      <c r="N63" s="248">
        <f t="shared" ca="1" si="17"/>
        <v>630.29899312421901</v>
      </c>
      <c r="O63" s="248">
        <f t="shared" ca="1" si="17"/>
        <v>244.77940687578109</v>
      </c>
      <c r="P63" s="248">
        <f t="shared" ca="1" si="17"/>
        <v>630.29899312421901</v>
      </c>
      <c r="Q63" s="248">
        <f t="shared" ca="1" si="17"/>
        <v>244.77940687578109</v>
      </c>
      <c r="R63" s="248">
        <f t="shared" ca="1" si="17"/>
        <v>630.29899312421901</v>
      </c>
      <c r="S63" s="248">
        <f t="shared" ca="1" si="17"/>
        <v>0</v>
      </c>
      <c r="T63" s="248">
        <f t="shared" ca="1" si="17"/>
        <v>0</v>
      </c>
      <c r="U63" s="248">
        <f t="shared" ca="1" si="17"/>
        <v>0</v>
      </c>
      <c r="V63" s="248">
        <f t="shared" ca="1" si="17"/>
        <v>0</v>
      </c>
      <c r="W63" s="248">
        <f t="shared" ca="1" si="17"/>
        <v>0</v>
      </c>
      <c r="X63" s="248">
        <f t="shared" ca="1" si="17"/>
        <v>0</v>
      </c>
      <c r="Y63" s="248">
        <f t="shared" ca="1" si="17"/>
        <v>0</v>
      </c>
      <c r="Z63" s="248">
        <f t="shared" ca="1" si="17"/>
        <v>0</v>
      </c>
      <c r="AA63" s="248">
        <f t="shared" ca="1" si="17"/>
        <v>0</v>
      </c>
      <c r="AB63" s="248">
        <f t="shared" ca="1" si="17"/>
        <v>0</v>
      </c>
      <c r="AC63" s="248">
        <f t="shared" ca="1" si="17"/>
        <v>0</v>
      </c>
      <c r="AD63" s="248">
        <f t="shared" ca="1" si="17"/>
        <v>0</v>
      </c>
      <c r="AE63" s="248">
        <f t="shared" ca="1" si="17"/>
        <v>0</v>
      </c>
      <c r="AF63" s="248">
        <f t="shared" ca="1" si="17"/>
        <v>0</v>
      </c>
      <c r="AG63" s="248">
        <f t="shared" ca="1" si="17"/>
        <v>0</v>
      </c>
      <c r="AH63" s="248">
        <f t="shared" ca="1" si="17"/>
        <v>0</v>
      </c>
      <c r="AI63" s="248">
        <f t="shared" ca="1" si="17"/>
        <v>0</v>
      </c>
      <c r="AJ63" s="248">
        <f t="shared" ref="AJ63:BD63" ca="1" si="18">IFERROR(IF(ISTEXT((OFFSET(AJ$42,0,-BedStay_Critical))),0,(OFFSET(AJ$42,0,-BedStay_Critical))),0)</f>
        <v>0</v>
      </c>
      <c r="AK63" s="248">
        <f t="shared" ca="1" si="18"/>
        <v>0</v>
      </c>
      <c r="AL63" s="248">
        <f t="shared" ca="1" si="18"/>
        <v>0</v>
      </c>
      <c r="AM63" s="248">
        <f t="shared" ca="1" si="18"/>
        <v>0</v>
      </c>
      <c r="AN63" s="248">
        <f t="shared" ca="1" si="18"/>
        <v>0</v>
      </c>
      <c r="AO63" s="248">
        <f t="shared" ca="1" si="18"/>
        <v>0</v>
      </c>
      <c r="AP63" s="248">
        <f t="shared" ca="1" si="18"/>
        <v>0</v>
      </c>
      <c r="AQ63" s="248">
        <f t="shared" ca="1" si="18"/>
        <v>0</v>
      </c>
      <c r="AR63" s="248">
        <f t="shared" ca="1" si="18"/>
        <v>0</v>
      </c>
      <c r="AS63" s="248">
        <f t="shared" ca="1" si="18"/>
        <v>0</v>
      </c>
      <c r="AT63" s="248">
        <f t="shared" ca="1" si="18"/>
        <v>0</v>
      </c>
      <c r="AU63" s="248">
        <f t="shared" ca="1" si="18"/>
        <v>0</v>
      </c>
      <c r="AV63" s="248">
        <f t="shared" ca="1" si="18"/>
        <v>0</v>
      </c>
      <c r="AW63" s="248">
        <f t="shared" ca="1" si="18"/>
        <v>0</v>
      </c>
      <c r="AX63" s="248">
        <f t="shared" ca="1" si="18"/>
        <v>0</v>
      </c>
      <c r="AY63" s="248">
        <f t="shared" ca="1" si="18"/>
        <v>0</v>
      </c>
      <c r="AZ63" s="248">
        <f t="shared" ca="1" si="18"/>
        <v>0</v>
      </c>
      <c r="BA63" s="248">
        <f t="shared" ca="1" si="18"/>
        <v>0</v>
      </c>
      <c r="BB63" s="248">
        <f t="shared" ca="1" si="18"/>
        <v>0</v>
      </c>
      <c r="BC63" s="248">
        <f t="shared" ca="1" si="18"/>
        <v>0</v>
      </c>
      <c r="BD63" s="248">
        <f t="shared" ca="1" si="18"/>
        <v>0</v>
      </c>
    </row>
    <row r="64" spans="2:70" x14ac:dyDescent="0.75">
      <c r="E64" s="43"/>
      <c r="F64" s="43"/>
      <c r="G64" s="43"/>
      <c r="H64" s="43"/>
      <c r="I64" s="43"/>
      <c r="J64" s="43"/>
      <c r="K64" s="43"/>
      <c r="L64" s="43"/>
      <c r="M64" s="43"/>
      <c r="N64" s="43"/>
      <c r="O64" s="43"/>
      <c r="P64" s="43"/>
      <c r="Q64" s="43"/>
      <c r="R64" s="43"/>
      <c r="T64" s="43"/>
      <c r="U64" s="43"/>
      <c r="V64" s="43"/>
      <c r="W64" s="43"/>
      <c r="X64" s="43"/>
      <c r="Y64" s="43"/>
      <c r="Z64" s="43"/>
      <c r="AA64" s="43"/>
      <c r="AB64" s="43"/>
      <c r="AC64" s="43"/>
      <c r="AD64" s="43"/>
      <c r="BE64"/>
      <c r="BF64"/>
      <c r="BG64"/>
      <c r="BH64"/>
      <c r="BI64"/>
      <c r="BJ64"/>
      <c r="BK64"/>
      <c r="BL64"/>
      <c r="BM64"/>
      <c r="BN64"/>
      <c r="BO64"/>
      <c r="BP64"/>
      <c r="BQ64"/>
      <c r="BR64"/>
    </row>
    <row r="65" spans="2:70" s="26" customFormat="1" collapsed="1" x14ac:dyDescent="0.75">
      <c r="C65" s="180" t="s">
        <v>1028</v>
      </c>
    </row>
    <row r="66" spans="2:70" s="6" customFormat="1" x14ac:dyDescent="0.75">
      <c r="B66" s="340" t="s">
        <v>946</v>
      </c>
      <c r="C66" s="36" t="s">
        <v>944</v>
      </c>
      <c r="BF66" s="18" t="s">
        <v>601</v>
      </c>
      <c r="BH66" s="344" t="s">
        <v>661</v>
      </c>
    </row>
    <row r="67" spans="2:70" s="132" customFormat="1" x14ac:dyDescent="0.75">
      <c r="B67" s="341" t="s">
        <v>945</v>
      </c>
      <c r="C67" s="3" t="s">
        <v>948</v>
      </c>
      <c r="D67" s="339">
        <f ca="1">SUM(D68:D69)</f>
        <v>0.2</v>
      </c>
      <c r="E67" s="339">
        <f t="shared" ref="E67:BD67" ca="1" si="19">SUM(E68:E69)</f>
        <v>0.85587747847932016</v>
      </c>
      <c r="F67" s="339">
        <f t="shared" ca="1" si="19"/>
        <v>2.8727296178797981</v>
      </c>
      <c r="G67" s="339">
        <f t="shared" ca="1" si="19"/>
        <v>9.8492828711118481</v>
      </c>
      <c r="H67" s="339">
        <f ca="1">SUM(H68:H69)</f>
        <v>33.84599408882238</v>
      </c>
      <c r="I67" s="339">
        <f t="shared" ca="1" si="19"/>
        <v>116.29737011158289</v>
      </c>
      <c r="J67" s="339">
        <f t="shared" ca="1" si="19"/>
        <v>399.4799101785577</v>
      </c>
      <c r="K67" s="339">
        <f t="shared" ca="1" si="19"/>
        <v>1370.7167759983934</v>
      </c>
      <c r="L67" s="339">
        <f t="shared" ca="1" si="19"/>
        <v>4685.7963825599372</v>
      </c>
      <c r="M67" s="339">
        <f t="shared" ca="1" si="19"/>
        <v>15817.21506321796</v>
      </c>
      <c r="N67" s="339">
        <f t="shared" ca="1" si="19"/>
        <v>51213.050316791378</v>
      </c>
      <c r="O67" s="339">
        <f t="shared" ca="1" si="19"/>
        <v>146290.47986266486</v>
      </c>
      <c r="P67" s="339">
        <f t="shared" ca="1" si="19"/>
        <v>310967.34079200448</v>
      </c>
      <c r="Q67" s="339">
        <f t="shared" si="19"/>
        <v>0</v>
      </c>
      <c r="R67" s="339">
        <f t="shared" si="19"/>
        <v>0</v>
      </c>
      <c r="S67" s="339">
        <f t="shared" si="19"/>
        <v>0</v>
      </c>
      <c r="T67" s="339">
        <f t="shared" si="19"/>
        <v>0</v>
      </c>
      <c r="U67" s="339">
        <f t="shared" si="19"/>
        <v>0</v>
      </c>
      <c r="V67" s="339">
        <f t="shared" si="19"/>
        <v>0</v>
      </c>
      <c r="W67" s="339">
        <f t="shared" si="19"/>
        <v>0</v>
      </c>
      <c r="X67" s="339">
        <f t="shared" si="19"/>
        <v>0</v>
      </c>
      <c r="Y67" s="339">
        <f t="shared" si="19"/>
        <v>0</v>
      </c>
      <c r="Z67" s="339">
        <f t="shared" si="19"/>
        <v>0</v>
      </c>
      <c r="AA67" s="339">
        <f t="shared" si="19"/>
        <v>0</v>
      </c>
      <c r="AB67" s="339">
        <f t="shared" si="19"/>
        <v>0</v>
      </c>
      <c r="AC67" s="339">
        <f t="shared" si="19"/>
        <v>0</v>
      </c>
      <c r="AD67" s="339">
        <f t="shared" si="19"/>
        <v>0</v>
      </c>
      <c r="AE67" s="339">
        <f t="shared" si="19"/>
        <v>0</v>
      </c>
      <c r="AF67" s="339">
        <f t="shared" si="19"/>
        <v>0</v>
      </c>
      <c r="AG67" s="339">
        <f t="shared" si="19"/>
        <v>0</v>
      </c>
      <c r="AH67" s="339">
        <f t="shared" si="19"/>
        <v>0</v>
      </c>
      <c r="AI67" s="339">
        <f t="shared" si="19"/>
        <v>0</v>
      </c>
      <c r="AJ67" s="339">
        <f t="shared" si="19"/>
        <v>0</v>
      </c>
      <c r="AK67" s="339">
        <f t="shared" si="19"/>
        <v>0</v>
      </c>
      <c r="AL67" s="339">
        <f t="shared" si="19"/>
        <v>0</v>
      </c>
      <c r="AM67" s="339">
        <f t="shared" si="19"/>
        <v>0</v>
      </c>
      <c r="AN67" s="339">
        <f t="shared" si="19"/>
        <v>0</v>
      </c>
      <c r="AO67" s="339">
        <f t="shared" si="19"/>
        <v>0</v>
      </c>
      <c r="AP67" s="339">
        <f t="shared" si="19"/>
        <v>0</v>
      </c>
      <c r="AQ67" s="339">
        <f t="shared" si="19"/>
        <v>0</v>
      </c>
      <c r="AR67" s="339">
        <f t="shared" si="19"/>
        <v>0</v>
      </c>
      <c r="AS67" s="339">
        <f t="shared" si="19"/>
        <v>0</v>
      </c>
      <c r="AT67" s="339">
        <f t="shared" si="19"/>
        <v>0</v>
      </c>
      <c r="AU67" s="339">
        <f t="shared" si="19"/>
        <v>0</v>
      </c>
      <c r="AV67" s="339">
        <f t="shared" si="19"/>
        <v>0</v>
      </c>
      <c r="AW67" s="339">
        <f t="shared" si="19"/>
        <v>0</v>
      </c>
      <c r="AX67" s="339">
        <f t="shared" si="19"/>
        <v>0</v>
      </c>
      <c r="AY67" s="339">
        <f t="shared" si="19"/>
        <v>0</v>
      </c>
      <c r="AZ67" s="339">
        <f t="shared" si="19"/>
        <v>0</v>
      </c>
      <c r="BA67" s="339">
        <f t="shared" si="19"/>
        <v>0</v>
      </c>
      <c r="BB67" s="339">
        <f t="shared" si="19"/>
        <v>0</v>
      </c>
      <c r="BC67" s="339">
        <f t="shared" si="19"/>
        <v>0</v>
      </c>
      <c r="BD67" s="339">
        <f t="shared" si="19"/>
        <v>0</v>
      </c>
      <c r="BF67" s="249">
        <f t="shared" ref="BF67:BF80" ca="1" si="20">SUMIFS($D67:$BD67,$D$31:$BD$31,"&lt;="&amp;WeekSuppliedUntil,$D$31:$BD$31,"&gt;="&amp;Start_week_for_forecasting)</f>
        <v>530907.80035758344</v>
      </c>
      <c r="BH67" s="249">
        <f t="array" aca="1" ref="BH67" ca="1">MAX(IF(D$31:BD$31&gt;=Start_week_for_forecasting,IF(D$31:BD$31&lt;=WeekSuppliedUntil,D67:BD67)))</f>
        <v>310967.34079200448</v>
      </c>
    </row>
    <row r="68" spans="2:70" x14ac:dyDescent="0.75">
      <c r="B68" s="341" t="s">
        <v>945</v>
      </c>
      <c r="C68" s="354" t="s">
        <v>974</v>
      </c>
      <c r="D68" s="322">
        <f>IFERROR(IF(D36=0,0,SUM(D36:D37)*'User Dashboard'!$J$18),0)</f>
        <v>0.2</v>
      </c>
      <c r="E68" s="322">
        <f>IFERROR(IF(E36=0,0,SUM(E36:E37)*'User Dashboard'!$J$18),0)</f>
        <v>0.59607747847932013</v>
      </c>
      <c r="F68" s="322">
        <f>IFERROR(IF(F36=0,0,SUM(F36:F37)*'User Dashboard'!$J$18),0)</f>
        <v>2.0484249733351612</v>
      </c>
      <c r="G68" s="322">
        <f>IFERROR(IF(G36=0,0,SUM(G36:G37)*'User Dashboard'!$J$18),0)</f>
        <v>7.0393594611296439</v>
      </c>
      <c r="H68" s="322">
        <f>IFERROR(IF(H36=0,0,SUM(H36:H37)*'User Dashboard'!$J$18),0)</f>
        <v>24.189759905481182</v>
      </c>
      <c r="I68" s="322">
        <f>IFERROR(IF(I36=0,0,SUM(I36:I37)*'User Dashboard'!$J$18),0)</f>
        <v>83.115032129080419</v>
      </c>
      <c r="J68" s="322">
        <f>IFERROR(IF(J36=0,0,SUM(J36:J37)*'User Dashboard'!$J$18),0)</f>
        <v>285.46604346651191</v>
      </c>
      <c r="K68" s="322">
        <f>IFERROR(IF(K36=0,0,SUM(K36:K37)*'User Dashboard'!$J$18),0)</f>
        <v>979.11762750312437</v>
      </c>
      <c r="L68" s="322">
        <f>IFERROR(IF(L36=0,0,SUM(L36:L37)*'User Dashboard'!$J$18),0)</f>
        <v>3342.5560735667505</v>
      </c>
      <c r="M68" s="322">
        <f>IFERROR(IF(M36=0,0,SUM(M36:M37)*'User Dashboard'!$J$18),0)</f>
        <v>11230.455316778971</v>
      </c>
      <c r="N68" s="322">
        <f>IFERROR(IF(N36=0,0,SUM(N36:N37)*'User Dashboard'!$J$18),0)</f>
        <v>35789.049841903805</v>
      </c>
      <c r="O68" s="322">
        <f>IFERROR(IF(O36=0,0,SUM(O36:O37)*'User Dashboard'!$J$18),0)</f>
        <v>96992.890288837065</v>
      </c>
      <c r="P68" s="322">
        <f>IFERROR(IF(P36=0,0,SUM(P36:P37)*'User Dashboard'!$J$18),0)</f>
        <v>176026.3138463292</v>
      </c>
      <c r="Q68" s="322">
        <f>IFERROR(IF(Q36=0,0,SUM(Q36:Q37)*'User Dashboard'!$J$18),0)</f>
        <v>0</v>
      </c>
      <c r="R68" s="322">
        <f>IFERROR(IF(R36=0,0,SUM(R36:R37)*'User Dashboard'!$J$18),0)</f>
        <v>0</v>
      </c>
      <c r="S68" s="322">
        <f>IFERROR(IF(S36=0,0,SUM(S36:S37)*'User Dashboard'!$J$18),0)</f>
        <v>0</v>
      </c>
      <c r="T68" s="322">
        <f>IFERROR(IF(T36=0,0,SUM(T36:T37)*'User Dashboard'!$J$18),0)</f>
        <v>0</v>
      </c>
      <c r="U68" s="322">
        <f>IFERROR(IF(U36=0,0,SUM(U36:U37)*'User Dashboard'!$J$18),0)</f>
        <v>0</v>
      </c>
      <c r="V68" s="322">
        <f>IFERROR(IF(V36=0,0,SUM(V36:V37)*'User Dashboard'!$J$18),0)</f>
        <v>0</v>
      </c>
      <c r="W68" s="322">
        <f>IFERROR(IF(W36=0,0,SUM(W36:W37)*'User Dashboard'!$J$18),0)</f>
        <v>0</v>
      </c>
      <c r="X68" s="322">
        <f>IFERROR(IF(X36=0,0,SUM(X36:X37)*'User Dashboard'!$J$18),0)</f>
        <v>0</v>
      </c>
      <c r="Y68" s="322">
        <f>IFERROR(IF(Y36=0,0,SUM(Y36:Y37)*'User Dashboard'!$J$18),0)</f>
        <v>0</v>
      </c>
      <c r="Z68" s="322">
        <f>IFERROR(IF(Z36=0,0,SUM(Z36:Z37)*'User Dashboard'!$J$18),0)</f>
        <v>0</v>
      </c>
      <c r="AA68" s="322">
        <f>IFERROR(IF(AA36=0,0,SUM(AA36:AA37)*'User Dashboard'!$J$18),0)</f>
        <v>0</v>
      </c>
      <c r="AB68" s="322">
        <f>IFERROR(IF(AB36=0,0,SUM(AB36:AB37)*'User Dashboard'!$J$18),0)</f>
        <v>0</v>
      </c>
      <c r="AC68" s="322">
        <f>IFERROR(IF(AC36=0,0,SUM(AC36:AC37)*'User Dashboard'!$J$18),0)</f>
        <v>0</v>
      </c>
      <c r="AD68" s="322">
        <f>IFERROR(IF(AD36=0,0,SUM(AD36:AD37)*'User Dashboard'!$J$18),0)</f>
        <v>0</v>
      </c>
      <c r="AE68" s="322">
        <f>IFERROR(IF(AE36=0,0,SUM(AE36:AE37)*'User Dashboard'!$J$18),0)</f>
        <v>0</v>
      </c>
      <c r="AF68" s="322">
        <f>IFERROR(IF(AF36=0,0,SUM(AF36:AF37)*'User Dashboard'!$J$18),0)</f>
        <v>0</v>
      </c>
      <c r="AG68" s="322">
        <f>IFERROR(IF(AG36=0,0,SUM(AG36:AG37)*'User Dashboard'!$J$18),0)</f>
        <v>0</v>
      </c>
      <c r="AH68" s="322">
        <f>IFERROR(IF(AH36=0,0,SUM(AH36:AH37)*'User Dashboard'!$J$18),0)</f>
        <v>0</v>
      </c>
      <c r="AI68" s="322">
        <f>IFERROR(IF(AI36=0,0,SUM(AI36:AI37)*'User Dashboard'!$J$18),0)</f>
        <v>0</v>
      </c>
      <c r="AJ68" s="322">
        <f>IFERROR(IF(AJ36=0,0,SUM(AJ36:AJ37)*'User Dashboard'!$J$18),0)</f>
        <v>0</v>
      </c>
      <c r="AK68" s="322">
        <f>IFERROR(IF(AK36=0,0,SUM(AK36:AK37)*'User Dashboard'!$J$18),0)</f>
        <v>0</v>
      </c>
      <c r="AL68" s="322">
        <f>IFERROR(IF(AL36=0,0,SUM(AL36:AL37)*'User Dashboard'!$J$18),0)</f>
        <v>0</v>
      </c>
      <c r="AM68" s="322">
        <f>IFERROR(IF(AM36=0,0,SUM(AM36:AM37)*'User Dashboard'!$J$18),0)</f>
        <v>0</v>
      </c>
      <c r="AN68" s="322">
        <f>IFERROR(IF(AN36=0,0,SUM(AN36:AN37)*'User Dashboard'!$J$18),0)</f>
        <v>0</v>
      </c>
      <c r="AO68" s="322">
        <f>IFERROR(IF(AO36=0,0,SUM(AO36:AO37)*'User Dashboard'!$J$18),0)</f>
        <v>0</v>
      </c>
      <c r="AP68" s="322">
        <f>IFERROR(IF(AP36=0,0,SUM(AP36:AP37)*'User Dashboard'!$J$18),0)</f>
        <v>0</v>
      </c>
      <c r="AQ68" s="322">
        <f>IFERROR(IF(AQ36=0,0,SUM(AQ36:AQ37)*'User Dashboard'!$J$18),0)</f>
        <v>0</v>
      </c>
      <c r="AR68" s="322">
        <f>IFERROR(IF(AR36=0,0,SUM(AR36:AR37)*'User Dashboard'!$J$18),0)</f>
        <v>0</v>
      </c>
      <c r="AS68" s="322">
        <f>IFERROR(IF(AS36=0,0,SUM(AS36:AS37)*'User Dashboard'!$J$18),0)</f>
        <v>0</v>
      </c>
      <c r="AT68" s="322">
        <f>IFERROR(IF(AT36=0,0,SUM(AT36:AT37)*'User Dashboard'!$J$18),0)</f>
        <v>0</v>
      </c>
      <c r="AU68" s="322">
        <f>IFERROR(IF(AU36=0,0,SUM(AU36:AU37)*'User Dashboard'!$J$18),0)</f>
        <v>0</v>
      </c>
      <c r="AV68" s="322">
        <f>IFERROR(IF(AV36=0,0,SUM(AV36:AV37)*'User Dashboard'!$J$18),0)</f>
        <v>0</v>
      </c>
      <c r="AW68" s="322">
        <f>IFERROR(IF(AW36=0,0,SUM(AW36:AW37)*'User Dashboard'!$J$18),0)</f>
        <v>0</v>
      </c>
      <c r="AX68" s="322">
        <f>IFERROR(IF(AX36=0,0,SUM(AX36:AX37)*'User Dashboard'!$J$18),0)</f>
        <v>0</v>
      </c>
      <c r="AY68" s="322">
        <f>IFERROR(IF(AY36=0,0,SUM(AY36:AY37)*'User Dashboard'!$J$18),0)</f>
        <v>0</v>
      </c>
      <c r="AZ68" s="322">
        <f>IFERROR(IF(AZ36=0,0,SUM(AZ36:AZ37)*'User Dashboard'!$J$18),0)</f>
        <v>0</v>
      </c>
      <c r="BA68" s="322">
        <f>IFERROR(IF(BA36=0,0,SUM(BA36:BA37)*'User Dashboard'!$J$18),0)</f>
        <v>0</v>
      </c>
      <c r="BB68" s="322">
        <f>IFERROR(IF(BB36=0,0,SUM(BB36:BB37)*'User Dashboard'!$J$18),0)</f>
        <v>0</v>
      </c>
      <c r="BC68" s="322">
        <f>IFERROR(IF(BC36=0,0,SUM(BC36:BC37)*'User Dashboard'!$J$18),0)</f>
        <v>0</v>
      </c>
      <c r="BD68" s="322">
        <f>IFERROR(IF(BD36=0,0,SUM(BD36:BD37)*'User Dashboard'!$J$18),0)</f>
        <v>0</v>
      </c>
      <c r="BE68"/>
      <c r="BF68" s="323">
        <f t="shared" si="20"/>
        <v>324762.83769233292</v>
      </c>
      <c r="BG68"/>
      <c r="BH68" s="323">
        <f t="array" ref="BH68">MAX(IF(D$31:BD$31&gt;=Start_week_for_forecasting,IF(D$31:BD$31&lt;=WeekSuppliedUntil,D68:BD68)))</f>
        <v>176026.3138463292</v>
      </c>
      <c r="BI68"/>
      <c r="BJ68"/>
      <c r="BK68"/>
      <c r="BL68"/>
      <c r="BM68"/>
      <c r="BN68"/>
      <c r="BO68"/>
      <c r="BP68"/>
      <c r="BQ68"/>
      <c r="BR68"/>
    </row>
    <row r="69" spans="2:70" s="132" customFormat="1" x14ac:dyDescent="0.75">
      <c r="B69" s="341" t="s">
        <v>945</v>
      </c>
      <c r="C69" s="354" t="s">
        <v>979</v>
      </c>
      <c r="D69" s="322">
        <f ca="1">IFERROR(IF(D58="","",D58*(1-Inputs!$I$53)*Tests_for_release)+D59*(1-Inputs!$I$54)*Tests_for_release,0)</f>
        <v>0</v>
      </c>
      <c r="E69" s="322">
        <f ca="1">IFERROR(IF(E58="","",E58*(1-Inputs!$I$53)*Tests_for_release)+E59*(1-Inputs!$I$54)*Tests_for_release,0)</f>
        <v>0.25979999999999998</v>
      </c>
      <c r="F69" s="322">
        <f ca="1">IFERROR(IF(F58="","",F58*(1-Inputs!$I$53)*Tests_for_release)+F59*(1-Inputs!$I$54)*Tests_for_release,0)</f>
        <v>0.82430464454463692</v>
      </c>
      <c r="G69" s="322">
        <f ca="1">IFERROR(IF(G58="","",G58*(1-Inputs!$I$53)*Tests_for_release)+G59*(1-Inputs!$I$54)*Tests_for_release,0)</f>
        <v>2.8099234099822041</v>
      </c>
      <c r="H69" s="322">
        <f ca="1">IFERROR(IF(H58="","",H58*(1-Inputs!$I$53)*Tests_for_release)+H59*(1-Inputs!$I$54)*Tests_for_release,0)</f>
        <v>9.656234183341196</v>
      </c>
      <c r="I69" s="322">
        <f ca="1">IFERROR(IF(I58="","",I58*(1-Inputs!$I$53)*Tests_for_release)+I59*(1-Inputs!$I$54)*Tests_for_release,0)</f>
        <v>33.182337982502467</v>
      </c>
      <c r="J69" s="322">
        <f ca="1">IFERROR(IF(J58="","",J58*(1-Inputs!$I$53)*Tests_for_release)+J59*(1-Inputs!$I$54)*Tests_for_release,0)</f>
        <v>114.01386671204577</v>
      </c>
      <c r="K69" s="322">
        <f ca="1">IFERROR(IF(K58="","",K58*(1-Inputs!$I$53)*Tests_for_release)+K59*(1-Inputs!$I$54)*Tests_for_release,0)</f>
        <v>391.59914849526905</v>
      </c>
      <c r="L69" s="322">
        <f ca="1">IFERROR(IF(L58="","",L58*(1-Inputs!$I$53)*Tests_for_release)+L59*(1-Inputs!$I$54)*Tests_for_release,0)</f>
        <v>1343.2403089931865</v>
      </c>
      <c r="M69" s="322">
        <f ca="1">IFERROR(IF(M58="","",M58*(1-Inputs!$I$53)*Tests_for_release)+M59*(1-Inputs!$I$54)*Tests_for_release,0)</f>
        <v>4586.7597464389892</v>
      </c>
      <c r="N69" s="322">
        <f ca="1">IFERROR(IF(N58="","",N58*(1-Inputs!$I$53)*Tests_for_release)+N59*(1-Inputs!$I$54)*Tests_for_release,0)</f>
        <v>15424.000474887571</v>
      </c>
      <c r="O69" s="322">
        <f ca="1">IFERROR(IF(O58="","",O58*(1-Inputs!$I$53)*Tests_for_release)+O59*(1-Inputs!$I$54)*Tests_for_release,0)</f>
        <v>49297.589573827783</v>
      </c>
      <c r="P69" s="322">
        <f ca="1">IFERROR(IF(P58="","",P58*(1-Inputs!$I$53)*Tests_for_release)+P59*(1-Inputs!$I$54)*Tests_for_release,0)</f>
        <v>134941.02694567529</v>
      </c>
      <c r="Q69" s="322">
        <f>IFERROR(IF(Q58="","",Q58*(1-Inputs!$I$53)*Tests_for_release)+Q59*(1-Inputs!$I$54)*Tests_for_release,0)</f>
        <v>0</v>
      </c>
      <c r="R69" s="322">
        <f>IFERROR(IF(R58="","",R58*(1-Inputs!$I$53)*Tests_for_release)+R59*(1-Inputs!$I$54)*Tests_for_release,0)</f>
        <v>0</v>
      </c>
      <c r="S69" s="322">
        <f>IFERROR(IF(S58="","",S58*(1-Inputs!$I$53)*Tests_for_release)+S59*(1-Inputs!$I$54)*Tests_for_release,0)</f>
        <v>0</v>
      </c>
      <c r="T69" s="322">
        <f>IFERROR(IF(T58="","",T58*(1-Inputs!$I$53)*Tests_for_release)+T59*(1-Inputs!$I$54)*Tests_for_release,0)</f>
        <v>0</v>
      </c>
      <c r="U69" s="322">
        <f>IFERROR(IF(U58="","",U58*(1-Inputs!$I$53)*Tests_for_release)+U59*(1-Inputs!$I$54)*Tests_for_release,0)</f>
        <v>0</v>
      </c>
      <c r="V69" s="322">
        <f>IFERROR(IF(V58="","",V58*(1-Inputs!$I$53)*Tests_for_release)+V59*(1-Inputs!$I$54)*Tests_for_release,0)</f>
        <v>0</v>
      </c>
      <c r="W69" s="322">
        <f>IFERROR(IF(W58="","",W58*(1-Inputs!$I$53)*Tests_for_release)+W59*(1-Inputs!$I$54)*Tests_for_release,0)</f>
        <v>0</v>
      </c>
      <c r="X69" s="322">
        <f>IFERROR(IF(X58="","",X58*(1-Inputs!$I$53)*Tests_for_release)+X59*(1-Inputs!$I$54)*Tests_for_release,0)</f>
        <v>0</v>
      </c>
      <c r="Y69" s="322">
        <f>IFERROR(IF(Y58="","",Y58*(1-Inputs!$I$53)*Tests_for_release)+Y59*(1-Inputs!$I$54)*Tests_for_release,0)</f>
        <v>0</v>
      </c>
      <c r="Z69" s="322">
        <f>IFERROR(IF(Z58="","",Z58*(1-Inputs!$I$53)*Tests_for_release)+Z59*(1-Inputs!$I$54)*Tests_for_release,0)</f>
        <v>0</v>
      </c>
      <c r="AA69" s="322">
        <f>IFERROR(IF(AA58="","",AA58*(1-Inputs!$I$53)*Tests_for_release)+AA59*(1-Inputs!$I$54)*Tests_for_release,0)</f>
        <v>0</v>
      </c>
      <c r="AB69" s="322">
        <f>IFERROR(IF(AB58="","",AB58*(1-Inputs!$I$53)*Tests_for_release)+AB59*(1-Inputs!$I$54)*Tests_for_release,0)</f>
        <v>0</v>
      </c>
      <c r="AC69" s="322">
        <f>IFERROR(IF(AC58="","",AC58*(1-Inputs!$I$53)*Tests_for_release)+AC59*(1-Inputs!$I$54)*Tests_for_release,0)</f>
        <v>0</v>
      </c>
      <c r="AD69" s="322">
        <f>IFERROR(IF(AD58="","",AD58*(1-Inputs!$I$53)*Tests_for_release)+AD59*(1-Inputs!$I$54)*Tests_for_release,0)</f>
        <v>0</v>
      </c>
      <c r="AE69" s="322">
        <f>IFERROR(IF(AE58="","",AE58*(1-Inputs!$I$53)*Tests_for_release)+AE59*(1-Inputs!$I$54)*Tests_for_release,0)</f>
        <v>0</v>
      </c>
      <c r="AF69" s="322">
        <f>IFERROR(IF(AF58="","",AF58*(1-Inputs!$I$53)*Tests_for_release)+AF59*(1-Inputs!$I$54)*Tests_for_release,0)</f>
        <v>0</v>
      </c>
      <c r="AG69" s="322">
        <f>IFERROR(IF(AG58="","",AG58*(1-Inputs!$I$53)*Tests_for_release)+AG59*(1-Inputs!$I$54)*Tests_for_release,0)</f>
        <v>0</v>
      </c>
      <c r="AH69" s="322">
        <f>IFERROR(IF(AH58="","",AH58*(1-Inputs!$I$53)*Tests_for_release)+AH59*(1-Inputs!$I$54)*Tests_for_release,0)</f>
        <v>0</v>
      </c>
      <c r="AI69" s="322">
        <f>IFERROR(IF(AI58="","",AI58*(1-Inputs!$I$53)*Tests_for_release)+AI59*(1-Inputs!$I$54)*Tests_for_release,0)</f>
        <v>0</v>
      </c>
      <c r="AJ69" s="322">
        <f>IFERROR(IF(AJ58="","",AJ58*(1-Inputs!$I$53)*Tests_for_release)+AJ59*(1-Inputs!$I$54)*Tests_for_release,0)</f>
        <v>0</v>
      </c>
      <c r="AK69" s="322">
        <f>IFERROR(IF(AK58="","",AK58*(1-Inputs!$I$53)*Tests_for_release)+AK59*(1-Inputs!$I$54)*Tests_for_release,0)</f>
        <v>0</v>
      </c>
      <c r="AL69" s="322">
        <f>IFERROR(IF(AL58="","",AL58*(1-Inputs!$I$53)*Tests_for_release)+AL59*(1-Inputs!$I$54)*Tests_for_release,0)</f>
        <v>0</v>
      </c>
      <c r="AM69" s="322">
        <f>IFERROR(IF(AM58="","",AM58*(1-Inputs!$I$53)*Tests_for_release)+AM59*(1-Inputs!$I$54)*Tests_for_release,0)</f>
        <v>0</v>
      </c>
      <c r="AN69" s="322">
        <f>IFERROR(IF(AN58="","",AN58*(1-Inputs!$I$53)*Tests_for_release)+AN59*(1-Inputs!$I$54)*Tests_for_release,0)</f>
        <v>0</v>
      </c>
      <c r="AO69" s="322">
        <f>IFERROR(IF(AO58="","",AO58*(1-Inputs!$I$53)*Tests_for_release)+AO59*(1-Inputs!$I$54)*Tests_for_release,0)</f>
        <v>0</v>
      </c>
      <c r="AP69" s="322">
        <f>IFERROR(IF(AP58="","",AP58*(1-Inputs!$I$53)*Tests_for_release)+AP59*(1-Inputs!$I$54)*Tests_for_release,0)</f>
        <v>0</v>
      </c>
      <c r="AQ69" s="322">
        <f>IFERROR(IF(AQ58="","",AQ58*(1-Inputs!$I$53)*Tests_for_release)+AQ59*(1-Inputs!$I$54)*Tests_for_release,0)</f>
        <v>0</v>
      </c>
      <c r="AR69" s="322">
        <f>IFERROR(IF(AR58="","",AR58*(1-Inputs!$I$53)*Tests_for_release)+AR59*(1-Inputs!$I$54)*Tests_for_release,0)</f>
        <v>0</v>
      </c>
      <c r="AS69" s="322">
        <f>IFERROR(IF(AS58="","",AS58*(1-Inputs!$I$53)*Tests_for_release)+AS59*(1-Inputs!$I$54)*Tests_for_release,0)</f>
        <v>0</v>
      </c>
      <c r="AT69" s="322">
        <f>IFERROR(IF(AT58="","",AT58*(1-Inputs!$I$53)*Tests_for_release)+AT59*(1-Inputs!$I$54)*Tests_for_release,0)</f>
        <v>0</v>
      </c>
      <c r="AU69" s="322">
        <f>IFERROR(IF(AU58="","",AU58*(1-Inputs!$I$53)*Tests_for_release)+AU59*(1-Inputs!$I$54)*Tests_for_release,0)</f>
        <v>0</v>
      </c>
      <c r="AV69" s="322">
        <f>IFERROR(IF(AV58="","",AV58*(1-Inputs!$I$53)*Tests_for_release)+AV59*(1-Inputs!$I$54)*Tests_for_release,0)</f>
        <v>0</v>
      </c>
      <c r="AW69" s="322">
        <f>IFERROR(IF(AW58="","",AW58*(1-Inputs!$I$53)*Tests_for_release)+AW59*(1-Inputs!$I$54)*Tests_for_release,0)</f>
        <v>0</v>
      </c>
      <c r="AX69" s="322">
        <f>IFERROR(IF(AX58="","",AX58*(1-Inputs!$I$53)*Tests_for_release)+AX59*(1-Inputs!$I$54)*Tests_for_release,0)</f>
        <v>0</v>
      </c>
      <c r="AY69" s="322">
        <f>IFERROR(IF(AY58="","",AY58*(1-Inputs!$I$53)*Tests_for_release)+AY59*(1-Inputs!$I$54)*Tests_for_release,0)</f>
        <v>0</v>
      </c>
      <c r="AZ69" s="322">
        <f>IFERROR(IF(AZ58="","",AZ58*(1-Inputs!$I$53)*Tests_for_release)+AZ59*(1-Inputs!$I$54)*Tests_for_release,0)</f>
        <v>0</v>
      </c>
      <c r="BA69" s="322">
        <f>IFERROR(IF(BA58="","",BA58*(1-Inputs!$I$53)*Tests_for_release)+BA59*(1-Inputs!$I$54)*Tests_for_release,0)</f>
        <v>0</v>
      </c>
      <c r="BB69" s="322">
        <f>IFERROR(IF(BB58="","",BB58*(1-Inputs!$I$53)*Tests_for_release)+BB59*(1-Inputs!$I$54)*Tests_for_release,0)</f>
        <v>0</v>
      </c>
      <c r="BC69" s="322">
        <f>IFERROR(IF(BC58="","",BC58*(1-Inputs!$I$53)*Tests_for_release)+BC59*(1-Inputs!$I$54)*Tests_for_release,0)</f>
        <v>0</v>
      </c>
      <c r="BD69" s="322">
        <f>IFERROR(IF(BD58="","",BD58*(1-Inputs!$I$53)*Tests_for_release)+BD59*(1-Inputs!$I$54)*Tests_for_release,0)</f>
        <v>0</v>
      </c>
      <c r="BF69" s="323">
        <f t="shared" ca="1" si="20"/>
        <v>206144.9626652505</v>
      </c>
      <c r="BH69" s="323">
        <f t="array" aca="1" ref="BH69" ca="1">MAX(IF(D$31:BD$31&gt;=Start_week_for_forecasting,IF(D$31:BD$31&lt;=WeekSuppliedUntil,D69:BD69)))</f>
        <v>134941.02694567529</v>
      </c>
    </row>
    <row r="70" spans="2:70" s="6" customFormat="1" x14ac:dyDescent="0.75">
      <c r="B70" s="341" t="s">
        <v>972</v>
      </c>
      <c r="C70" s="41" t="s">
        <v>947</v>
      </c>
      <c r="D70" s="339">
        <f ca="1">SUM(D71:D72)</f>
        <v>0.2</v>
      </c>
      <c r="E70" s="339">
        <f t="shared" ref="E70:BD70" ca="1" si="21">SUM(E71:E72)</f>
        <v>0.85587747847932016</v>
      </c>
      <c r="F70" s="339">
        <f t="shared" ca="1" si="21"/>
        <v>2.8727296178797981</v>
      </c>
      <c r="G70" s="339">
        <f t="shared" ca="1" si="21"/>
        <v>9.8492828711118481</v>
      </c>
      <c r="H70" s="339">
        <f ca="1">SUM(H71:H72)</f>
        <v>33.84599408882238</v>
      </c>
      <c r="I70" s="339">
        <f t="shared" ca="1" si="21"/>
        <v>116.29737011158289</v>
      </c>
      <c r="J70" s="339">
        <f t="shared" ca="1" si="21"/>
        <v>399.4799101785577</v>
      </c>
      <c r="K70" s="339">
        <f t="shared" ca="1" si="21"/>
        <v>1370.7167759983934</v>
      </c>
      <c r="L70" s="339">
        <f ca="1">SUM(L71:L72)</f>
        <v>4480.4563572924681</v>
      </c>
      <c r="M70" s="339">
        <f t="shared" ca="1" si="21"/>
        <v>13254.380640898999</v>
      </c>
      <c r="N70" s="339">
        <f t="shared" ca="1" si="21"/>
        <v>37034.68104274432</v>
      </c>
      <c r="O70" s="339">
        <f t="shared" ca="1" si="21"/>
        <v>58368.950224951564</v>
      </c>
      <c r="P70" s="339">
        <f t="shared" ca="1" si="21"/>
        <v>59139.989397448444</v>
      </c>
      <c r="Q70" s="339">
        <f t="shared" ca="1" si="21"/>
        <v>36938.449218075781</v>
      </c>
      <c r="R70" s="339">
        <f t="shared" ca="1" si="21"/>
        <v>630.29899312421901</v>
      </c>
      <c r="S70" s="339">
        <f t="shared" ca="1" si="21"/>
        <v>0</v>
      </c>
      <c r="T70" s="339">
        <f t="shared" ca="1" si="21"/>
        <v>0</v>
      </c>
      <c r="U70" s="339">
        <f t="shared" ca="1" si="21"/>
        <v>0</v>
      </c>
      <c r="V70" s="339">
        <f t="shared" ca="1" si="21"/>
        <v>0</v>
      </c>
      <c r="W70" s="339">
        <f ca="1">SUM(W71:W72)</f>
        <v>0</v>
      </c>
      <c r="X70" s="339">
        <f t="shared" ca="1" si="21"/>
        <v>0</v>
      </c>
      <c r="Y70" s="339">
        <f t="shared" ca="1" si="21"/>
        <v>0</v>
      </c>
      <c r="Z70" s="339">
        <f t="shared" ca="1" si="21"/>
        <v>0</v>
      </c>
      <c r="AA70" s="339">
        <f t="shared" ca="1" si="21"/>
        <v>0</v>
      </c>
      <c r="AB70" s="339">
        <f t="shared" ca="1" si="21"/>
        <v>0</v>
      </c>
      <c r="AC70" s="339">
        <f t="shared" ca="1" si="21"/>
        <v>0</v>
      </c>
      <c r="AD70" s="339">
        <f t="shared" ca="1" si="21"/>
        <v>0</v>
      </c>
      <c r="AE70" s="339">
        <f t="shared" ca="1" si="21"/>
        <v>0</v>
      </c>
      <c r="AF70" s="339">
        <f t="shared" ca="1" si="21"/>
        <v>0</v>
      </c>
      <c r="AG70" s="339">
        <f t="shared" ca="1" si="21"/>
        <v>0</v>
      </c>
      <c r="AH70" s="339">
        <f t="shared" ca="1" si="21"/>
        <v>0</v>
      </c>
      <c r="AI70" s="339">
        <f t="shared" ca="1" si="21"/>
        <v>0</v>
      </c>
      <c r="AJ70" s="339">
        <f t="shared" ca="1" si="21"/>
        <v>0</v>
      </c>
      <c r="AK70" s="339">
        <f t="shared" ca="1" si="21"/>
        <v>0</v>
      </c>
      <c r="AL70" s="339">
        <f t="shared" ca="1" si="21"/>
        <v>0</v>
      </c>
      <c r="AM70" s="339">
        <f t="shared" ca="1" si="21"/>
        <v>0</v>
      </c>
      <c r="AN70" s="339">
        <f t="shared" ca="1" si="21"/>
        <v>0</v>
      </c>
      <c r="AO70" s="339">
        <f t="shared" ca="1" si="21"/>
        <v>0</v>
      </c>
      <c r="AP70" s="339">
        <f t="shared" ca="1" si="21"/>
        <v>0</v>
      </c>
      <c r="AQ70" s="339">
        <f t="shared" ca="1" si="21"/>
        <v>0</v>
      </c>
      <c r="AR70" s="339">
        <f t="shared" ca="1" si="21"/>
        <v>0</v>
      </c>
      <c r="AS70" s="339">
        <f t="shared" ca="1" si="21"/>
        <v>0</v>
      </c>
      <c r="AT70" s="339">
        <f t="shared" ca="1" si="21"/>
        <v>0</v>
      </c>
      <c r="AU70" s="339">
        <f t="shared" ca="1" si="21"/>
        <v>0</v>
      </c>
      <c r="AV70" s="339">
        <f t="shared" ca="1" si="21"/>
        <v>0</v>
      </c>
      <c r="AW70" s="339">
        <f t="shared" ca="1" si="21"/>
        <v>0</v>
      </c>
      <c r="AX70" s="339">
        <f t="shared" ca="1" si="21"/>
        <v>0</v>
      </c>
      <c r="AY70" s="339">
        <f t="shared" ca="1" si="21"/>
        <v>0</v>
      </c>
      <c r="AZ70" s="339">
        <f t="shared" ca="1" si="21"/>
        <v>0</v>
      </c>
      <c r="BA70" s="339">
        <f t="shared" ca="1" si="21"/>
        <v>0</v>
      </c>
      <c r="BB70" s="339">
        <f t="shared" ca="1" si="21"/>
        <v>0</v>
      </c>
      <c r="BC70" s="339">
        <f t="shared" ca="1" si="21"/>
        <v>0</v>
      </c>
      <c r="BD70" s="339">
        <f t="shared" ca="1" si="21"/>
        <v>0</v>
      </c>
      <c r="BE70" s="3"/>
      <c r="BF70" s="343">
        <f ca="1">SUMIFS($D70:$BD70,$D$31:$BD$31,"&lt;="&amp;WeekSuppliedUntil,$D$31:$BD$31,"&gt;="&amp;Start_week_for_forecasting)</f>
        <v>174212.37560368062</v>
      </c>
      <c r="BH70" s="343">
        <f t="array" aca="1" ref="BH70" ca="1">MAX(IF(D$31:BD$31&gt;=Start_week_for_forecasting,IF(D$31:BD$31&lt;=WeekSuppliedUntil,D70:BD70)))</f>
        <v>59139.989397448444</v>
      </c>
    </row>
    <row r="71" spans="2:70" s="132" customFormat="1" x14ac:dyDescent="0.75">
      <c r="B71" s="341" t="s">
        <v>972</v>
      </c>
      <c r="C71" s="354" t="s">
        <v>974</v>
      </c>
      <c r="D71" s="325">
        <f ca="1">IFERROR(IF(D41=0,0,SUM(D41:D42)*'User Dashboard'!$J$18),0)</f>
        <v>0.2</v>
      </c>
      <c r="E71" s="325">
        <f ca="1">IFERROR(IF(E41=0,0,SUM(E41:E42)*'User Dashboard'!$J$18),0)</f>
        <v>0.59607747847932013</v>
      </c>
      <c r="F71" s="325">
        <f ca="1">IFERROR(IF(F41=0,0,SUM(F41:F42)*'User Dashboard'!$J$18),0)</f>
        <v>2.0484249733351612</v>
      </c>
      <c r="G71" s="325">
        <f ca="1">IFERROR(IF(G41=0,0,SUM(G41:G42)*'User Dashboard'!$J$18),0)</f>
        <v>7.0393594611296439</v>
      </c>
      <c r="H71" s="325">
        <f ca="1">IFERROR(IF(H41=0,0,SUM(H41:H42)*'User Dashboard'!$J$18),0)</f>
        <v>24.189759905481182</v>
      </c>
      <c r="I71" s="325">
        <f ca="1">IFERROR(IF(I41=0,0,SUM(I41:I42)*'User Dashboard'!$J$18),0)</f>
        <v>83.115032129080419</v>
      </c>
      <c r="J71" s="325">
        <f ca="1">IFERROR(IF(J41=0,0,SUM(J41:J42)*'User Dashboard'!$J$18),0)</f>
        <v>285.46604346651191</v>
      </c>
      <c r="K71" s="325">
        <f ca="1">IFERROR(IF(K41=0,0,SUM(K41:K42)*'User Dashboard'!$J$18),0)</f>
        <v>979.11762750312437</v>
      </c>
      <c r="L71" s="325">
        <f ca="1">IFERROR(IF(L41=0,0,SUM(L41:L42)*'User Dashboard'!$J$18),0)</f>
        <v>3137.2160482992817</v>
      </c>
      <c r="M71" s="325">
        <f ca="1">IFERROR(IF(M41=0,0,SUM(M41:M42)*'User Dashboard'!$J$18),0)</f>
        <v>8667.6208944600094</v>
      </c>
      <c r="N71" s="325">
        <f ca="1">IFERROR(IF(N41=0,0,SUM(N41:N42)*'User Dashboard'!$J$18),0)</f>
        <v>21816.02059312422</v>
      </c>
      <c r="O71" s="325">
        <f ca="1">IFERROR(IF(O41=0,0,SUM(O41:O42)*'User Dashboard'!$J$18),0)</f>
        <v>21430.50100687578</v>
      </c>
      <c r="P71" s="325">
        <f ca="1">IFERROR(IF(P41=0,0,SUM(P41:P42)*'User Dashboard'!$J$18),0)</f>
        <v>21816.02059312422</v>
      </c>
      <c r="Q71" s="325">
        <f ca="1">IFERROR(IF(Q41=0,0,SUM(Q41:Q42)*'User Dashboard'!$J$18),0)</f>
        <v>0</v>
      </c>
      <c r="R71" s="325">
        <f ca="1">IFERROR(IF(R41=0,0,SUM(R41:R42)*'User Dashboard'!$J$18),0)</f>
        <v>0</v>
      </c>
      <c r="S71" s="325">
        <f ca="1">IFERROR(IF(S41=0,0,SUM(S41:S42)*'User Dashboard'!$J$18),0)</f>
        <v>0</v>
      </c>
      <c r="T71" s="325">
        <f ca="1">IFERROR(IF(T41=0,0,SUM(T41:T42)*'User Dashboard'!$J$18),0)</f>
        <v>0</v>
      </c>
      <c r="U71" s="325">
        <f ca="1">IFERROR(IF(U41=0,0,SUM(U41:U42)*'User Dashboard'!$J$18),0)</f>
        <v>0</v>
      </c>
      <c r="V71" s="325">
        <f ca="1">IFERROR(IF(V41=0,0,SUM(V41:V42)*'User Dashboard'!$J$18),0)</f>
        <v>0</v>
      </c>
      <c r="W71" s="325">
        <f ca="1">IFERROR(IF(W41=0,0,SUM(W41:W42)*'User Dashboard'!$J$18),0)</f>
        <v>0</v>
      </c>
      <c r="X71" s="325">
        <f ca="1">IFERROR(IF(X41=0,0,SUM(X41:X42)*'User Dashboard'!$J$18),0)</f>
        <v>0</v>
      </c>
      <c r="Y71" s="325">
        <f ca="1">IFERROR(IF(Y41=0,0,SUM(Y41:Y42)*'User Dashboard'!$J$18),0)</f>
        <v>0</v>
      </c>
      <c r="Z71" s="325">
        <f ca="1">IFERROR(IF(Z41=0,0,SUM(Z41:Z42)*'User Dashboard'!$J$18),0)</f>
        <v>0</v>
      </c>
      <c r="AA71" s="325">
        <f ca="1">IFERROR(IF(AA41=0,0,SUM(AA41:AA42)*'User Dashboard'!$J$18),0)</f>
        <v>0</v>
      </c>
      <c r="AB71" s="325">
        <f ca="1">IFERROR(IF(AB41=0,0,SUM(AB41:AB42)*'User Dashboard'!$J$18),0)</f>
        <v>0</v>
      </c>
      <c r="AC71" s="325">
        <f ca="1">IFERROR(IF(AC41=0,0,SUM(AC41:AC42)*'User Dashboard'!$J$18),0)</f>
        <v>0</v>
      </c>
      <c r="AD71" s="325">
        <f ca="1">IFERROR(IF(AD41=0,0,SUM(AD41:AD42)*'User Dashboard'!$J$18),0)</f>
        <v>0</v>
      </c>
      <c r="AE71" s="325">
        <f ca="1">IFERROR(IF(AE41=0,0,SUM(AE41:AE42)*'User Dashboard'!$J$18),0)</f>
        <v>0</v>
      </c>
      <c r="AF71" s="325">
        <f ca="1">IFERROR(IF(AF41=0,0,SUM(AF41:AF42)*'User Dashboard'!$J$18),0)</f>
        <v>0</v>
      </c>
      <c r="AG71" s="325">
        <f ca="1">IFERROR(IF(AG41=0,0,SUM(AG41:AG42)*'User Dashboard'!$J$18),0)</f>
        <v>0</v>
      </c>
      <c r="AH71" s="325">
        <f ca="1">IFERROR(IF(AH41=0,0,SUM(AH41:AH42)*'User Dashboard'!$J$18),0)</f>
        <v>0</v>
      </c>
      <c r="AI71" s="325">
        <f ca="1">IFERROR(IF(AI41=0,0,SUM(AI41:AI42)*'User Dashboard'!$J$18),0)</f>
        <v>0</v>
      </c>
      <c r="AJ71" s="325">
        <f ca="1">IFERROR(IF(AJ41=0,0,SUM(AJ41:AJ42)*'User Dashboard'!$J$18),0)</f>
        <v>0</v>
      </c>
      <c r="AK71" s="325">
        <f ca="1">IFERROR(IF(AK41=0,0,SUM(AK41:AK42)*'User Dashboard'!$J$18),0)</f>
        <v>0</v>
      </c>
      <c r="AL71" s="325">
        <f ca="1">IFERROR(IF(AL41=0,0,SUM(AL41:AL42)*'User Dashboard'!$J$18),0)</f>
        <v>0</v>
      </c>
      <c r="AM71" s="325">
        <f ca="1">IFERROR(IF(AM41=0,0,SUM(AM41:AM42)*'User Dashboard'!$J$18),0)</f>
        <v>0</v>
      </c>
      <c r="AN71" s="325">
        <f ca="1">IFERROR(IF(AN41=0,0,SUM(AN41:AN42)*'User Dashboard'!$J$18),0)</f>
        <v>0</v>
      </c>
      <c r="AO71" s="325">
        <f ca="1">IFERROR(IF(AO41=0,0,SUM(AO41:AO42)*'User Dashboard'!$J$18),0)</f>
        <v>0</v>
      </c>
      <c r="AP71" s="325">
        <f ca="1">IFERROR(IF(AP41=0,0,SUM(AP41:AP42)*'User Dashboard'!$J$18),0)</f>
        <v>0</v>
      </c>
      <c r="AQ71" s="325">
        <f ca="1">IFERROR(IF(AQ41=0,0,SUM(AQ41:AQ42)*'User Dashboard'!$J$18),0)</f>
        <v>0</v>
      </c>
      <c r="AR71" s="325">
        <f ca="1">IFERROR(IF(AR41=0,0,SUM(AR41:AR42)*'User Dashboard'!$J$18),0)</f>
        <v>0</v>
      </c>
      <c r="AS71" s="325">
        <f ca="1">IFERROR(IF(AS41=0,0,SUM(AS41:AS42)*'User Dashboard'!$J$18),0)</f>
        <v>0</v>
      </c>
      <c r="AT71" s="325">
        <f ca="1">IFERROR(IF(AT41=0,0,SUM(AT41:AT42)*'User Dashboard'!$J$18),0)</f>
        <v>0</v>
      </c>
      <c r="AU71" s="325">
        <f ca="1">IFERROR(IF(AU41=0,0,SUM(AU41:AU42)*'User Dashboard'!$J$18),0)</f>
        <v>0</v>
      </c>
      <c r="AV71" s="325">
        <f ca="1">IFERROR(IF(AV41=0,0,SUM(AV41:AV42)*'User Dashboard'!$J$18),0)</f>
        <v>0</v>
      </c>
      <c r="AW71" s="325">
        <f ca="1">IFERROR(IF(AW41=0,0,SUM(AW41:AW42)*'User Dashboard'!$J$18),0)</f>
        <v>0</v>
      </c>
      <c r="AX71" s="325">
        <f ca="1">IFERROR(IF(AX41=0,0,SUM(AX41:AX42)*'User Dashboard'!$J$18),0)</f>
        <v>0</v>
      </c>
      <c r="AY71" s="325">
        <f ca="1">IFERROR(IF(AY41=0,0,SUM(AY41:AY42)*'User Dashboard'!$J$18),0)</f>
        <v>0</v>
      </c>
      <c r="AZ71" s="325">
        <f ca="1">IFERROR(IF(AZ41=0,0,SUM(AZ41:AZ42)*'User Dashboard'!$J$18),0)</f>
        <v>0</v>
      </c>
      <c r="BA71" s="325">
        <f ca="1">IFERROR(IF(BA41=0,0,SUM(BA41:BA42)*'User Dashboard'!$J$18),0)</f>
        <v>0</v>
      </c>
      <c r="BB71" s="325">
        <f ca="1">IFERROR(IF(BB41=0,0,SUM(BB41:BB42)*'User Dashboard'!$J$18),0)</f>
        <v>0</v>
      </c>
      <c r="BC71" s="325">
        <f ca="1">IFERROR(IF(BC41=0,0,SUM(BC41:BC42)*'User Dashboard'!$J$18),0)</f>
        <v>0</v>
      </c>
      <c r="BD71" s="325">
        <f ca="1">IFERROR(IF(BD41=0,0,SUM(BD41:BD42)*'User Dashboard'!$J$18),0)</f>
        <v>0</v>
      </c>
      <c r="BF71" s="323">
        <f ca="1">SUMIFS($D71:$BD71,$D$31:$BD$31,"&lt;="&amp;WeekSuppliedUntil,$D$31:$BD$31,"&gt;="&amp;Start_week_for_forecasting)</f>
        <v>78248.951460800658</v>
      </c>
      <c r="BH71" s="323">
        <f t="array" aca="1" ref="BH71" ca="1">MAX(IF(D$31:BD$31&gt;=Start_week_for_forecasting,IF(D$31:BD$31&lt;=WeekSuppliedUntil,D71:BD71)))</f>
        <v>21816.02059312422</v>
      </c>
    </row>
    <row r="72" spans="2:70" s="132" customFormat="1" x14ac:dyDescent="0.75">
      <c r="B72" s="341" t="s">
        <v>972</v>
      </c>
      <c r="C72" s="354" t="s">
        <v>979</v>
      </c>
      <c r="D72" s="325">
        <f ca="1">IFERROR(IF(D62="","",D62*(1-Inputs!$I$53)*Tests_for_release)+D63*(1-Inputs!$I$54)*Tests_for_release,0)</f>
        <v>0</v>
      </c>
      <c r="E72" s="325">
        <f ca="1">IFERROR(IF(E62="","",E62*(1-Inputs!$I$53)*Tests_for_release)+E63*(1-Inputs!$I$54)*Tests_for_release,0)</f>
        <v>0.25979999999999998</v>
      </c>
      <c r="F72" s="325">
        <f ca="1">IFERROR(IF(F62="","",F62*(1-Inputs!$I$53)*Tests_for_release)+F63*(1-Inputs!$I$54)*Tests_for_release,0)</f>
        <v>0.82430464454463692</v>
      </c>
      <c r="G72" s="325">
        <f ca="1">IFERROR(IF(G62="","",G62*(1-Inputs!$I$53)*Tests_for_release)+G63*(1-Inputs!$I$54)*Tests_for_release,0)</f>
        <v>2.8099234099822041</v>
      </c>
      <c r="H72" s="325">
        <f ca="1">IFERROR(IF(H62="","",H62*(1-Inputs!$I$53)*Tests_for_release)+H63*(1-Inputs!$I$54)*Tests_for_release,0)</f>
        <v>9.656234183341196</v>
      </c>
      <c r="I72" s="325">
        <f ca="1">IFERROR(IF(I62="","",I62*(1-Inputs!$I$53)*Tests_for_release)+I63*(1-Inputs!$I$54)*Tests_for_release,0)</f>
        <v>33.182337982502467</v>
      </c>
      <c r="J72" s="325">
        <f ca="1">IFERROR(IF(J62="","",J62*(1-Inputs!$I$53)*Tests_for_release)+J63*(1-Inputs!$I$54)*Tests_for_release,0)</f>
        <v>114.01386671204577</v>
      </c>
      <c r="K72" s="325">
        <f ca="1">IFERROR(IF(K62="","",K62*(1-Inputs!$I$53)*Tests_for_release)+K63*(1-Inputs!$I$54)*Tests_for_release,0)</f>
        <v>391.59914849526905</v>
      </c>
      <c r="L72" s="325">
        <f ca="1">IFERROR(IF(L62="","",L62*(1-Inputs!$I$53)*Tests_for_release)+L63*(1-Inputs!$I$54)*Tests_for_release,0)</f>
        <v>1343.2403089931865</v>
      </c>
      <c r="M72" s="325">
        <f ca="1">IFERROR(IF(M62="","",M62*(1-Inputs!$I$53)*Tests_for_release)+M63*(1-Inputs!$I$54)*Tests_for_release,0)</f>
        <v>4586.7597464389892</v>
      </c>
      <c r="N72" s="325">
        <f ca="1">IFERROR(IF(N62="","",N62*(1-Inputs!$I$53)*Tests_for_release)+N63*(1-Inputs!$I$54)*Tests_for_release,0)</f>
        <v>15218.660449620102</v>
      </c>
      <c r="O72" s="325">
        <f ca="1">IFERROR(IF(O62="","",O62*(1-Inputs!$I$53)*Tests_for_release)+O63*(1-Inputs!$I$54)*Tests_for_release,0)</f>
        <v>36938.449218075781</v>
      </c>
      <c r="P72" s="325">
        <f ca="1">IFERROR(IF(P62="","",P62*(1-Inputs!$I$53)*Tests_for_release)+P63*(1-Inputs!$I$54)*Tests_for_release,0)</f>
        <v>37323.96880432422</v>
      </c>
      <c r="Q72" s="325">
        <f ca="1">IFERROR(IF(Q62="","",Q62*(1-Inputs!$I$53)*Tests_for_release)+Q63*(1-Inputs!$I$54)*Tests_for_release,0)</f>
        <v>36938.449218075781</v>
      </c>
      <c r="R72" s="325">
        <f ca="1">IFERROR(IF(R62="","",R62*(1-Inputs!$I$53)*Tests_for_release)+R63*(1-Inputs!$I$54)*Tests_for_release,0)</f>
        <v>630.29899312421901</v>
      </c>
      <c r="S72" s="325">
        <f ca="1">IFERROR(IF(S62="","",S62*(1-Inputs!$I$53)*Tests_for_release)+S63*(1-Inputs!$I$54)*Tests_for_release,0)</f>
        <v>0</v>
      </c>
      <c r="T72" s="325">
        <f ca="1">IFERROR(IF(T62="","",T62*(1-Inputs!$I$53)*Tests_for_release)+T63*(1-Inputs!$I$54)*Tests_for_release,0)</f>
        <v>0</v>
      </c>
      <c r="U72" s="325">
        <f ca="1">IFERROR(IF(U62="","",U62*(1-Inputs!$I$53)*Tests_for_release)+U63*(1-Inputs!$I$54)*Tests_for_release,0)</f>
        <v>0</v>
      </c>
      <c r="V72" s="325">
        <f ca="1">IFERROR(IF(V62="","",V62*(1-Inputs!$I$53)*Tests_for_release)+V63*(1-Inputs!$I$54)*Tests_for_release,0)</f>
        <v>0</v>
      </c>
      <c r="W72" s="325">
        <f ca="1">IFERROR(IF(W62="","",W62*(1-Inputs!$I$53)*Tests_for_release)+W63*(1-Inputs!$I$54)*Tests_for_release,0)</f>
        <v>0</v>
      </c>
      <c r="X72" s="325">
        <f ca="1">IFERROR(IF(X62="","",X62*(1-Inputs!$I$53)*Tests_for_release)+X63*(1-Inputs!$I$54)*Tests_for_release,0)</f>
        <v>0</v>
      </c>
      <c r="Y72" s="325">
        <f ca="1">IFERROR(IF(Y62="","",Y62*(1-Inputs!$I$53)*Tests_for_release)+Y63*(1-Inputs!$I$54)*Tests_for_release,0)</f>
        <v>0</v>
      </c>
      <c r="Z72" s="325">
        <f ca="1">IFERROR(IF(Z62="","",Z62*(1-Inputs!$I$53)*Tests_for_release)+Z63*(1-Inputs!$I$54)*Tests_for_release,0)</f>
        <v>0</v>
      </c>
      <c r="AA72" s="325">
        <f ca="1">IFERROR(IF(AA62="","",AA62*(1-Inputs!$I$53)*Tests_for_release)+AA63*(1-Inputs!$I$54)*Tests_for_release,0)</f>
        <v>0</v>
      </c>
      <c r="AB72" s="325">
        <f ca="1">IFERROR(IF(AB62="","",AB62*(1-Inputs!$I$53)*Tests_for_release)+AB63*(1-Inputs!$I$54)*Tests_for_release,0)</f>
        <v>0</v>
      </c>
      <c r="AC72" s="325">
        <f ca="1">IFERROR(IF(AC62="","",AC62*(1-Inputs!$I$53)*Tests_for_release)+AC63*(1-Inputs!$I$54)*Tests_for_release,0)</f>
        <v>0</v>
      </c>
      <c r="AD72" s="325">
        <f ca="1">IFERROR(IF(AD62="","",AD62*(1-Inputs!$I$53)*Tests_for_release)+AD63*(1-Inputs!$I$54)*Tests_for_release,0)</f>
        <v>0</v>
      </c>
      <c r="AE72" s="325">
        <f ca="1">IFERROR(IF(AE62="","",AE62*(1-Inputs!$I$53)*Tests_for_release)+AE63*(1-Inputs!$I$54)*Tests_for_release,0)</f>
        <v>0</v>
      </c>
      <c r="AF72" s="325">
        <f ca="1">IFERROR(IF(AF62="","",AF62*(1-Inputs!$I$53)*Tests_for_release)+AF63*(1-Inputs!$I$54)*Tests_for_release,0)</f>
        <v>0</v>
      </c>
      <c r="AG72" s="325">
        <f ca="1">IFERROR(IF(AG62="","",AG62*(1-Inputs!$I$53)*Tests_for_release)+AG63*(1-Inputs!$I$54)*Tests_for_release,0)</f>
        <v>0</v>
      </c>
      <c r="AH72" s="325">
        <f ca="1">IFERROR(IF(AH62="","",AH62*(1-Inputs!$I$53)*Tests_for_release)+AH63*(1-Inputs!$I$54)*Tests_for_release,0)</f>
        <v>0</v>
      </c>
      <c r="AI72" s="325">
        <f ca="1">IFERROR(IF(AI62="","",AI62*(1-Inputs!$I$53)*Tests_for_release)+AI63*(1-Inputs!$I$54)*Tests_for_release,0)</f>
        <v>0</v>
      </c>
      <c r="AJ72" s="325">
        <f ca="1">IFERROR(IF(AJ62="","",AJ62*(1-Inputs!$I$53)*Tests_for_release)+AJ63*(1-Inputs!$I$54)*Tests_for_release,0)</f>
        <v>0</v>
      </c>
      <c r="AK72" s="325">
        <f ca="1">IFERROR(IF(AK62="","",AK62*(1-Inputs!$I$53)*Tests_for_release)+AK63*(1-Inputs!$I$54)*Tests_for_release,0)</f>
        <v>0</v>
      </c>
      <c r="AL72" s="325">
        <f ca="1">IFERROR(IF(AL62="","",AL62*(1-Inputs!$I$53)*Tests_for_release)+AL63*(1-Inputs!$I$54)*Tests_for_release,0)</f>
        <v>0</v>
      </c>
      <c r="AM72" s="325">
        <f ca="1">IFERROR(IF(AM62="","",AM62*(1-Inputs!$I$53)*Tests_for_release)+AM63*(1-Inputs!$I$54)*Tests_for_release,0)</f>
        <v>0</v>
      </c>
      <c r="AN72" s="325">
        <f ca="1">IFERROR(IF(AN62="","",AN62*(1-Inputs!$I$53)*Tests_for_release)+AN63*(1-Inputs!$I$54)*Tests_for_release,0)</f>
        <v>0</v>
      </c>
      <c r="AO72" s="325">
        <f ca="1">IFERROR(IF(AO62="","",AO62*(1-Inputs!$I$53)*Tests_for_release)+AO63*(1-Inputs!$I$54)*Tests_for_release,0)</f>
        <v>0</v>
      </c>
      <c r="AP72" s="325">
        <f ca="1">IFERROR(IF(AP62="","",AP62*(1-Inputs!$I$53)*Tests_for_release)+AP63*(1-Inputs!$I$54)*Tests_for_release,0)</f>
        <v>0</v>
      </c>
      <c r="AQ72" s="325">
        <f ca="1">IFERROR(IF(AQ62="","",AQ62*(1-Inputs!$I$53)*Tests_for_release)+AQ63*(1-Inputs!$I$54)*Tests_for_release,0)</f>
        <v>0</v>
      </c>
      <c r="AR72" s="325">
        <f ca="1">IFERROR(IF(AR62="","",AR62*(1-Inputs!$I$53)*Tests_for_release)+AR63*(1-Inputs!$I$54)*Tests_for_release,0)</f>
        <v>0</v>
      </c>
      <c r="AS72" s="325">
        <f ca="1">IFERROR(IF(AS62="","",AS62*(1-Inputs!$I$53)*Tests_for_release)+AS63*(1-Inputs!$I$54)*Tests_for_release,0)</f>
        <v>0</v>
      </c>
      <c r="AT72" s="325">
        <f ca="1">IFERROR(IF(AT62="","",AT62*(1-Inputs!$I$53)*Tests_for_release)+AT63*(1-Inputs!$I$54)*Tests_for_release,0)</f>
        <v>0</v>
      </c>
      <c r="AU72" s="325">
        <f ca="1">IFERROR(IF(AU62="","",AU62*(1-Inputs!$I$53)*Tests_for_release)+AU63*(1-Inputs!$I$54)*Tests_for_release,0)</f>
        <v>0</v>
      </c>
      <c r="AV72" s="325">
        <f ca="1">IFERROR(IF(AV62="","",AV62*(1-Inputs!$I$53)*Tests_for_release)+AV63*(1-Inputs!$I$54)*Tests_for_release,0)</f>
        <v>0</v>
      </c>
      <c r="AW72" s="325">
        <f ca="1">IFERROR(IF(AW62="","",AW62*(1-Inputs!$I$53)*Tests_for_release)+AW63*(1-Inputs!$I$54)*Tests_for_release,0)</f>
        <v>0</v>
      </c>
      <c r="AX72" s="325">
        <f ca="1">IFERROR(IF(AX62="","",AX62*(1-Inputs!$I$53)*Tests_for_release)+AX63*(1-Inputs!$I$54)*Tests_for_release,0)</f>
        <v>0</v>
      </c>
      <c r="AY72" s="325">
        <f ca="1">IFERROR(IF(AY62="","",AY62*(1-Inputs!$I$53)*Tests_for_release)+AY63*(1-Inputs!$I$54)*Tests_for_release,0)</f>
        <v>0</v>
      </c>
      <c r="AZ72" s="325">
        <f ca="1">IFERROR(IF(AZ62="","",AZ62*(1-Inputs!$I$53)*Tests_for_release)+AZ63*(1-Inputs!$I$54)*Tests_for_release,0)</f>
        <v>0</v>
      </c>
      <c r="BA72" s="325">
        <f ca="1">IFERROR(IF(BA62="","",BA62*(1-Inputs!$I$53)*Tests_for_release)+BA63*(1-Inputs!$I$54)*Tests_for_release,0)</f>
        <v>0</v>
      </c>
      <c r="BB72" s="325">
        <f ca="1">IFERROR(IF(BB62="","",BB62*(1-Inputs!$I$53)*Tests_for_release)+BB63*(1-Inputs!$I$54)*Tests_for_release,0)</f>
        <v>0</v>
      </c>
      <c r="BC72" s="325">
        <f ca="1">IFERROR(IF(BC62="","",BC62*(1-Inputs!$I$53)*Tests_for_release)+BC63*(1-Inputs!$I$54)*Tests_for_release,0)</f>
        <v>0</v>
      </c>
      <c r="BD72" s="325">
        <f ca="1">IFERROR(IF(BD62="","",BD62*(1-Inputs!$I$53)*Tests_for_release)+BD63*(1-Inputs!$I$54)*Tests_for_release,0)</f>
        <v>0</v>
      </c>
      <c r="BF72" s="323">
        <f ca="1">SUMIFS($D72:$BD72,$D$31:$BD$31,"&lt;="&amp;WeekSuppliedUntil,$D$31:$BD$31,"&gt;="&amp;Start_week_for_forecasting)</f>
        <v>95963.424142879958</v>
      </c>
      <c r="BH72" s="323">
        <f t="array" aca="1" ref="BH72" ca="1">MAX(IF(D$31:BD$31&gt;=Start_week_for_forecasting,IF(D$31:BD$31&lt;=WeekSuppliedUntil,D72:BD72)))</f>
        <v>37323.96880432422</v>
      </c>
    </row>
    <row r="73" spans="2:70" s="6" customFormat="1" x14ac:dyDescent="0.75">
      <c r="B73" s="341" t="s">
        <v>893</v>
      </c>
      <c r="C73" s="3" t="s">
        <v>990</v>
      </c>
      <c r="D73" s="339">
        <f>SUM(D74:D76)</f>
        <v>10.8</v>
      </c>
      <c r="E73" s="339">
        <f t="shared" ref="E73:BD73" si="22">SUM(E74:E76)</f>
        <v>32.188183837883287</v>
      </c>
      <c r="F73" s="339">
        <f t="shared" si="22"/>
        <v>110.61494856009871</v>
      </c>
      <c r="G73" s="339">
        <f t="shared" si="22"/>
        <v>380.12541090100075</v>
      </c>
      <c r="H73" s="339">
        <f>SUM(H74:H76)</f>
        <v>1306.2470348959841</v>
      </c>
      <c r="I73" s="339">
        <f t="shared" si="22"/>
        <v>4488.2117349703431</v>
      </c>
      <c r="J73" s="339">
        <f t="shared" si="22"/>
        <v>15415.166347191644</v>
      </c>
      <c r="K73" s="339">
        <f t="shared" si="22"/>
        <v>52872.351885168726</v>
      </c>
      <c r="L73" s="339">
        <f t="shared" si="22"/>
        <v>180498.02797260453</v>
      </c>
      <c r="M73" s="339">
        <f t="shared" si="22"/>
        <v>606444.58710606443</v>
      </c>
      <c r="N73" s="339">
        <f t="shared" si="22"/>
        <v>1932608.6914628055</v>
      </c>
      <c r="O73" s="339">
        <f t="shared" si="22"/>
        <v>5237616.0755972015</v>
      </c>
      <c r="P73" s="339">
        <f t="shared" si="22"/>
        <v>9505420.9477017764</v>
      </c>
      <c r="Q73" s="339">
        <f t="shared" si="22"/>
        <v>0</v>
      </c>
      <c r="R73" s="339">
        <f t="shared" si="22"/>
        <v>0</v>
      </c>
      <c r="S73" s="339">
        <f t="shared" si="22"/>
        <v>0</v>
      </c>
      <c r="T73" s="339">
        <f t="shared" si="22"/>
        <v>0</v>
      </c>
      <c r="U73" s="339">
        <f t="shared" si="22"/>
        <v>0</v>
      </c>
      <c r="V73" s="339">
        <f t="shared" si="22"/>
        <v>0</v>
      </c>
      <c r="W73" s="339">
        <f t="shared" si="22"/>
        <v>0</v>
      </c>
      <c r="X73" s="339">
        <f t="shared" si="22"/>
        <v>0</v>
      </c>
      <c r="Y73" s="339">
        <f t="shared" si="22"/>
        <v>0</v>
      </c>
      <c r="Z73" s="339">
        <f t="shared" si="22"/>
        <v>0</v>
      </c>
      <c r="AA73" s="339">
        <f t="shared" si="22"/>
        <v>0</v>
      </c>
      <c r="AB73" s="339">
        <f t="shared" si="22"/>
        <v>0</v>
      </c>
      <c r="AC73" s="339">
        <f t="shared" si="22"/>
        <v>0</v>
      </c>
      <c r="AD73" s="339">
        <f t="shared" si="22"/>
        <v>0</v>
      </c>
      <c r="AE73" s="339">
        <f t="shared" si="22"/>
        <v>0</v>
      </c>
      <c r="AF73" s="339">
        <f t="shared" si="22"/>
        <v>0</v>
      </c>
      <c r="AG73" s="339">
        <f t="shared" si="22"/>
        <v>0</v>
      </c>
      <c r="AH73" s="339">
        <f t="shared" si="22"/>
        <v>0</v>
      </c>
      <c r="AI73" s="339">
        <f t="shared" si="22"/>
        <v>0</v>
      </c>
      <c r="AJ73" s="339">
        <f t="shared" si="22"/>
        <v>0</v>
      </c>
      <c r="AK73" s="339">
        <f t="shared" si="22"/>
        <v>0</v>
      </c>
      <c r="AL73" s="339">
        <f t="shared" si="22"/>
        <v>0</v>
      </c>
      <c r="AM73" s="339">
        <f t="shared" si="22"/>
        <v>0</v>
      </c>
      <c r="AN73" s="339">
        <f t="shared" si="22"/>
        <v>0</v>
      </c>
      <c r="AO73" s="339">
        <f t="shared" si="22"/>
        <v>0</v>
      </c>
      <c r="AP73" s="339">
        <f t="shared" si="22"/>
        <v>0</v>
      </c>
      <c r="AQ73" s="339">
        <f t="shared" si="22"/>
        <v>0</v>
      </c>
      <c r="AR73" s="339">
        <f t="shared" si="22"/>
        <v>0</v>
      </c>
      <c r="AS73" s="339">
        <f t="shared" si="22"/>
        <v>0</v>
      </c>
      <c r="AT73" s="339">
        <f t="shared" si="22"/>
        <v>0</v>
      </c>
      <c r="AU73" s="339">
        <f t="shared" si="22"/>
        <v>0</v>
      </c>
      <c r="AV73" s="339">
        <f t="shared" si="22"/>
        <v>0</v>
      </c>
      <c r="AW73" s="339">
        <f t="shared" si="22"/>
        <v>0</v>
      </c>
      <c r="AX73" s="339">
        <f t="shared" si="22"/>
        <v>0</v>
      </c>
      <c r="AY73" s="339">
        <f t="shared" si="22"/>
        <v>0</v>
      </c>
      <c r="AZ73" s="339">
        <f t="shared" si="22"/>
        <v>0</v>
      </c>
      <c r="BA73" s="339">
        <f t="shared" si="22"/>
        <v>0</v>
      </c>
      <c r="BB73" s="339">
        <f t="shared" si="22"/>
        <v>0</v>
      </c>
      <c r="BC73" s="339">
        <f t="shared" si="22"/>
        <v>0</v>
      </c>
      <c r="BD73" s="339">
        <f t="shared" si="22"/>
        <v>0</v>
      </c>
      <c r="BF73" s="249">
        <f t="shared" si="20"/>
        <v>17537193.235385977</v>
      </c>
      <c r="BH73" s="249">
        <f t="array" ref="BH73">MAX(IF(D$31:BD$31&gt;=Start_week_for_forecasting,IF(D$31:BD$31&lt;=WeekSuppliedUntil,D73:BD73)))</f>
        <v>9505420.9477017764</v>
      </c>
    </row>
    <row r="74" spans="2:70" s="6" customFormat="1" x14ac:dyDescent="0.75">
      <c r="B74" s="341" t="s">
        <v>893</v>
      </c>
      <c r="C74" s="354" t="s">
        <v>977</v>
      </c>
      <c r="D74" s="322">
        <f t="shared" ref="D74:AI74" si="23">IFERROR((D34)*Tests_for_diagnosis,0)</f>
        <v>0.4</v>
      </c>
      <c r="E74" s="322">
        <f t="shared" si="23"/>
        <v>1.1921549569586405</v>
      </c>
      <c r="F74" s="322">
        <f t="shared" si="23"/>
        <v>4.0968499466703223</v>
      </c>
      <c r="G74" s="322">
        <f t="shared" si="23"/>
        <v>14.078718922259288</v>
      </c>
      <c r="H74" s="322">
        <f t="shared" si="23"/>
        <v>48.379519810962371</v>
      </c>
      <c r="I74" s="322">
        <f t="shared" si="23"/>
        <v>166.23006425816084</v>
      </c>
      <c r="J74" s="322">
        <f t="shared" si="23"/>
        <v>570.93208693302392</v>
      </c>
      <c r="K74" s="322">
        <f t="shared" si="23"/>
        <v>1958.235255006249</v>
      </c>
      <c r="L74" s="322">
        <f t="shared" si="23"/>
        <v>6685.1121471335009</v>
      </c>
      <c r="M74" s="322">
        <f t="shared" si="23"/>
        <v>22460.910633557942</v>
      </c>
      <c r="N74" s="322">
        <f t="shared" si="23"/>
        <v>71578.099683807624</v>
      </c>
      <c r="O74" s="322">
        <f t="shared" si="23"/>
        <v>193985.78057767416</v>
      </c>
      <c r="P74" s="322">
        <f t="shared" si="23"/>
        <v>352052.6276926584</v>
      </c>
      <c r="Q74" s="322">
        <f t="shared" si="23"/>
        <v>0</v>
      </c>
      <c r="R74" s="322">
        <f t="shared" si="23"/>
        <v>0</v>
      </c>
      <c r="S74" s="322">
        <f t="shared" si="23"/>
        <v>0</v>
      </c>
      <c r="T74" s="322">
        <f t="shared" si="23"/>
        <v>0</v>
      </c>
      <c r="U74" s="322">
        <f t="shared" si="23"/>
        <v>0</v>
      </c>
      <c r="V74" s="322">
        <f t="shared" si="23"/>
        <v>0</v>
      </c>
      <c r="W74" s="322">
        <f t="shared" si="23"/>
        <v>0</v>
      </c>
      <c r="X74" s="322">
        <f t="shared" si="23"/>
        <v>0</v>
      </c>
      <c r="Y74" s="322">
        <f t="shared" si="23"/>
        <v>0</v>
      </c>
      <c r="Z74" s="322">
        <f t="shared" si="23"/>
        <v>0</v>
      </c>
      <c r="AA74" s="322">
        <f t="shared" si="23"/>
        <v>0</v>
      </c>
      <c r="AB74" s="322">
        <f t="shared" si="23"/>
        <v>0</v>
      </c>
      <c r="AC74" s="322">
        <f t="shared" si="23"/>
        <v>0</v>
      </c>
      <c r="AD74" s="322">
        <f t="shared" si="23"/>
        <v>0</v>
      </c>
      <c r="AE74" s="322">
        <f t="shared" si="23"/>
        <v>0</v>
      </c>
      <c r="AF74" s="322">
        <f t="shared" si="23"/>
        <v>0</v>
      </c>
      <c r="AG74" s="322">
        <f t="shared" si="23"/>
        <v>0</v>
      </c>
      <c r="AH74" s="322">
        <f t="shared" si="23"/>
        <v>0</v>
      </c>
      <c r="AI74" s="322">
        <f t="shared" si="23"/>
        <v>0</v>
      </c>
      <c r="AJ74" s="322">
        <f t="shared" ref="AJ74:BD74" si="24">IFERROR((AJ34)*Tests_for_diagnosis,0)</f>
        <v>0</v>
      </c>
      <c r="AK74" s="322">
        <f t="shared" si="24"/>
        <v>0</v>
      </c>
      <c r="AL74" s="322">
        <f t="shared" si="24"/>
        <v>0</v>
      </c>
      <c r="AM74" s="322">
        <f t="shared" si="24"/>
        <v>0</v>
      </c>
      <c r="AN74" s="322">
        <f t="shared" si="24"/>
        <v>0</v>
      </c>
      <c r="AO74" s="322">
        <f t="shared" si="24"/>
        <v>0</v>
      </c>
      <c r="AP74" s="322">
        <f t="shared" si="24"/>
        <v>0</v>
      </c>
      <c r="AQ74" s="322">
        <f t="shared" si="24"/>
        <v>0</v>
      </c>
      <c r="AR74" s="322">
        <f t="shared" si="24"/>
        <v>0</v>
      </c>
      <c r="AS74" s="322">
        <f t="shared" si="24"/>
        <v>0</v>
      </c>
      <c r="AT74" s="322">
        <f t="shared" si="24"/>
        <v>0</v>
      </c>
      <c r="AU74" s="322">
        <f t="shared" si="24"/>
        <v>0</v>
      </c>
      <c r="AV74" s="322">
        <f t="shared" si="24"/>
        <v>0</v>
      </c>
      <c r="AW74" s="322">
        <f t="shared" si="24"/>
        <v>0</v>
      </c>
      <c r="AX74" s="322">
        <f t="shared" si="24"/>
        <v>0</v>
      </c>
      <c r="AY74" s="322">
        <f t="shared" si="24"/>
        <v>0</v>
      </c>
      <c r="AZ74" s="322">
        <f t="shared" si="24"/>
        <v>0</v>
      </c>
      <c r="BA74" s="322">
        <f t="shared" si="24"/>
        <v>0</v>
      </c>
      <c r="BB74" s="322">
        <f t="shared" si="24"/>
        <v>0</v>
      </c>
      <c r="BC74" s="322">
        <f t="shared" si="24"/>
        <v>0</v>
      </c>
      <c r="BD74" s="322">
        <f t="shared" si="24"/>
        <v>0</v>
      </c>
      <c r="BF74" s="323">
        <f t="shared" si="20"/>
        <v>649525.67538466584</v>
      </c>
      <c r="BH74" s="323">
        <f t="array" ref="BH74">MAX(IF(D$31:BD$31&gt;=Start_week_for_forecasting,IF(D$31:BD$31&lt;=WeekSuppliedUntil,D74:BD74)))</f>
        <v>352052.6276926584</v>
      </c>
    </row>
    <row r="75" spans="2:70" s="6" customFormat="1" x14ac:dyDescent="0.75">
      <c r="B75" s="341" t="s">
        <v>893</v>
      </c>
      <c r="C75" s="354" t="s">
        <v>991</v>
      </c>
      <c r="D75" s="322">
        <f t="shared" ref="D75:AI75" si="25">IFERROR((D35)*Tests_for_diagnosis,0)</f>
        <v>0.4</v>
      </c>
      <c r="E75" s="322">
        <f t="shared" si="25"/>
        <v>1.1921549569586405</v>
      </c>
      <c r="F75" s="322">
        <f t="shared" si="25"/>
        <v>4.0968499466703223</v>
      </c>
      <c r="G75" s="322">
        <f t="shared" si="25"/>
        <v>14.078718922259288</v>
      </c>
      <c r="H75" s="322">
        <f t="shared" si="25"/>
        <v>48.379519810962371</v>
      </c>
      <c r="I75" s="322">
        <f t="shared" si="25"/>
        <v>166.23006425816084</v>
      </c>
      <c r="J75" s="322">
        <f t="shared" si="25"/>
        <v>570.93208693302392</v>
      </c>
      <c r="K75" s="322">
        <f t="shared" si="25"/>
        <v>1958.235255006249</v>
      </c>
      <c r="L75" s="322">
        <f t="shared" si="25"/>
        <v>6685.1121471335009</v>
      </c>
      <c r="M75" s="322">
        <f t="shared" si="25"/>
        <v>22460.910633557942</v>
      </c>
      <c r="N75" s="322">
        <f t="shared" si="25"/>
        <v>71578.099683807624</v>
      </c>
      <c r="O75" s="322">
        <f t="shared" si="25"/>
        <v>193985.78057767416</v>
      </c>
      <c r="P75" s="322">
        <f t="shared" si="25"/>
        <v>352052.6276926584</v>
      </c>
      <c r="Q75" s="322">
        <f t="shared" si="25"/>
        <v>0</v>
      </c>
      <c r="R75" s="322">
        <f t="shared" si="25"/>
        <v>0</v>
      </c>
      <c r="S75" s="322">
        <f t="shared" si="25"/>
        <v>0</v>
      </c>
      <c r="T75" s="322">
        <f t="shared" si="25"/>
        <v>0</v>
      </c>
      <c r="U75" s="322">
        <f t="shared" si="25"/>
        <v>0</v>
      </c>
      <c r="V75" s="322">
        <f t="shared" si="25"/>
        <v>0</v>
      </c>
      <c r="W75" s="322">
        <f t="shared" si="25"/>
        <v>0</v>
      </c>
      <c r="X75" s="322">
        <f t="shared" si="25"/>
        <v>0</v>
      </c>
      <c r="Y75" s="322">
        <f t="shared" si="25"/>
        <v>0</v>
      </c>
      <c r="Z75" s="322">
        <f t="shared" si="25"/>
        <v>0</v>
      </c>
      <c r="AA75" s="322">
        <f t="shared" si="25"/>
        <v>0</v>
      </c>
      <c r="AB75" s="322">
        <f t="shared" si="25"/>
        <v>0</v>
      </c>
      <c r="AC75" s="322">
        <f t="shared" si="25"/>
        <v>0</v>
      </c>
      <c r="AD75" s="322">
        <f t="shared" si="25"/>
        <v>0</v>
      </c>
      <c r="AE75" s="322">
        <f t="shared" si="25"/>
        <v>0</v>
      </c>
      <c r="AF75" s="322">
        <f t="shared" si="25"/>
        <v>0</v>
      </c>
      <c r="AG75" s="322">
        <f t="shared" si="25"/>
        <v>0</v>
      </c>
      <c r="AH75" s="322">
        <f t="shared" si="25"/>
        <v>0</v>
      </c>
      <c r="AI75" s="322">
        <f t="shared" si="25"/>
        <v>0</v>
      </c>
      <c r="AJ75" s="322">
        <f t="shared" ref="AJ75:BD75" si="26">IFERROR((AJ35)*Tests_for_diagnosis,0)</f>
        <v>0</v>
      </c>
      <c r="AK75" s="322">
        <f t="shared" si="26"/>
        <v>0</v>
      </c>
      <c r="AL75" s="322">
        <f t="shared" si="26"/>
        <v>0</v>
      </c>
      <c r="AM75" s="322">
        <f t="shared" si="26"/>
        <v>0</v>
      </c>
      <c r="AN75" s="322">
        <f t="shared" si="26"/>
        <v>0</v>
      </c>
      <c r="AO75" s="322">
        <f t="shared" si="26"/>
        <v>0</v>
      </c>
      <c r="AP75" s="322">
        <f t="shared" si="26"/>
        <v>0</v>
      </c>
      <c r="AQ75" s="322">
        <f t="shared" si="26"/>
        <v>0</v>
      </c>
      <c r="AR75" s="322">
        <f t="shared" si="26"/>
        <v>0</v>
      </c>
      <c r="AS75" s="322">
        <f t="shared" si="26"/>
        <v>0</v>
      </c>
      <c r="AT75" s="322">
        <f t="shared" si="26"/>
        <v>0</v>
      </c>
      <c r="AU75" s="322">
        <f t="shared" si="26"/>
        <v>0</v>
      </c>
      <c r="AV75" s="322">
        <f t="shared" si="26"/>
        <v>0</v>
      </c>
      <c r="AW75" s="322">
        <f t="shared" si="26"/>
        <v>0</v>
      </c>
      <c r="AX75" s="322">
        <f t="shared" si="26"/>
        <v>0</v>
      </c>
      <c r="AY75" s="322">
        <f t="shared" si="26"/>
        <v>0</v>
      </c>
      <c r="AZ75" s="322">
        <f t="shared" si="26"/>
        <v>0</v>
      </c>
      <c r="BA75" s="322">
        <f t="shared" si="26"/>
        <v>0</v>
      </c>
      <c r="BB75" s="322">
        <f t="shared" si="26"/>
        <v>0</v>
      </c>
      <c r="BC75" s="322">
        <f t="shared" si="26"/>
        <v>0</v>
      </c>
      <c r="BD75" s="322">
        <f t="shared" si="26"/>
        <v>0</v>
      </c>
      <c r="BF75" s="323">
        <f t="shared" si="20"/>
        <v>649525.67538466584</v>
      </c>
      <c r="BH75" s="323">
        <f t="array" ref="BH75">MAX(IF(D$31:BD$31&gt;=Start_week_for_forecasting,IF(D$31:BD$31&lt;=WeekSuppliedUntil,D75:BD75)))</f>
        <v>352052.6276926584</v>
      </c>
    </row>
    <row r="76" spans="2:70" s="6" customFormat="1" x14ac:dyDescent="0.75">
      <c r="B76" s="341" t="s">
        <v>893</v>
      </c>
      <c r="C76" s="354" t="s">
        <v>978</v>
      </c>
      <c r="D76" s="322">
        <f t="shared" ref="D76:AI76" si="27">IFERROR((D38)*Tests_for_diagnosis,0)</f>
        <v>10</v>
      </c>
      <c r="E76" s="322">
        <f t="shared" si="27"/>
        <v>29.803873923966009</v>
      </c>
      <c r="F76" s="322">
        <f t="shared" si="27"/>
        <v>102.42124866675806</v>
      </c>
      <c r="G76" s="322">
        <f t="shared" si="27"/>
        <v>351.96797305648215</v>
      </c>
      <c r="H76" s="322">
        <f t="shared" si="27"/>
        <v>1209.4879952740594</v>
      </c>
      <c r="I76" s="322">
        <f t="shared" si="27"/>
        <v>4155.7516064540214</v>
      </c>
      <c r="J76" s="322">
        <f t="shared" si="27"/>
        <v>14273.302173325596</v>
      </c>
      <c r="K76" s="322">
        <f t="shared" si="27"/>
        <v>48955.881375156227</v>
      </c>
      <c r="L76" s="322">
        <f t="shared" si="27"/>
        <v>167127.80367833751</v>
      </c>
      <c r="M76" s="322">
        <f t="shared" si="27"/>
        <v>561522.76583894854</v>
      </c>
      <c r="N76" s="322">
        <f t="shared" si="27"/>
        <v>1789452.4920951903</v>
      </c>
      <c r="O76" s="322">
        <f t="shared" si="27"/>
        <v>4849644.5144418534</v>
      </c>
      <c r="P76" s="322">
        <f t="shared" si="27"/>
        <v>8801315.6923164595</v>
      </c>
      <c r="Q76" s="322">
        <f t="shared" si="27"/>
        <v>0</v>
      </c>
      <c r="R76" s="322">
        <f t="shared" si="27"/>
        <v>0</v>
      </c>
      <c r="S76" s="322">
        <f t="shared" si="27"/>
        <v>0</v>
      </c>
      <c r="T76" s="322">
        <f t="shared" si="27"/>
        <v>0</v>
      </c>
      <c r="U76" s="322">
        <f t="shared" si="27"/>
        <v>0</v>
      </c>
      <c r="V76" s="322">
        <f t="shared" si="27"/>
        <v>0</v>
      </c>
      <c r="W76" s="322">
        <f t="shared" si="27"/>
        <v>0</v>
      </c>
      <c r="X76" s="322">
        <f t="shared" si="27"/>
        <v>0</v>
      </c>
      <c r="Y76" s="322">
        <f t="shared" si="27"/>
        <v>0</v>
      </c>
      <c r="Z76" s="322">
        <f t="shared" si="27"/>
        <v>0</v>
      </c>
      <c r="AA76" s="322">
        <f t="shared" si="27"/>
        <v>0</v>
      </c>
      <c r="AB76" s="322">
        <f t="shared" si="27"/>
        <v>0</v>
      </c>
      <c r="AC76" s="322">
        <f t="shared" si="27"/>
        <v>0</v>
      </c>
      <c r="AD76" s="322">
        <f t="shared" si="27"/>
        <v>0</v>
      </c>
      <c r="AE76" s="322">
        <f t="shared" si="27"/>
        <v>0</v>
      </c>
      <c r="AF76" s="322">
        <f t="shared" si="27"/>
        <v>0</v>
      </c>
      <c r="AG76" s="322">
        <f t="shared" si="27"/>
        <v>0</v>
      </c>
      <c r="AH76" s="322">
        <f t="shared" si="27"/>
        <v>0</v>
      </c>
      <c r="AI76" s="322">
        <f t="shared" si="27"/>
        <v>0</v>
      </c>
      <c r="AJ76" s="322">
        <f t="shared" ref="AJ76:BD76" si="28">IFERROR((AJ38)*Tests_for_diagnosis,0)</f>
        <v>0</v>
      </c>
      <c r="AK76" s="322">
        <f t="shared" si="28"/>
        <v>0</v>
      </c>
      <c r="AL76" s="322">
        <f t="shared" si="28"/>
        <v>0</v>
      </c>
      <c r="AM76" s="322">
        <f t="shared" si="28"/>
        <v>0</v>
      </c>
      <c r="AN76" s="322">
        <f t="shared" si="28"/>
        <v>0</v>
      </c>
      <c r="AO76" s="322">
        <f t="shared" si="28"/>
        <v>0</v>
      </c>
      <c r="AP76" s="322">
        <f t="shared" si="28"/>
        <v>0</v>
      </c>
      <c r="AQ76" s="322">
        <f t="shared" si="28"/>
        <v>0</v>
      </c>
      <c r="AR76" s="322">
        <f t="shared" si="28"/>
        <v>0</v>
      </c>
      <c r="AS76" s="322">
        <f t="shared" si="28"/>
        <v>0</v>
      </c>
      <c r="AT76" s="322">
        <f t="shared" si="28"/>
        <v>0</v>
      </c>
      <c r="AU76" s="322">
        <f t="shared" si="28"/>
        <v>0</v>
      </c>
      <c r="AV76" s="322">
        <f t="shared" si="28"/>
        <v>0</v>
      </c>
      <c r="AW76" s="322">
        <f t="shared" si="28"/>
        <v>0</v>
      </c>
      <c r="AX76" s="322">
        <f t="shared" si="28"/>
        <v>0</v>
      </c>
      <c r="AY76" s="322">
        <f t="shared" si="28"/>
        <v>0</v>
      </c>
      <c r="AZ76" s="322">
        <f t="shared" si="28"/>
        <v>0</v>
      </c>
      <c r="BA76" s="322">
        <f t="shared" si="28"/>
        <v>0</v>
      </c>
      <c r="BB76" s="322">
        <f t="shared" si="28"/>
        <v>0</v>
      </c>
      <c r="BC76" s="322">
        <f t="shared" si="28"/>
        <v>0</v>
      </c>
      <c r="BD76" s="322">
        <f t="shared" si="28"/>
        <v>0</v>
      </c>
      <c r="BF76" s="323">
        <f t="shared" si="20"/>
        <v>16238141.884616647</v>
      </c>
      <c r="BH76" s="323">
        <f t="array" ref="BH76">MAX(IF(D$31:BD$31&gt;=Start_week_for_forecasting,IF(D$31:BD$31&lt;=WeekSuppliedUntil,D76:BD76)))</f>
        <v>8801315.6923164595</v>
      </c>
    </row>
    <row r="77" spans="2:70" s="6" customFormat="1" x14ac:dyDescent="0.75">
      <c r="B77" s="341" t="s">
        <v>893</v>
      </c>
      <c r="C77" s="3" t="s">
        <v>992</v>
      </c>
      <c r="D77" s="339">
        <f>IFERROR(SUM(D78:D80),"")</f>
        <v>1.08</v>
      </c>
      <c r="E77" s="339">
        <f t="shared" ref="E77:BD77" si="29">IFERROR(SUM(E78:E80),"")</f>
        <v>3.2188183837883289</v>
      </c>
      <c r="F77" s="339">
        <f t="shared" si="29"/>
        <v>11.061494856009872</v>
      </c>
      <c r="G77" s="339">
        <f t="shared" si="29"/>
        <v>38.012541090100072</v>
      </c>
      <c r="H77" s="339">
        <f>IFERROR(SUM(H78:H80),"")</f>
        <v>130.6247034895984</v>
      </c>
      <c r="I77" s="339">
        <f t="shared" si="29"/>
        <v>448.82117349703429</v>
      </c>
      <c r="J77" s="339">
        <f t="shared" si="29"/>
        <v>1541.5166347191644</v>
      </c>
      <c r="K77" s="339">
        <f>IFERROR(SUM(K78:K80),"")</f>
        <v>5287.2351885168728</v>
      </c>
      <c r="L77" s="339">
        <f t="shared" si="29"/>
        <v>18049.80279726045</v>
      </c>
      <c r="M77" s="339">
        <f t="shared" si="29"/>
        <v>60644.458710606443</v>
      </c>
      <c r="N77" s="339">
        <f t="shared" si="29"/>
        <v>193260.86914628057</v>
      </c>
      <c r="O77" s="339">
        <f t="shared" si="29"/>
        <v>523761.60755972017</v>
      </c>
      <c r="P77" s="339">
        <f t="shared" si="29"/>
        <v>950542.09477017773</v>
      </c>
      <c r="Q77" s="339">
        <f t="shared" si="29"/>
        <v>0</v>
      </c>
      <c r="R77" s="339">
        <f t="shared" si="29"/>
        <v>0</v>
      </c>
      <c r="S77" s="339">
        <f t="shared" si="29"/>
        <v>0</v>
      </c>
      <c r="T77" s="339">
        <f t="shared" si="29"/>
        <v>0</v>
      </c>
      <c r="U77" s="339">
        <f t="shared" si="29"/>
        <v>0</v>
      </c>
      <c r="V77" s="339">
        <f>IFERROR(SUM(V78:V80),"")</f>
        <v>0</v>
      </c>
      <c r="W77" s="339">
        <f t="shared" si="29"/>
        <v>0</v>
      </c>
      <c r="X77" s="339">
        <f t="shared" si="29"/>
        <v>0</v>
      </c>
      <c r="Y77" s="339">
        <f t="shared" si="29"/>
        <v>0</v>
      </c>
      <c r="Z77" s="339">
        <f t="shared" si="29"/>
        <v>0</v>
      </c>
      <c r="AA77" s="339">
        <f t="shared" si="29"/>
        <v>0</v>
      </c>
      <c r="AB77" s="339">
        <f t="shared" si="29"/>
        <v>0</v>
      </c>
      <c r="AC77" s="339">
        <f t="shared" si="29"/>
        <v>0</v>
      </c>
      <c r="AD77" s="339">
        <f t="shared" si="29"/>
        <v>0</v>
      </c>
      <c r="AE77" s="339">
        <f t="shared" si="29"/>
        <v>0</v>
      </c>
      <c r="AF77" s="339">
        <f t="shared" si="29"/>
        <v>0</v>
      </c>
      <c r="AG77" s="339">
        <f t="shared" si="29"/>
        <v>0</v>
      </c>
      <c r="AH77" s="339">
        <f t="shared" si="29"/>
        <v>0</v>
      </c>
      <c r="AI77" s="339">
        <f t="shared" si="29"/>
        <v>0</v>
      </c>
      <c r="AJ77" s="339">
        <f t="shared" si="29"/>
        <v>0</v>
      </c>
      <c r="AK77" s="339">
        <f t="shared" si="29"/>
        <v>0</v>
      </c>
      <c r="AL77" s="339">
        <f t="shared" si="29"/>
        <v>0</v>
      </c>
      <c r="AM77" s="339">
        <f t="shared" si="29"/>
        <v>0</v>
      </c>
      <c r="AN77" s="339">
        <f t="shared" si="29"/>
        <v>0</v>
      </c>
      <c r="AO77" s="339">
        <f t="shared" si="29"/>
        <v>0</v>
      </c>
      <c r="AP77" s="339">
        <f t="shared" si="29"/>
        <v>0</v>
      </c>
      <c r="AQ77" s="339">
        <f t="shared" si="29"/>
        <v>0</v>
      </c>
      <c r="AR77" s="339">
        <f t="shared" si="29"/>
        <v>0</v>
      </c>
      <c r="AS77" s="339">
        <f t="shared" si="29"/>
        <v>0</v>
      </c>
      <c r="AT77" s="339">
        <f t="shared" si="29"/>
        <v>0</v>
      </c>
      <c r="AU77" s="339">
        <f t="shared" si="29"/>
        <v>0</v>
      </c>
      <c r="AV77" s="339">
        <f t="shared" si="29"/>
        <v>0</v>
      </c>
      <c r="AW77" s="339">
        <f t="shared" si="29"/>
        <v>0</v>
      </c>
      <c r="AX77" s="339">
        <f t="shared" si="29"/>
        <v>0</v>
      </c>
      <c r="AY77" s="339">
        <f t="shared" si="29"/>
        <v>0</v>
      </c>
      <c r="AZ77" s="339">
        <f t="shared" si="29"/>
        <v>0</v>
      </c>
      <c r="BA77" s="339">
        <f t="shared" si="29"/>
        <v>0</v>
      </c>
      <c r="BB77" s="339">
        <f t="shared" si="29"/>
        <v>0</v>
      </c>
      <c r="BC77" s="339">
        <f t="shared" si="29"/>
        <v>0</v>
      </c>
      <c r="BD77" s="339">
        <f t="shared" si="29"/>
        <v>0</v>
      </c>
      <c r="BF77" s="343">
        <f t="shared" si="20"/>
        <v>1753719.3235385979</v>
      </c>
      <c r="BH77" s="343">
        <f t="array" ref="BH77">MAX(IF(D$31:BD$31&gt;=Start_week_for_forecasting,IF(D$31:BD$31&lt;=WeekSuppliedUntil,D77:BD77)))</f>
        <v>950542.09477017773</v>
      </c>
    </row>
    <row r="78" spans="2:70" s="6" customFormat="1" x14ac:dyDescent="0.75">
      <c r="B78" s="341" t="s">
        <v>893</v>
      </c>
      <c r="C78" s="354" t="s">
        <v>977</v>
      </c>
      <c r="D78" s="326">
        <f t="shared" ref="D78:AI78" si="30">IFERROR(D34*Mild_testing_percentage*Tests_for_diagnosis,0)</f>
        <v>4.0000000000000008E-2</v>
      </c>
      <c r="E78" s="326">
        <f t="shared" si="30"/>
        <v>0.11921549569586405</v>
      </c>
      <c r="F78" s="326">
        <f t="shared" si="30"/>
        <v>0.40968499466703223</v>
      </c>
      <c r="G78" s="326">
        <f t="shared" si="30"/>
        <v>1.4078718922259288</v>
      </c>
      <c r="H78" s="326">
        <f t="shared" si="30"/>
        <v>4.8379519810962375</v>
      </c>
      <c r="I78" s="326">
        <f t="shared" si="30"/>
        <v>16.623006425816083</v>
      </c>
      <c r="J78" s="326">
        <f t="shared" si="30"/>
        <v>57.093208693302394</v>
      </c>
      <c r="K78" s="326">
        <f t="shared" si="30"/>
        <v>195.8235255006249</v>
      </c>
      <c r="L78" s="326">
        <f t="shared" si="30"/>
        <v>668.51121471335011</v>
      </c>
      <c r="M78" s="326">
        <f t="shared" si="30"/>
        <v>2246.0910633557942</v>
      </c>
      <c r="N78" s="326">
        <f t="shared" si="30"/>
        <v>7157.8099683807632</v>
      </c>
      <c r="O78" s="326">
        <f t="shared" si="30"/>
        <v>19398.578057767416</v>
      </c>
      <c r="P78" s="326">
        <f t="shared" si="30"/>
        <v>35205.262769265843</v>
      </c>
      <c r="Q78" s="326">
        <f t="shared" si="30"/>
        <v>0</v>
      </c>
      <c r="R78" s="326">
        <f t="shared" si="30"/>
        <v>0</v>
      </c>
      <c r="S78" s="326">
        <f t="shared" si="30"/>
        <v>0</v>
      </c>
      <c r="T78" s="326">
        <f t="shared" si="30"/>
        <v>0</v>
      </c>
      <c r="U78" s="326">
        <f t="shared" si="30"/>
        <v>0</v>
      </c>
      <c r="V78" s="326">
        <f t="shared" si="30"/>
        <v>0</v>
      </c>
      <c r="W78" s="326">
        <f t="shared" si="30"/>
        <v>0</v>
      </c>
      <c r="X78" s="326">
        <f t="shared" si="30"/>
        <v>0</v>
      </c>
      <c r="Y78" s="326">
        <f t="shared" si="30"/>
        <v>0</v>
      </c>
      <c r="Z78" s="326">
        <f t="shared" si="30"/>
        <v>0</v>
      </c>
      <c r="AA78" s="326">
        <f t="shared" si="30"/>
        <v>0</v>
      </c>
      <c r="AB78" s="326">
        <f t="shared" si="30"/>
        <v>0</v>
      </c>
      <c r="AC78" s="326">
        <f t="shared" si="30"/>
        <v>0</v>
      </c>
      <c r="AD78" s="326">
        <f t="shared" si="30"/>
        <v>0</v>
      </c>
      <c r="AE78" s="326">
        <f t="shared" si="30"/>
        <v>0</v>
      </c>
      <c r="AF78" s="326">
        <f t="shared" si="30"/>
        <v>0</v>
      </c>
      <c r="AG78" s="326">
        <f t="shared" si="30"/>
        <v>0</v>
      </c>
      <c r="AH78" s="326">
        <f t="shared" si="30"/>
        <v>0</v>
      </c>
      <c r="AI78" s="326">
        <f t="shared" si="30"/>
        <v>0</v>
      </c>
      <c r="AJ78" s="326">
        <f t="shared" ref="AJ78:BD78" si="31">IFERROR(AJ34*Mild_testing_percentage*Tests_for_diagnosis,0)</f>
        <v>0</v>
      </c>
      <c r="AK78" s="326">
        <f t="shared" si="31"/>
        <v>0</v>
      </c>
      <c r="AL78" s="326">
        <f t="shared" si="31"/>
        <v>0</v>
      </c>
      <c r="AM78" s="326">
        <f t="shared" si="31"/>
        <v>0</v>
      </c>
      <c r="AN78" s="326">
        <f t="shared" si="31"/>
        <v>0</v>
      </c>
      <c r="AO78" s="326">
        <f t="shared" si="31"/>
        <v>0</v>
      </c>
      <c r="AP78" s="326">
        <f t="shared" si="31"/>
        <v>0</v>
      </c>
      <c r="AQ78" s="326">
        <f t="shared" si="31"/>
        <v>0</v>
      </c>
      <c r="AR78" s="326">
        <f t="shared" si="31"/>
        <v>0</v>
      </c>
      <c r="AS78" s="326">
        <f t="shared" si="31"/>
        <v>0</v>
      </c>
      <c r="AT78" s="326">
        <f t="shared" si="31"/>
        <v>0</v>
      </c>
      <c r="AU78" s="326">
        <f t="shared" si="31"/>
        <v>0</v>
      </c>
      <c r="AV78" s="326">
        <f t="shared" si="31"/>
        <v>0</v>
      </c>
      <c r="AW78" s="326">
        <f t="shared" si="31"/>
        <v>0</v>
      </c>
      <c r="AX78" s="326">
        <f t="shared" si="31"/>
        <v>0</v>
      </c>
      <c r="AY78" s="326">
        <f t="shared" si="31"/>
        <v>0</v>
      </c>
      <c r="AZ78" s="326">
        <f t="shared" si="31"/>
        <v>0</v>
      </c>
      <c r="BA78" s="326">
        <f t="shared" si="31"/>
        <v>0</v>
      </c>
      <c r="BB78" s="326">
        <f t="shared" si="31"/>
        <v>0</v>
      </c>
      <c r="BC78" s="326">
        <f t="shared" si="31"/>
        <v>0</v>
      </c>
      <c r="BD78" s="326">
        <f t="shared" si="31"/>
        <v>0</v>
      </c>
      <c r="BF78" s="323">
        <f t="shared" si="20"/>
        <v>64952.567538466596</v>
      </c>
      <c r="BH78" s="323">
        <f t="array" ref="BH78">MAX(IF(D$31:BD$31&gt;=Start_week_for_forecasting,IF(D$31:BD$31&lt;=WeekSuppliedUntil,D78:BD78)))</f>
        <v>35205.262769265843</v>
      </c>
    </row>
    <row r="79" spans="2:70" s="6" customFormat="1" x14ac:dyDescent="0.75">
      <c r="B79" s="341" t="s">
        <v>893</v>
      </c>
      <c r="C79" s="354" t="s">
        <v>991</v>
      </c>
      <c r="D79" s="326">
        <f t="shared" ref="D79:AI79" si="32">IFERROR(D35*Mild_testing_percentage*Tests_for_diagnosis,0)</f>
        <v>4.0000000000000008E-2</v>
      </c>
      <c r="E79" s="326">
        <f t="shared" si="32"/>
        <v>0.11921549569586405</v>
      </c>
      <c r="F79" s="326">
        <f t="shared" si="32"/>
        <v>0.40968499466703223</v>
      </c>
      <c r="G79" s="326">
        <f t="shared" si="32"/>
        <v>1.4078718922259288</v>
      </c>
      <c r="H79" s="326">
        <f t="shared" si="32"/>
        <v>4.8379519810962375</v>
      </c>
      <c r="I79" s="326">
        <f t="shared" si="32"/>
        <v>16.623006425816083</v>
      </c>
      <c r="J79" s="326">
        <f t="shared" si="32"/>
        <v>57.093208693302394</v>
      </c>
      <c r="K79" s="326">
        <f t="shared" si="32"/>
        <v>195.8235255006249</v>
      </c>
      <c r="L79" s="326">
        <f t="shared" si="32"/>
        <v>668.51121471335011</v>
      </c>
      <c r="M79" s="326">
        <f t="shared" si="32"/>
        <v>2246.0910633557942</v>
      </c>
      <c r="N79" s="326">
        <f t="shared" si="32"/>
        <v>7157.8099683807632</v>
      </c>
      <c r="O79" s="326">
        <f t="shared" si="32"/>
        <v>19398.578057767416</v>
      </c>
      <c r="P79" s="326">
        <f t="shared" si="32"/>
        <v>35205.262769265843</v>
      </c>
      <c r="Q79" s="326">
        <f t="shared" si="32"/>
        <v>0</v>
      </c>
      <c r="R79" s="326">
        <f t="shared" si="32"/>
        <v>0</v>
      </c>
      <c r="S79" s="326">
        <f t="shared" si="32"/>
        <v>0</v>
      </c>
      <c r="T79" s="326">
        <f t="shared" si="32"/>
        <v>0</v>
      </c>
      <c r="U79" s="326">
        <f t="shared" si="32"/>
        <v>0</v>
      </c>
      <c r="V79" s="326">
        <f t="shared" si="32"/>
        <v>0</v>
      </c>
      <c r="W79" s="326">
        <f t="shared" si="32"/>
        <v>0</v>
      </c>
      <c r="X79" s="326">
        <f t="shared" si="32"/>
        <v>0</v>
      </c>
      <c r="Y79" s="326">
        <f t="shared" si="32"/>
        <v>0</v>
      </c>
      <c r="Z79" s="326">
        <f t="shared" si="32"/>
        <v>0</v>
      </c>
      <c r="AA79" s="326">
        <f t="shared" si="32"/>
        <v>0</v>
      </c>
      <c r="AB79" s="326">
        <f t="shared" si="32"/>
        <v>0</v>
      </c>
      <c r="AC79" s="326">
        <f t="shared" si="32"/>
        <v>0</v>
      </c>
      <c r="AD79" s="326">
        <f t="shared" si="32"/>
        <v>0</v>
      </c>
      <c r="AE79" s="326">
        <f t="shared" si="32"/>
        <v>0</v>
      </c>
      <c r="AF79" s="326">
        <f t="shared" si="32"/>
        <v>0</v>
      </c>
      <c r="AG79" s="326">
        <f t="shared" si="32"/>
        <v>0</v>
      </c>
      <c r="AH79" s="326">
        <f t="shared" si="32"/>
        <v>0</v>
      </c>
      <c r="AI79" s="326">
        <f t="shared" si="32"/>
        <v>0</v>
      </c>
      <c r="AJ79" s="326">
        <f t="shared" ref="AJ79:BD79" si="33">IFERROR(AJ35*Mild_testing_percentage*Tests_for_diagnosis,0)</f>
        <v>0</v>
      </c>
      <c r="AK79" s="326">
        <f t="shared" si="33"/>
        <v>0</v>
      </c>
      <c r="AL79" s="326">
        <f t="shared" si="33"/>
        <v>0</v>
      </c>
      <c r="AM79" s="326">
        <f t="shared" si="33"/>
        <v>0</v>
      </c>
      <c r="AN79" s="326">
        <f t="shared" si="33"/>
        <v>0</v>
      </c>
      <c r="AO79" s="326">
        <f t="shared" si="33"/>
        <v>0</v>
      </c>
      <c r="AP79" s="326">
        <f t="shared" si="33"/>
        <v>0</v>
      </c>
      <c r="AQ79" s="326">
        <f t="shared" si="33"/>
        <v>0</v>
      </c>
      <c r="AR79" s="326">
        <f t="shared" si="33"/>
        <v>0</v>
      </c>
      <c r="AS79" s="326">
        <f t="shared" si="33"/>
        <v>0</v>
      </c>
      <c r="AT79" s="326">
        <f t="shared" si="33"/>
        <v>0</v>
      </c>
      <c r="AU79" s="326">
        <f t="shared" si="33"/>
        <v>0</v>
      </c>
      <c r="AV79" s="326">
        <f t="shared" si="33"/>
        <v>0</v>
      </c>
      <c r="AW79" s="326">
        <f t="shared" si="33"/>
        <v>0</v>
      </c>
      <c r="AX79" s="326">
        <f t="shared" si="33"/>
        <v>0</v>
      </c>
      <c r="AY79" s="326">
        <f t="shared" si="33"/>
        <v>0</v>
      </c>
      <c r="AZ79" s="326">
        <f t="shared" si="33"/>
        <v>0</v>
      </c>
      <c r="BA79" s="326">
        <f t="shared" si="33"/>
        <v>0</v>
      </c>
      <c r="BB79" s="326">
        <f t="shared" si="33"/>
        <v>0</v>
      </c>
      <c r="BC79" s="326">
        <f t="shared" si="33"/>
        <v>0</v>
      </c>
      <c r="BD79" s="326">
        <f t="shared" si="33"/>
        <v>0</v>
      </c>
      <c r="BF79" s="323">
        <f t="shared" si="20"/>
        <v>64952.567538466596</v>
      </c>
      <c r="BH79" s="323">
        <f t="array" ref="BH79">MAX(IF(D$31:BD$31&gt;=Start_week_for_forecasting,IF(D$31:BD$31&lt;=WeekSuppliedUntil,D79:BD79)))</f>
        <v>35205.262769265843</v>
      </c>
    </row>
    <row r="80" spans="2:70" s="6" customFormat="1" x14ac:dyDescent="0.75">
      <c r="B80" s="341" t="s">
        <v>893</v>
      </c>
      <c r="C80" s="354" t="s">
        <v>978</v>
      </c>
      <c r="D80" s="326">
        <f t="shared" ref="D80:AI80" si="34">IFERROR(D38*Mild_testing_percentage*Tests_for_diagnosis,0)</f>
        <v>1</v>
      </c>
      <c r="E80" s="326">
        <f t="shared" si="34"/>
        <v>2.9803873923966009</v>
      </c>
      <c r="F80" s="326">
        <f t="shared" si="34"/>
        <v>10.242124866675807</v>
      </c>
      <c r="G80" s="326">
        <f t="shared" si="34"/>
        <v>35.196797305648218</v>
      </c>
      <c r="H80" s="326">
        <f t="shared" si="34"/>
        <v>120.94879952740594</v>
      </c>
      <c r="I80" s="326">
        <f t="shared" si="34"/>
        <v>415.57516064540215</v>
      </c>
      <c r="J80" s="326">
        <f t="shared" si="34"/>
        <v>1427.3302173325596</v>
      </c>
      <c r="K80" s="326">
        <f t="shared" si="34"/>
        <v>4895.5881375156232</v>
      </c>
      <c r="L80" s="326">
        <f t="shared" si="34"/>
        <v>16712.780367833751</v>
      </c>
      <c r="M80" s="326">
        <f t="shared" si="34"/>
        <v>56152.276583894854</v>
      </c>
      <c r="N80" s="326">
        <f t="shared" si="34"/>
        <v>178945.24920951904</v>
      </c>
      <c r="O80" s="326">
        <f t="shared" si="34"/>
        <v>484964.45144418534</v>
      </c>
      <c r="P80" s="326">
        <f t="shared" si="34"/>
        <v>880131.56923164602</v>
      </c>
      <c r="Q80" s="326">
        <f t="shared" si="34"/>
        <v>0</v>
      </c>
      <c r="R80" s="326">
        <f t="shared" si="34"/>
        <v>0</v>
      </c>
      <c r="S80" s="326">
        <f t="shared" si="34"/>
        <v>0</v>
      </c>
      <c r="T80" s="326">
        <f t="shared" si="34"/>
        <v>0</v>
      </c>
      <c r="U80" s="326">
        <f t="shared" si="34"/>
        <v>0</v>
      </c>
      <c r="V80" s="326">
        <f t="shared" si="34"/>
        <v>0</v>
      </c>
      <c r="W80" s="326">
        <f t="shared" si="34"/>
        <v>0</v>
      </c>
      <c r="X80" s="326">
        <f t="shared" si="34"/>
        <v>0</v>
      </c>
      <c r="Y80" s="326">
        <f t="shared" si="34"/>
        <v>0</v>
      </c>
      <c r="Z80" s="326">
        <f t="shared" si="34"/>
        <v>0</v>
      </c>
      <c r="AA80" s="326">
        <f t="shared" si="34"/>
        <v>0</v>
      </c>
      <c r="AB80" s="326">
        <f t="shared" si="34"/>
        <v>0</v>
      </c>
      <c r="AC80" s="326">
        <f t="shared" si="34"/>
        <v>0</v>
      </c>
      <c r="AD80" s="326">
        <f t="shared" si="34"/>
        <v>0</v>
      </c>
      <c r="AE80" s="326">
        <f t="shared" si="34"/>
        <v>0</v>
      </c>
      <c r="AF80" s="326">
        <f t="shared" si="34"/>
        <v>0</v>
      </c>
      <c r="AG80" s="326">
        <f t="shared" si="34"/>
        <v>0</v>
      </c>
      <c r="AH80" s="326">
        <f t="shared" si="34"/>
        <v>0</v>
      </c>
      <c r="AI80" s="326">
        <f t="shared" si="34"/>
        <v>0</v>
      </c>
      <c r="AJ80" s="326">
        <f t="shared" ref="AJ80:BD80" si="35">IFERROR(AJ38*Mild_testing_percentage*Tests_for_diagnosis,0)</f>
        <v>0</v>
      </c>
      <c r="AK80" s="326">
        <f t="shared" si="35"/>
        <v>0</v>
      </c>
      <c r="AL80" s="326">
        <f t="shared" si="35"/>
        <v>0</v>
      </c>
      <c r="AM80" s="326">
        <f t="shared" si="35"/>
        <v>0</v>
      </c>
      <c r="AN80" s="326">
        <f t="shared" si="35"/>
        <v>0</v>
      </c>
      <c r="AO80" s="326">
        <f t="shared" si="35"/>
        <v>0</v>
      </c>
      <c r="AP80" s="326">
        <f t="shared" si="35"/>
        <v>0</v>
      </c>
      <c r="AQ80" s="326">
        <f t="shared" si="35"/>
        <v>0</v>
      </c>
      <c r="AR80" s="326">
        <f t="shared" si="35"/>
        <v>0</v>
      </c>
      <c r="AS80" s="326">
        <f t="shared" si="35"/>
        <v>0</v>
      </c>
      <c r="AT80" s="326">
        <f t="shared" si="35"/>
        <v>0</v>
      </c>
      <c r="AU80" s="326">
        <f t="shared" si="35"/>
        <v>0</v>
      </c>
      <c r="AV80" s="326">
        <f t="shared" si="35"/>
        <v>0</v>
      </c>
      <c r="AW80" s="326">
        <f t="shared" si="35"/>
        <v>0</v>
      </c>
      <c r="AX80" s="326">
        <f t="shared" si="35"/>
        <v>0</v>
      </c>
      <c r="AY80" s="326">
        <f t="shared" si="35"/>
        <v>0</v>
      </c>
      <c r="AZ80" s="326">
        <f t="shared" si="35"/>
        <v>0</v>
      </c>
      <c r="BA80" s="326">
        <f t="shared" si="35"/>
        <v>0</v>
      </c>
      <c r="BB80" s="326">
        <f t="shared" si="35"/>
        <v>0</v>
      </c>
      <c r="BC80" s="326">
        <f t="shared" si="35"/>
        <v>0</v>
      </c>
      <c r="BD80" s="326">
        <f t="shared" si="35"/>
        <v>0</v>
      </c>
      <c r="BF80" s="323">
        <f t="shared" si="20"/>
        <v>1623814.1884616646</v>
      </c>
      <c r="BH80" s="323">
        <f t="array" ref="BH80">MAX(IF(D$31:BD$31&gt;=Start_week_for_forecasting,IF(D$31:BD$31&lt;=WeekSuppliedUntil,D80:BD80)))</f>
        <v>880131.56923164602</v>
      </c>
    </row>
    <row r="81" spans="3:70" x14ac:dyDescent="0.75">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3:70" x14ac:dyDescent="0.75">
      <c r="C82" s="6"/>
      <c r="D82" s="140"/>
      <c r="E82" s="30"/>
      <c r="F82" s="30"/>
      <c r="G82" s="30"/>
      <c r="H82" s="30"/>
      <c r="I82" s="30"/>
      <c r="J82" s="30"/>
      <c r="K82" s="30"/>
      <c r="L82" s="30"/>
      <c r="M82" s="30"/>
      <c r="N82" s="30"/>
      <c r="O82" s="30"/>
    </row>
    <row r="83" spans="3:70" x14ac:dyDescent="0.75">
      <c r="D83" s="2"/>
    </row>
    <row r="84" spans="3:70" x14ac:dyDescent="0.75">
      <c r="D84" s="141"/>
      <c r="E84" s="141"/>
    </row>
    <row r="85" spans="3:70" x14ac:dyDescent="0.75">
      <c r="D85" s="30"/>
    </row>
    <row r="86" spans="3:70" x14ac:dyDescent="0.75">
      <c r="D86" s="30"/>
    </row>
    <row r="87" spans="3:70" x14ac:dyDescent="0.75">
      <c r="D87" s="30"/>
    </row>
  </sheetData>
  <sheetProtection algorithmName="SHA-512" hashValue="w+UaeT+0skYKXdg0VYaAHKMbXyT9hc14WSOgltgFhWuUXpNTzCDM6xd34Sj9QdArN8n76jkEBhsWR0VLpzN0eg==" saltValue="CF2HbidrgK2AuH2ljZXGjQ==" spinCount="100000" sheet="1" objects="1" scenarios="1"/>
  <mergeCells count="2">
    <mergeCell ref="D28:P28"/>
    <mergeCell ref="B4:K4"/>
  </mergeCells>
  <hyperlinks>
    <hyperlink ref="G5" location="'User Dashboard'!A1" display="Back to User Dashboard" xr:uid="{00000000-0004-0000-0A00-000000000000}"/>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1" operator="between" id="{038EC0A8-98D2-4D1D-AB75-904C6B9FF3A4}">
            <xm:f>'Back Calculations'!$C$123</xm:f>
            <xm:f>'Back Calculations'!$C$124</xm:f>
            <x14:dxf>
              <font>
                <color rgb="FF9C6500"/>
              </font>
              <fill>
                <patternFill>
                  <bgColor rgb="FFFFEB9C"/>
                </patternFill>
              </fill>
            </x14:dxf>
          </x14:cfRule>
          <xm:sqref>D31:BD31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5" tint="0.39997558519241921"/>
  </sheetPr>
  <dimension ref="A1:B2"/>
  <sheetViews>
    <sheetView showGridLines="0" workbookViewId="0"/>
  </sheetViews>
  <sheetFormatPr defaultColWidth="8.86328125" defaultRowHeight="14.75" x14ac:dyDescent="0.75"/>
  <sheetData>
    <row r="1" spans="1:2" x14ac:dyDescent="0.75">
      <c r="A1" s="132"/>
      <c r="B1" s="132"/>
    </row>
    <row r="2" spans="1:2" x14ac:dyDescent="0.75">
      <c r="A2" s="132"/>
      <c r="B2" s="20" t="s">
        <v>588</v>
      </c>
    </row>
  </sheetData>
  <sheetProtection algorithmName="SHA-512" hashValue="xQWNuX1nyE3GZ742Id/dvKsV9Goqq837OcB0cx04VgRWAjVD+1IJ9pNvhc4Ai7t4Tf+Iavks0loVlZtmt1fu6g==" saltValue="BAAMl9PmnRttruMjcV5EV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theme="5" tint="0.39997558519241921"/>
  </sheetPr>
  <dimension ref="A1:AH240"/>
  <sheetViews>
    <sheetView showGridLines="0" zoomScale="80" zoomScaleNormal="80" workbookViewId="0">
      <pane xSplit="2" topLeftCell="C1" activePane="topRight" state="frozen"/>
      <selection pane="topRight"/>
    </sheetView>
  </sheetViews>
  <sheetFormatPr defaultColWidth="16.40625" defaultRowHeight="14.75" x14ac:dyDescent="0.75"/>
  <cols>
    <col min="1" max="1" width="4.40625" style="132" customWidth="1"/>
    <col min="3" max="3" width="30.40625" style="388" bestFit="1" customWidth="1"/>
    <col min="4" max="4" width="39.40625" customWidth="1"/>
    <col min="5" max="5" width="41.40625" customWidth="1"/>
    <col min="6" max="6" width="23.40625" bestFit="1" customWidth="1"/>
    <col min="7" max="7" width="23.40625" style="132" customWidth="1"/>
    <col min="8" max="8" width="26.40625" style="132" customWidth="1"/>
    <col min="9" max="11" width="29.40625" customWidth="1"/>
    <col min="12" max="12" width="22.40625" bestFit="1" customWidth="1"/>
    <col min="13" max="13" width="32.40625" customWidth="1"/>
    <col min="15" max="15" width="23.40625" style="132" customWidth="1"/>
    <col min="16" max="16" width="24.40625" style="132" customWidth="1"/>
    <col min="17" max="17" width="30.40625" customWidth="1"/>
    <col min="19" max="19" width="32.40625" customWidth="1"/>
    <col min="22" max="22" width="17.40625" style="132" customWidth="1"/>
    <col min="23" max="23" width="18.40625" customWidth="1"/>
    <col min="24" max="24" width="17.40625" customWidth="1"/>
    <col min="25" max="26" width="24.40625" bestFit="1" customWidth="1"/>
  </cols>
  <sheetData>
    <row r="1" spans="1:34" s="132" customFormat="1" x14ac:dyDescent="0.75">
      <c r="B1" s="34"/>
      <c r="C1" s="386"/>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row>
    <row r="2" spans="1:34" s="24" customFormat="1" ht="18.5" x14ac:dyDescent="0.9">
      <c r="B2" s="24" t="s">
        <v>878</v>
      </c>
      <c r="C2" s="387"/>
      <c r="E2" s="25"/>
      <c r="F2" s="25"/>
      <c r="G2" s="25"/>
      <c r="H2" s="25"/>
      <c r="I2" s="25"/>
    </row>
    <row r="3" spans="1:34" ht="15.5" thickBot="1" x14ac:dyDescent="0.9">
      <c r="A3"/>
      <c r="C3"/>
      <c r="G3"/>
      <c r="H3"/>
      <c r="O3"/>
      <c r="P3"/>
      <c r="V3"/>
    </row>
    <row r="4" spans="1:34" s="132" customFormat="1" ht="15.5" thickBot="1" x14ac:dyDescent="0.9">
      <c r="C4" s="388"/>
      <c r="F4" s="170" t="s">
        <v>1441</v>
      </c>
      <c r="G4" s="34"/>
      <c r="H4" s="34"/>
    </row>
    <row r="5" spans="1:34" s="132" customFormat="1" x14ac:dyDescent="0.75">
      <c r="B5" s="132" t="s">
        <v>1865</v>
      </c>
      <c r="C5" s="388"/>
      <c r="F5" s="169" t="s">
        <v>1446</v>
      </c>
      <c r="G5"/>
      <c r="H5" s="34"/>
    </row>
    <row r="6" spans="1:34" s="132" customFormat="1" x14ac:dyDescent="0.75">
      <c r="B6" s="132" t="s">
        <v>1866</v>
      </c>
      <c r="C6" s="388"/>
      <c r="F6" s="169" t="s">
        <v>698</v>
      </c>
    </row>
    <row r="7" spans="1:34" s="132" customFormat="1" ht="15.5" thickBot="1" x14ac:dyDescent="0.9">
      <c r="B7" s="132" t="s">
        <v>1867</v>
      </c>
      <c r="C7" s="388"/>
      <c r="F7" s="779" t="s">
        <v>1014</v>
      </c>
    </row>
    <row r="8" spans="1:34" ht="29.45" customHeight="1" x14ac:dyDescent="0.75">
      <c r="B8" s="965" t="s">
        <v>1582</v>
      </c>
    </row>
    <row r="9" spans="1:34" s="26" customFormat="1" ht="15" customHeight="1" x14ac:dyDescent="0.75">
      <c r="A9" s="209" t="s">
        <v>884</v>
      </c>
      <c r="B9" s="180" t="str">
        <f>"Weekly Patient Calculations: "&amp;'User Dashboard'!C12&amp;" selected on User Dashboard tab"</f>
        <v>Weekly Patient Calculations: SIR Model selected on User Dashboard tab</v>
      </c>
      <c r="C9" s="389"/>
    </row>
    <row r="10" spans="1:34" ht="15.5" thickBot="1" x14ac:dyDescent="0.9"/>
    <row r="11" spans="1:34" ht="31.4" customHeight="1" thickBot="1" x14ac:dyDescent="0.9">
      <c r="B11" s="365" t="s">
        <v>691</v>
      </c>
      <c r="C11" s="1542" t="s">
        <v>876</v>
      </c>
      <c r="D11" s="1543"/>
      <c r="E11" s="1542" t="s">
        <v>870</v>
      </c>
      <c r="F11" s="1543"/>
      <c r="G11" s="1542" t="s">
        <v>996</v>
      </c>
      <c r="H11" s="1543"/>
      <c r="I11" s="1542" t="s">
        <v>871</v>
      </c>
      <c r="J11" s="1543"/>
      <c r="K11" s="1542" t="s">
        <v>872</v>
      </c>
      <c r="L11" s="1543"/>
      <c r="M11" s="1542" t="s">
        <v>873</v>
      </c>
      <c r="N11" s="1543"/>
      <c r="O11" s="1542" t="s">
        <v>995</v>
      </c>
      <c r="P11" s="1543"/>
      <c r="Q11" s="1542" t="s">
        <v>874</v>
      </c>
      <c r="R11" s="1543"/>
      <c r="S11" s="1542" t="s">
        <v>875</v>
      </c>
      <c r="T11" s="1543"/>
      <c r="U11" s="1542" t="s">
        <v>1142</v>
      </c>
      <c r="V11" s="1544"/>
      <c r="W11" s="1544"/>
      <c r="X11" s="1543"/>
      <c r="Y11" s="1544" t="s">
        <v>877</v>
      </c>
      <c r="Z11" s="1543"/>
    </row>
    <row r="12" spans="1:34" s="28" customFormat="1" ht="45" thickBot="1" x14ac:dyDescent="0.9">
      <c r="B12" s="62" t="s">
        <v>691</v>
      </c>
      <c r="C12" s="434" t="s">
        <v>692</v>
      </c>
      <c r="D12" s="419" t="s">
        <v>703</v>
      </c>
      <c r="E12" s="418" t="s">
        <v>662</v>
      </c>
      <c r="F12" s="419" t="s">
        <v>663</v>
      </c>
      <c r="G12" s="366" t="s">
        <v>984</v>
      </c>
      <c r="H12" s="366" t="s">
        <v>985</v>
      </c>
      <c r="I12" s="418" t="s">
        <v>664</v>
      </c>
      <c r="J12" s="419" t="s">
        <v>665</v>
      </c>
      <c r="K12" s="418" t="s">
        <v>666</v>
      </c>
      <c r="L12" s="419" t="s">
        <v>667</v>
      </c>
      <c r="M12" s="435" t="s">
        <v>668</v>
      </c>
      <c r="N12" s="419" t="s">
        <v>669</v>
      </c>
      <c r="O12" s="418" t="s">
        <v>986</v>
      </c>
      <c r="P12" s="419" t="s">
        <v>987</v>
      </c>
      <c r="Q12" s="418" t="s">
        <v>670</v>
      </c>
      <c r="R12" s="419" t="s">
        <v>671</v>
      </c>
      <c r="S12" s="418" t="s">
        <v>672</v>
      </c>
      <c r="T12" s="419" t="s">
        <v>673</v>
      </c>
      <c r="U12" s="436" t="s">
        <v>674</v>
      </c>
      <c r="V12" s="437" t="s">
        <v>988</v>
      </c>
      <c r="W12" s="437" t="s">
        <v>675</v>
      </c>
      <c r="X12" s="438" t="s">
        <v>676</v>
      </c>
      <c r="Y12" s="418" t="s">
        <v>677</v>
      </c>
      <c r="Z12" s="419" t="s">
        <v>678</v>
      </c>
    </row>
    <row r="13" spans="1:34" x14ac:dyDescent="0.75">
      <c r="B13" s="174">
        <f>IF('User Dashboard'!C$12="SIR Model",IF(B130&gt;('User Dashboard'!$H$12+'User Dashboard'!$H$13),"",B130),IF('User Dashboard'!C$12="Manual Entry",IF(B73&gt;('User Dashboard'!$H$12+'User Dashboard'!$H$13),"",B73),IF('User Dashboard'!C$12="Exponential Growth",B187)))</f>
        <v>0</v>
      </c>
      <c r="C13" s="1186">
        <f>IF(B13="","",IF('User Dashboard'!C$12="SIR Model",VLOOKUP(B13,B$130:C$182,2,FALSE),IF('User Dashboard'!C$12="Manual Entry",VLOOKUP(B13,B$73:C$125,2,FALSE),IF('User Dashboard'!C$12="Exponential Growth",VLOOKUP(B13,B$187:D$240,3,FALSE),""))))</f>
        <v>1</v>
      </c>
      <c r="D13" s="175">
        <f>IFERROR(IF(B13="","",IF(B13=0,C13,C13-C12)),"")</f>
        <v>1</v>
      </c>
      <c r="E13" s="174">
        <f t="shared" ref="E13:E44" si="0">IFERROR(C13*MildCasePercentage,"")</f>
        <v>0.4</v>
      </c>
      <c r="F13" s="175">
        <f t="shared" ref="F13:F44" si="1">IFERROR(D13*MildCasePercentage,"")</f>
        <v>0.4</v>
      </c>
      <c r="G13" s="174">
        <f t="shared" ref="G13:G44" si="2">IFERROR(C13*ModerateCasePercentage,"")</f>
        <v>0.4</v>
      </c>
      <c r="H13" s="176">
        <f t="shared" ref="H13:H44" si="3">IFERROR(D13*ModerateCasePercentage,"")</f>
        <v>0.4</v>
      </c>
      <c r="I13" s="174">
        <f t="shared" ref="I13:I44" si="4">IFERROR(C13*SevereCasePercentage,"")</f>
        <v>0.15</v>
      </c>
      <c r="J13" s="175">
        <f t="shared" ref="J13:J44" si="5">IFERROR(D13*SevereCasePercentage,"")</f>
        <v>0.15</v>
      </c>
      <c r="K13" s="174">
        <f t="shared" ref="K13:K44" si="6">IFERROR(C13*CritcalCasePercentage,"")</f>
        <v>0.05</v>
      </c>
      <c r="L13" s="175">
        <f t="shared" ref="L13:L44" si="7">IFERROR(D13*CritcalCasePercentage,"")</f>
        <v>0.05</v>
      </c>
      <c r="M13" s="174">
        <f t="shared" ref="M13:M44" ca="1" si="8">IFERROR(IF(B13="","",IF(B13&lt;SelfQuarantine_Mild,0,OFFSET(E13,-1*SelfQuarantine_Mild,0))),"")</f>
        <v>0</v>
      </c>
      <c r="N13" s="175">
        <f t="shared" ref="N13:N44" ca="1" si="9">IFERROR(IF(B13="","",IF(B13&lt;SelfQuarantine_Mild,0,OFFSET(F13,-1*SelfQuarantine_Mild,0))),"")</f>
        <v>0</v>
      </c>
      <c r="O13" s="174">
        <f t="shared" ref="O13:O44" ca="1" si="10">IFERROR(IF(B13="","",IF(B13&lt;SelfQuarantine_Moderate,0,OFFSET(G13,-1*SelfQuarantine_Moderate,0))),"")</f>
        <v>0</v>
      </c>
      <c r="P13" s="175">
        <f t="shared" ref="P13:P44" ca="1" si="11">IFERROR(IF(B13="","",IF(B13&lt;SelfQuarantine_Moderate,0,OFFSET(H13,-1*SelfQuarantine_Moderate,0))),"")</f>
        <v>0</v>
      </c>
      <c r="Q13" s="174">
        <f t="shared" ref="Q13:Q44" ca="1" si="12">IFERROR(IF(B13="","",IF(B13&lt;BedStay_Severe,0,OFFSET(I13,-1*BedStay_Severe,0))),"")</f>
        <v>0</v>
      </c>
      <c r="R13" s="175">
        <f t="shared" ref="R13:R44" ca="1" si="13">IFERROR(IF(B13="","",IF(B13&lt;BedStay_Severe,0,OFFSET(J13,-1*BedStay_Severe,0))),"")</f>
        <v>0</v>
      </c>
      <c r="S13" s="174">
        <f t="shared" ref="S13:S44" ca="1" si="14">IFERROR(IF(B13="","",IF(B13&lt;BedStay_Critical,0,OFFSET(K13,-1*BedStay_Critical,0))),"")</f>
        <v>0</v>
      </c>
      <c r="T13" s="176">
        <f t="shared" ref="T13:T44" ca="1" si="15">IFERROR(IF(B13="","",IF(B13&lt;BedStay_Critical,0,OFFSET(L13,-1*BedStay_Critical,0))),"")</f>
        <v>0</v>
      </c>
      <c r="U13" s="174">
        <f t="shared" ref="U13:U44" ca="1" si="16">IFERROR(E13-M13,"")</f>
        <v>0.4</v>
      </c>
      <c r="V13" s="176">
        <f t="shared" ref="V13:V44" ca="1" si="17">IFERROR(G13-O13,"")</f>
        <v>0.4</v>
      </c>
      <c r="W13" s="176">
        <f ca="1">IFERROR(I13-Q13,"")</f>
        <v>0.15</v>
      </c>
      <c r="X13" s="175">
        <f t="shared" ref="X13:X44" ca="1" si="18">IFERROR(K13-S13,"")</f>
        <v>0.05</v>
      </c>
      <c r="Y13" s="176">
        <f t="shared" ref="Y13:Y44" si="19">IFERROR(C13*SuspectedCaseMultiplier,"")</f>
        <v>10</v>
      </c>
      <c r="Z13" s="175">
        <f t="shared" ref="Z13:Z44" si="20">IFERROR(D13*SuspectedCaseMultiplier,"")</f>
        <v>10</v>
      </c>
    </row>
    <row r="14" spans="1:34" x14ac:dyDescent="0.75">
      <c r="B14" s="59">
        <f>IF('User Dashboard'!C$12="SIR Model",IF(B131&gt;('User Dashboard'!$H$12+'User Dashboard'!$H$13),"",B131),IF('User Dashboard'!C$12="Manual Entry",IF(B74&gt;('User Dashboard'!$H$12+'User Dashboard'!$H$13),"",B74),IF('User Dashboard'!C$12="Exponential Growth",B188)))</f>
        <v>1</v>
      </c>
      <c r="C14" s="385">
        <f>IF(B14="","",IF('User Dashboard'!C$12="SIR Model",VLOOKUP(B14,B$130:C$182,2,FALSE),IF('User Dashboard'!C$12="Manual Entry",VLOOKUP(B14,B$73:C$125,2,FALSE),IF('User Dashboard'!C$12="Exponential Growth",VLOOKUP(B14,B$187:D$240,3,FALSE),""))))</f>
        <v>3.9803873923966009</v>
      </c>
      <c r="D14" s="60">
        <f t="shared" ref="D14:D44" si="21">IFERROR(IF(B14="","",IF(B14=0,C14,C14-C13)),"")</f>
        <v>2.9803873923966009</v>
      </c>
      <c r="E14" s="59">
        <f t="shared" si="0"/>
        <v>1.5921549569586404</v>
      </c>
      <c r="F14" s="60">
        <f t="shared" si="1"/>
        <v>1.1921549569586405</v>
      </c>
      <c r="G14" s="61">
        <f t="shared" si="2"/>
        <v>1.5921549569586404</v>
      </c>
      <c r="H14" s="61">
        <f t="shared" si="3"/>
        <v>1.1921549569586405</v>
      </c>
      <c r="I14" s="59">
        <f t="shared" si="4"/>
        <v>0.59705810885949007</v>
      </c>
      <c r="J14" s="60">
        <f t="shared" si="5"/>
        <v>0.4470581088594901</v>
      </c>
      <c r="K14" s="59">
        <f t="shared" si="6"/>
        <v>0.19901936961983005</v>
      </c>
      <c r="L14" s="60">
        <f t="shared" si="7"/>
        <v>0.14901936961983006</v>
      </c>
      <c r="M14" s="59">
        <f t="shared" ca="1" si="8"/>
        <v>0</v>
      </c>
      <c r="N14" s="60">
        <f t="shared" ca="1" si="9"/>
        <v>0</v>
      </c>
      <c r="O14" s="59">
        <f t="shared" ca="1" si="10"/>
        <v>0</v>
      </c>
      <c r="P14" s="60">
        <f t="shared" ca="1" si="11"/>
        <v>0</v>
      </c>
      <c r="Q14" s="59">
        <f t="shared" ca="1" si="12"/>
        <v>0.15</v>
      </c>
      <c r="R14" s="60">
        <f t="shared" ca="1" si="13"/>
        <v>0.15</v>
      </c>
      <c r="S14" s="59">
        <f t="shared" ca="1" si="14"/>
        <v>0</v>
      </c>
      <c r="T14" s="61">
        <f t="shared" ca="1" si="15"/>
        <v>0</v>
      </c>
      <c r="U14" s="59">
        <f t="shared" ca="1" si="16"/>
        <v>1.5921549569586404</v>
      </c>
      <c r="V14" s="61">
        <f t="shared" ca="1" si="17"/>
        <v>1.5921549569586404</v>
      </c>
      <c r="W14" s="61">
        <f t="shared" ref="W14:W44" ca="1" si="22">IFERROR(I14-Q14,"")</f>
        <v>0.44705810885949004</v>
      </c>
      <c r="X14" s="60">
        <f t="shared" ca="1" si="18"/>
        <v>0.19901936961983005</v>
      </c>
      <c r="Y14" s="61">
        <f t="shared" si="19"/>
        <v>39.803873923966009</v>
      </c>
      <c r="Z14" s="60">
        <f t="shared" si="20"/>
        <v>29.803873923966009</v>
      </c>
    </row>
    <row r="15" spans="1:34" x14ac:dyDescent="0.75">
      <c r="B15" s="59">
        <f>IF('User Dashboard'!C$12="SIR Model",IF(B132&gt;('User Dashboard'!$H$12+'User Dashboard'!$H$13),"",B132),IF('User Dashboard'!C$12="Manual Entry",IF(B75&gt;('User Dashboard'!$H$12+'User Dashboard'!$H$13),"",B75),IF('User Dashboard'!C$12="Exponential Growth",B189)))</f>
        <v>2</v>
      </c>
      <c r="C15" s="385">
        <f>IF(B15="","",IF('User Dashboard'!C$12="SIR Model",VLOOKUP(B15,B$130:C$182,2,FALSE),IF('User Dashboard'!C$12="Manual Entry",VLOOKUP(B15,B$73:C$125,2,FALSE),IF('User Dashboard'!C$12="Exponential Growth",VLOOKUP(B15,B$187:D$240,3,FALSE),""))))</f>
        <v>14.222512259072406</v>
      </c>
      <c r="D15" s="60">
        <f t="shared" si="21"/>
        <v>10.242124866675805</v>
      </c>
      <c r="E15" s="59">
        <f t="shared" si="0"/>
        <v>5.6890049036289625</v>
      </c>
      <c r="F15" s="60">
        <f t="shared" si="1"/>
        <v>4.0968499466703223</v>
      </c>
      <c r="G15" s="61">
        <f t="shared" si="2"/>
        <v>5.6890049036289625</v>
      </c>
      <c r="H15" s="61">
        <f t="shared" si="3"/>
        <v>4.0968499466703223</v>
      </c>
      <c r="I15" s="59">
        <f t="shared" si="4"/>
        <v>2.1333768388608609</v>
      </c>
      <c r="J15" s="60">
        <f t="shared" si="5"/>
        <v>1.5363187300013708</v>
      </c>
      <c r="K15" s="59">
        <f t="shared" si="6"/>
        <v>0.71112561295362031</v>
      </c>
      <c r="L15" s="60">
        <f t="shared" si="7"/>
        <v>0.51210624333379029</v>
      </c>
      <c r="M15" s="59">
        <f t="shared" ca="1" si="8"/>
        <v>0.4</v>
      </c>
      <c r="N15" s="60">
        <f t="shared" ca="1" si="9"/>
        <v>0.4</v>
      </c>
      <c r="O15" s="59">
        <f t="shared" ca="1" si="10"/>
        <v>0.4</v>
      </c>
      <c r="P15" s="60">
        <f t="shared" ca="1" si="11"/>
        <v>0.4</v>
      </c>
      <c r="Q15" s="59">
        <f t="shared" ca="1" si="12"/>
        <v>0.59705810885949007</v>
      </c>
      <c r="R15" s="60">
        <f t="shared" ca="1" si="13"/>
        <v>0.4470581088594901</v>
      </c>
      <c r="S15" s="59">
        <f t="shared" ca="1" si="14"/>
        <v>0.05</v>
      </c>
      <c r="T15" s="61">
        <f t="shared" ca="1" si="15"/>
        <v>0.05</v>
      </c>
      <c r="U15" s="59">
        <f t="shared" ca="1" si="16"/>
        <v>5.2890049036289621</v>
      </c>
      <c r="V15" s="61">
        <f t="shared" ca="1" si="17"/>
        <v>5.2890049036289621</v>
      </c>
      <c r="W15" s="61">
        <f t="shared" ca="1" si="22"/>
        <v>1.536318730001371</v>
      </c>
      <c r="X15" s="60">
        <f t="shared" ca="1" si="18"/>
        <v>0.66112561295362027</v>
      </c>
      <c r="Y15" s="61">
        <f t="shared" si="19"/>
        <v>142.22512259072406</v>
      </c>
      <c r="Z15" s="60">
        <f t="shared" si="20"/>
        <v>102.42124866675806</v>
      </c>
    </row>
    <row r="16" spans="1:34" x14ac:dyDescent="0.75">
      <c r="B16" s="59">
        <f>IF('User Dashboard'!C$12="SIR Model",IF(B133&gt;('User Dashboard'!$H$12+'User Dashboard'!$H$13),"",B133),IF('User Dashboard'!C$12="Manual Entry",IF(B76&gt;('User Dashboard'!$H$12+'User Dashboard'!$H$13),"",B76),IF('User Dashboard'!C$12="Exponential Growth",B190)))</f>
        <v>3</v>
      </c>
      <c r="C16" s="385">
        <f>IF(B16="","",IF('User Dashboard'!C$12="SIR Model",VLOOKUP(B16,B$130:C$182,2,FALSE),IF('User Dashboard'!C$12="Manual Entry",VLOOKUP(B16,B$73:C$125,2,FALSE),IF('User Dashboard'!C$12="Exponential Growth",VLOOKUP(B16,B$187:D$240,3,FALSE),""))))</f>
        <v>49.419309564720628</v>
      </c>
      <c r="D16" s="60">
        <f t="shared" si="21"/>
        <v>35.196797305648218</v>
      </c>
      <c r="E16" s="59">
        <f t="shared" si="0"/>
        <v>19.767723825888254</v>
      </c>
      <c r="F16" s="60">
        <f t="shared" si="1"/>
        <v>14.078718922259288</v>
      </c>
      <c r="G16" s="61">
        <f t="shared" si="2"/>
        <v>19.767723825888254</v>
      </c>
      <c r="H16" s="61">
        <f t="shared" si="3"/>
        <v>14.078718922259288</v>
      </c>
      <c r="I16" s="59">
        <f t="shared" si="4"/>
        <v>7.4128964347080935</v>
      </c>
      <c r="J16" s="60">
        <f t="shared" si="5"/>
        <v>5.2795195958472325</v>
      </c>
      <c r="K16" s="59">
        <f t="shared" si="6"/>
        <v>2.4709654782360317</v>
      </c>
      <c r="L16" s="60">
        <f t="shared" si="7"/>
        <v>1.759839865282411</v>
      </c>
      <c r="M16" s="59">
        <f t="shared" ca="1" si="8"/>
        <v>1.5921549569586404</v>
      </c>
      <c r="N16" s="60">
        <f t="shared" ca="1" si="9"/>
        <v>1.1921549569586405</v>
      </c>
      <c r="O16" s="59">
        <f t="shared" ca="1" si="10"/>
        <v>1.5921549569586404</v>
      </c>
      <c r="P16" s="60">
        <f t="shared" ca="1" si="11"/>
        <v>1.1921549569586405</v>
      </c>
      <c r="Q16" s="59">
        <f t="shared" ca="1" si="12"/>
        <v>2.1333768388608609</v>
      </c>
      <c r="R16" s="60">
        <f t="shared" ca="1" si="13"/>
        <v>1.5363187300013708</v>
      </c>
      <c r="S16" s="59">
        <f t="shared" ca="1" si="14"/>
        <v>0.19901936961983005</v>
      </c>
      <c r="T16" s="61">
        <f t="shared" ca="1" si="15"/>
        <v>0.14901936961983006</v>
      </c>
      <c r="U16" s="59">
        <f t="shared" ca="1" si="16"/>
        <v>18.175568868929613</v>
      </c>
      <c r="V16" s="61">
        <f t="shared" ca="1" si="17"/>
        <v>18.175568868929613</v>
      </c>
      <c r="W16" s="61">
        <f t="shared" ca="1" si="22"/>
        <v>5.2795195958472325</v>
      </c>
      <c r="X16" s="60">
        <f t="shared" ca="1" si="18"/>
        <v>2.2719461086162016</v>
      </c>
      <c r="Y16" s="61">
        <f t="shared" si="19"/>
        <v>494.19309564720629</v>
      </c>
      <c r="Z16" s="60">
        <f t="shared" si="20"/>
        <v>351.96797305648215</v>
      </c>
    </row>
    <row r="17" spans="2:26" x14ac:dyDescent="0.75">
      <c r="B17" s="59">
        <f>IF('User Dashboard'!C$12="SIR Model",IF(B134&gt;('User Dashboard'!$H$12+'User Dashboard'!$H$13),"",B134),IF('User Dashboard'!C$12="Manual Entry",IF(B77&gt;('User Dashboard'!$H$12+'User Dashboard'!$H$13),"",B77),IF('User Dashboard'!C$12="Exponential Growth",B191)))</f>
        <v>4</v>
      </c>
      <c r="C17" s="385">
        <f>IF(B17="","",IF('User Dashboard'!C$12="SIR Model",VLOOKUP(B17,B$130:C$182,2,FALSE),IF('User Dashboard'!C$12="Manual Entry",VLOOKUP(B17,B$73:C$125,2,FALSE),IF('User Dashboard'!C$12="Exponential Growth",VLOOKUP(B17,B$187:D$240,3,FALSE),""))))</f>
        <v>170.36810909212656</v>
      </c>
      <c r="D17" s="60">
        <f t="shared" si="21"/>
        <v>120.94879952740592</v>
      </c>
      <c r="E17" s="59">
        <f t="shared" si="0"/>
        <v>68.147243636850632</v>
      </c>
      <c r="F17" s="60">
        <f t="shared" si="1"/>
        <v>48.379519810962371</v>
      </c>
      <c r="G17" s="61">
        <f t="shared" si="2"/>
        <v>68.147243636850632</v>
      </c>
      <c r="H17" s="61">
        <f t="shared" si="3"/>
        <v>48.379519810962371</v>
      </c>
      <c r="I17" s="59">
        <f t="shared" si="4"/>
        <v>25.555216363818982</v>
      </c>
      <c r="J17" s="60">
        <f t="shared" si="5"/>
        <v>18.142319929110887</v>
      </c>
      <c r="K17" s="59">
        <f t="shared" si="6"/>
        <v>8.518405454606329</v>
      </c>
      <c r="L17" s="60">
        <f t="shared" si="7"/>
        <v>6.0474399763702964</v>
      </c>
      <c r="M17" s="59">
        <f t="shared" ca="1" si="8"/>
        <v>5.6890049036289625</v>
      </c>
      <c r="N17" s="60">
        <f t="shared" ca="1" si="9"/>
        <v>4.0968499466703223</v>
      </c>
      <c r="O17" s="59">
        <f t="shared" ca="1" si="10"/>
        <v>5.6890049036289625</v>
      </c>
      <c r="P17" s="60">
        <f t="shared" ca="1" si="11"/>
        <v>4.0968499466703223</v>
      </c>
      <c r="Q17" s="59">
        <f t="shared" ca="1" si="12"/>
        <v>7.4128964347080935</v>
      </c>
      <c r="R17" s="60">
        <f t="shared" ca="1" si="13"/>
        <v>5.2795195958472325</v>
      </c>
      <c r="S17" s="59">
        <f t="shared" ca="1" si="14"/>
        <v>0.71112561295362031</v>
      </c>
      <c r="T17" s="61">
        <f t="shared" ca="1" si="15"/>
        <v>0.51210624333379029</v>
      </c>
      <c r="U17" s="59">
        <f t="shared" ca="1" si="16"/>
        <v>62.45823873322167</v>
      </c>
      <c r="V17" s="61">
        <f t="shared" ca="1" si="17"/>
        <v>62.45823873322167</v>
      </c>
      <c r="W17" s="61">
        <f t="shared" ca="1" si="22"/>
        <v>18.14231992911089</v>
      </c>
      <c r="X17" s="60">
        <f t="shared" ca="1" si="18"/>
        <v>7.8072798416527087</v>
      </c>
      <c r="Y17" s="61">
        <f t="shared" si="19"/>
        <v>1703.6810909212656</v>
      </c>
      <c r="Z17" s="60">
        <f t="shared" si="20"/>
        <v>1209.4879952740594</v>
      </c>
    </row>
    <row r="18" spans="2:26" x14ac:dyDescent="0.75">
      <c r="B18" s="59">
        <f>IF('User Dashboard'!C$12="SIR Model",IF(B135&gt;('User Dashboard'!$H$12+'User Dashboard'!$H$13),"",B135),IF('User Dashboard'!C$12="Manual Entry",IF(B78&gt;('User Dashboard'!$H$12+'User Dashboard'!$H$13),"",B78),IF('User Dashboard'!C$12="Exponential Growth",B192)))</f>
        <v>5</v>
      </c>
      <c r="C18" s="385">
        <f>IF(B18="","",IF('User Dashboard'!C$12="SIR Model",VLOOKUP(B18,B$130:C$182,2,FALSE),IF('User Dashboard'!C$12="Manual Entry",VLOOKUP(B18,B$73:C$125,2,FALSE),IF('User Dashboard'!C$12="Exponential Growth",VLOOKUP(B18,B$187:D$240,3,FALSE),""))))</f>
        <v>585.94326973752868</v>
      </c>
      <c r="D18" s="60">
        <f t="shared" si="21"/>
        <v>415.57516064540209</v>
      </c>
      <c r="E18" s="59">
        <f t="shared" si="0"/>
        <v>234.37730789501148</v>
      </c>
      <c r="F18" s="60">
        <f t="shared" si="1"/>
        <v>166.23006425816084</v>
      </c>
      <c r="G18" s="61">
        <f t="shared" si="2"/>
        <v>234.37730789501148</v>
      </c>
      <c r="H18" s="61">
        <f t="shared" si="3"/>
        <v>166.23006425816084</v>
      </c>
      <c r="I18" s="59">
        <f t="shared" si="4"/>
        <v>87.891490460629299</v>
      </c>
      <c r="J18" s="60">
        <f t="shared" si="5"/>
        <v>62.336274096810314</v>
      </c>
      <c r="K18" s="59">
        <f t="shared" si="6"/>
        <v>29.297163486876435</v>
      </c>
      <c r="L18" s="60">
        <f t="shared" si="7"/>
        <v>20.778758032270105</v>
      </c>
      <c r="M18" s="59">
        <f t="shared" ca="1" si="8"/>
        <v>19.767723825888254</v>
      </c>
      <c r="N18" s="60">
        <f t="shared" ca="1" si="9"/>
        <v>14.078718922259288</v>
      </c>
      <c r="O18" s="59">
        <f t="shared" ca="1" si="10"/>
        <v>19.767723825888254</v>
      </c>
      <c r="P18" s="60">
        <f t="shared" ca="1" si="11"/>
        <v>14.078718922259288</v>
      </c>
      <c r="Q18" s="59">
        <f t="shared" ca="1" si="12"/>
        <v>25.555216363818982</v>
      </c>
      <c r="R18" s="60">
        <f t="shared" ca="1" si="13"/>
        <v>18.142319929110887</v>
      </c>
      <c r="S18" s="59">
        <f t="shared" ca="1" si="14"/>
        <v>2.4709654782360317</v>
      </c>
      <c r="T18" s="61">
        <f t="shared" ca="1" si="15"/>
        <v>1.759839865282411</v>
      </c>
      <c r="U18" s="59">
        <f t="shared" ca="1" si="16"/>
        <v>214.60958406912323</v>
      </c>
      <c r="V18" s="61">
        <f t="shared" ca="1" si="17"/>
        <v>214.60958406912323</v>
      </c>
      <c r="W18" s="61">
        <f t="shared" ca="1" si="22"/>
        <v>62.336274096810314</v>
      </c>
      <c r="X18" s="60">
        <f t="shared" ca="1" si="18"/>
        <v>26.826198008640404</v>
      </c>
      <c r="Y18" s="61">
        <f t="shared" si="19"/>
        <v>5859.4326973752868</v>
      </c>
      <c r="Z18" s="60">
        <f t="shared" si="20"/>
        <v>4155.7516064540214</v>
      </c>
    </row>
    <row r="19" spans="2:26" x14ac:dyDescent="0.75">
      <c r="B19" s="59">
        <f>IF('User Dashboard'!C$12="SIR Model",IF(B136&gt;('User Dashboard'!$H$12+'User Dashboard'!$H$13),"",B136),IF('User Dashboard'!C$12="Manual Entry",IF(B79&gt;('User Dashboard'!$H$12+'User Dashboard'!$H$13),"",B79),IF('User Dashboard'!C$12="Exponential Growth",B193)))</f>
        <v>6</v>
      </c>
      <c r="C19" s="385">
        <f>IF(B19="","",IF('User Dashboard'!C$12="SIR Model",VLOOKUP(B19,B$130:C$182,2,FALSE),IF('User Dashboard'!C$12="Manual Entry",VLOOKUP(B19,B$73:C$125,2,FALSE),IF('User Dashboard'!C$12="Exponential Growth",VLOOKUP(B19,B$187:D$240,3,FALSE),""))))</f>
        <v>2013.2734870700883</v>
      </c>
      <c r="D19" s="60">
        <f t="shared" si="21"/>
        <v>1427.3302173325596</v>
      </c>
      <c r="E19" s="59">
        <f t="shared" si="0"/>
        <v>805.30939482803535</v>
      </c>
      <c r="F19" s="60">
        <f t="shared" si="1"/>
        <v>570.93208693302392</v>
      </c>
      <c r="G19" s="61">
        <f t="shared" si="2"/>
        <v>805.30939482803535</v>
      </c>
      <c r="H19" s="61">
        <f t="shared" si="3"/>
        <v>570.93208693302392</v>
      </c>
      <c r="I19" s="59">
        <f t="shared" si="4"/>
        <v>301.99102306051321</v>
      </c>
      <c r="J19" s="60">
        <f t="shared" si="5"/>
        <v>214.09953259988393</v>
      </c>
      <c r="K19" s="59">
        <f t="shared" si="6"/>
        <v>100.66367435350442</v>
      </c>
      <c r="L19" s="60">
        <f t="shared" si="7"/>
        <v>71.366510866627991</v>
      </c>
      <c r="M19" s="59">
        <f t="shared" ca="1" si="8"/>
        <v>68.147243636850632</v>
      </c>
      <c r="N19" s="60">
        <f t="shared" ca="1" si="9"/>
        <v>48.379519810962371</v>
      </c>
      <c r="O19" s="59">
        <f t="shared" ca="1" si="10"/>
        <v>68.147243636850632</v>
      </c>
      <c r="P19" s="60">
        <f t="shared" ca="1" si="11"/>
        <v>48.379519810962371</v>
      </c>
      <c r="Q19" s="59">
        <f t="shared" ca="1" si="12"/>
        <v>87.891490460629299</v>
      </c>
      <c r="R19" s="60">
        <f t="shared" ca="1" si="13"/>
        <v>62.336274096810314</v>
      </c>
      <c r="S19" s="59">
        <f t="shared" ca="1" si="14"/>
        <v>8.518405454606329</v>
      </c>
      <c r="T19" s="61">
        <f t="shared" ca="1" si="15"/>
        <v>6.0474399763702964</v>
      </c>
      <c r="U19" s="59">
        <f t="shared" ca="1" si="16"/>
        <v>737.16215119118476</v>
      </c>
      <c r="V19" s="61">
        <f t="shared" ca="1" si="17"/>
        <v>737.16215119118476</v>
      </c>
      <c r="W19" s="61">
        <f t="shared" ca="1" si="22"/>
        <v>214.0995325998839</v>
      </c>
      <c r="X19" s="60">
        <f t="shared" ca="1" si="18"/>
        <v>92.145268898898095</v>
      </c>
      <c r="Y19" s="61">
        <f t="shared" si="19"/>
        <v>20132.734870700882</v>
      </c>
      <c r="Z19" s="60">
        <f t="shared" si="20"/>
        <v>14273.302173325596</v>
      </c>
    </row>
    <row r="20" spans="2:26" x14ac:dyDescent="0.75">
      <c r="B20" s="59">
        <f>IF('User Dashboard'!C$12="SIR Model",IF(B137&gt;('User Dashboard'!$H$12+'User Dashboard'!$H$13),"",B137),IF('User Dashboard'!C$12="Manual Entry",IF(B80&gt;('User Dashboard'!$H$12+'User Dashboard'!$H$13),"",B80),IF('User Dashboard'!C$12="Exponential Growth",B194)))</f>
        <v>7</v>
      </c>
      <c r="C20" s="385">
        <f>IF(B20="","",IF('User Dashboard'!C$12="SIR Model",VLOOKUP(B20,B$130:C$182,2,FALSE),IF('User Dashboard'!C$12="Manual Entry",VLOOKUP(B20,B$73:C$125,2,FALSE),IF('User Dashboard'!C$12="Exponential Growth",VLOOKUP(B20,B$187:D$240,3,FALSE),""))))</f>
        <v>6908.8616245857102</v>
      </c>
      <c r="D20" s="60">
        <f t="shared" si="21"/>
        <v>4895.5881375156223</v>
      </c>
      <c r="E20" s="59">
        <f t="shared" si="0"/>
        <v>2763.5446498342844</v>
      </c>
      <c r="F20" s="60">
        <f t="shared" si="1"/>
        <v>1958.235255006249</v>
      </c>
      <c r="G20" s="61">
        <f t="shared" si="2"/>
        <v>2763.5446498342844</v>
      </c>
      <c r="H20" s="61">
        <f t="shared" si="3"/>
        <v>1958.235255006249</v>
      </c>
      <c r="I20" s="59">
        <f t="shared" si="4"/>
        <v>1036.3292436878564</v>
      </c>
      <c r="J20" s="60">
        <f t="shared" si="5"/>
        <v>734.33822062734328</v>
      </c>
      <c r="K20" s="59">
        <f t="shared" si="6"/>
        <v>345.44308122928555</v>
      </c>
      <c r="L20" s="60">
        <f t="shared" si="7"/>
        <v>244.77940687578112</v>
      </c>
      <c r="M20" s="59">
        <f t="shared" ca="1" si="8"/>
        <v>234.37730789501148</v>
      </c>
      <c r="N20" s="60">
        <f t="shared" ca="1" si="9"/>
        <v>166.23006425816084</v>
      </c>
      <c r="O20" s="59">
        <f t="shared" ca="1" si="10"/>
        <v>234.37730789501148</v>
      </c>
      <c r="P20" s="60">
        <f t="shared" ca="1" si="11"/>
        <v>166.23006425816084</v>
      </c>
      <c r="Q20" s="59">
        <f t="shared" ca="1" si="12"/>
        <v>301.99102306051321</v>
      </c>
      <c r="R20" s="60">
        <f t="shared" ca="1" si="13"/>
        <v>214.09953259988393</v>
      </c>
      <c r="S20" s="59">
        <f t="shared" ca="1" si="14"/>
        <v>29.297163486876435</v>
      </c>
      <c r="T20" s="61">
        <f t="shared" ca="1" si="15"/>
        <v>20.778758032270105</v>
      </c>
      <c r="U20" s="59">
        <f t="shared" ca="1" si="16"/>
        <v>2529.1673419392728</v>
      </c>
      <c r="V20" s="61">
        <f t="shared" ca="1" si="17"/>
        <v>2529.1673419392728</v>
      </c>
      <c r="W20" s="61">
        <f t="shared" ca="1" si="22"/>
        <v>734.33822062734316</v>
      </c>
      <c r="X20" s="60">
        <f t="shared" ca="1" si="18"/>
        <v>316.1459177424091</v>
      </c>
      <c r="Y20" s="61">
        <f t="shared" si="19"/>
        <v>69088.616245857105</v>
      </c>
      <c r="Z20" s="60">
        <f t="shared" si="20"/>
        <v>48955.881375156227</v>
      </c>
    </row>
    <row r="21" spans="2:26" x14ac:dyDescent="0.75">
      <c r="B21" s="59">
        <f>IF('User Dashboard'!C$12="SIR Model",IF(B138&gt;('User Dashboard'!$H$12+'User Dashboard'!$H$13),"",B138),IF('User Dashboard'!C$12="Manual Entry",IF(B81&gt;('User Dashboard'!$H$12+'User Dashboard'!$H$13),"",B81),IF('User Dashboard'!C$12="Exponential Growth",B195)))</f>
        <v>8</v>
      </c>
      <c r="C21" s="385">
        <f>IF(B21="","",IF('User Dashboard'!C$12="SIR Model",VLOOKUP(B21,B$130:C$182,2,FALSE),IF('User Dashboard'!C$12="Manual Entry",VLOOKUP(B21,B$73:C$125,2,FALSE),IF('User Dashboard'!C$12="Exponential Growth",VLOOKUP(B21,B$187:D$240,3,FALSE),""))))</f>
        <v>23621.641992419463</v>
      </c>
      <c r="D21" s="60">
        <f t="shared" si="21"/>
        <v>16712.780367833751</v>
      </c>
      <c r="E21" s="59">
        <f t="shared" si="0"/>
        <v>9448.6567969677853</v>
      </c>
      <c r="F21" s="60">
        <f t="shared" si="1"/>
        <v>6685.1121471335009</v>
      </c>
      <c r="G21" s="61">
        <f t="shared" si="2"/>
        <v>9448.6567969677853</v>
      </c>
      <c r="H21" s="61">
        <f t="shared" si="3"/>
        <v>6685.1121471335009</v>
      </c>
      <c r="I21" s="59">
        <f t="shared" si="4"/>
        <v>3543.2462988629195</v>
      </c>
      <c r="J21" s="60">
        <f t="shared" si="5"/>
        <v>2506.9170551750626</v>
      </c>
      <c r="K21" s="59">
        <f t="shared" si="6"/>
        <v>1181.0820996209732</v>
      </c>
      <c r="L21" s="60">
        <f t="shared" si="7"/>
        <v>835.63901839168761</v>
      </c>
      <c r="M21" s="59">
        <f t="shared" ca="1" si="8"/>
        <v>805.30939482803535</v>
      </c>
      <c r="N21" s="60">
        <f t="shared" ca="1" si="9"/>
        <v>570.93208693302392</v>
      </c>
      <c r="O21" s="59">
        <f t="shared" ca="1" si="10"/>
        <v>805.30939482803535</v>
      </c>
      <c r="P21" s="60">
        <f t="shared" ca="1" si="11"/>
        <v>570.93208693302392</v>
      </c>
      <c r="Q21" s="59">
        <f t="shared" ca="1" si="12"/>
        <v>1036.3292436878564</v>
      </c>
      <c r="R21" s="60">
        <f t="shared" ca="1" si="13"/>
        <v>734.33822062734328</v>
      </c>
      <c r="S21" s="59">
        <f t="shared" ca="1" si="14"/>
        <v>100.66367435350442</v>
      </c>
      <c r="T21" s="61">
        <f t="shared" ca="1" si="15"/>
        <v>71.366510866627991</v>
      </c>
      <c r="U21" s="59">
        <f t="shared" ca="1" si="16"/>
        <v>8643.3474021397506</v>
      </c>
      <c r="V21" s="61">
        <f t="shared" ca="1" si="17"/>
        <v>8643.3474021397506</v>
      </c>
      <c r="W21" s="61">
        <f t="shared" ca="1" si="22"/>
        <v>2506.9170551750631</v>
      </c>
      <c r="X21" s="60">
        <f t="shared" ca="1" si="18"/>
        <v>1080.4184252674688</v>
      </c>
      <c r="Y21" s="61">
        <f t="shared" si="19"/>
        <v>236216.41992419463</v>
      </c>
      <c r="Z21" s="60">
        <f t="shared" si="20"/>
        <v>167127.80367833751</v>
      </c>
    </row>
    <row r="22" spans="2:26" x14ac:dyDescent="0.75">
      <c r="B22" s="59">
        <f>IF('User Dashboard'!C$12="SIR Model",IF(B139&gt;('User Dashboard'!$H$12+'User Dashboard'!$H$13),"",B139),IF('User Dashboard'!C$12="Manual Entry",IF(B82&gt;('User Dashboard'!$H$12+'User Dashboard'!$H$13),"",B82),IF('User Dashboard'!C$12="Exponential Growth",B196)))</f>
        <v>9</v>
      </c>
      <c r="C22" s="385">
        <f>IF(B22="","",IF('User Dashboard'!C$12="SIR Model",VLOOKUP(B22,B$130:C$182,2,FALSE),IF('User Dashboard'!C$12="Manual Entry",VLOOKUP(B22,B$73:C$125,2,FALSE),IF('User Dashboard'!C$12="Exponential Growth",VLOOKUP(B22,B$187:D$240,3,FALSE),""))))</f>
        <v>79773.918576314318</v>
      </c>
      <c r="D22" s="60">
        <f t="shared" si="21"/>
        <v>56152.276583894854</v>
      </c>
      <c r="E22" s="59">
        <f t="shared" si="0"/>
        <v>31909.567430525727</v>
      </c>
      <c r="F22" s="60">
        <f t="shared" si="1"/>
        <v>22460.910633557942</v>
      </c>
      <c r="G22" s="61">
        <f t="shared" si="2"/>
        <v>31909.567430525727</v>
      </c>
      <c r="H22" s="61">
        <f t="shared" si="3"/>
        <v>22460.910633557942</v>
      </c>
      <c r="I22" s="59">
        <f t="shared" si="4"/>
        <v>11966.087786447148</v>
      </c>
      <c r="J22" s="60">
        <f t="shared" si="5"/>
        <v>8422.8414875842282</v>
      </c>
      <c r="K22" s="59">
        <f t="shared" si="6"/>
        <v>3988.6959288157159</v>
      </c>
      <c r="L22" s="60">
        <f t="shared" si="7"/>
        <v>2807.6138291947427</v>
      </c>
      <c r="M22" s="59">
        <f t="shared" ca="1" si="8"/>
        <v>2763.5446498342844</v>
      </c>
      <c r="N22" s="60">
        <f t="shared" ca="1" si="9"/>
        <v>1958.235255006249</v>
      </c>
      <c r="O22" s="59">
        <f t="shared" ca="1" si="10"/>
        <v>2763.5446498342844</v>
      </c>
      <c r="P22" s="60">
        <f t="shared" ca="1" si="11"/>
        <v>1958.235255006249</v>
      </c>
      <c r="Q22" s="59">
        <f t="shared" ca="1" si="12"/>
        <v>3543.2462988629195</v>
      </c>
      <c r="R22" s="60">
        <f t="shared" ca="1" si="13"/>
        <v>2506.9170551750626</v>
      </c>
      <c r="S22" s="59">
        <f t="shared" ca="1" si="14"/>
        <v>345.44308122928555</v>
      </c>
      <c r="T22" s="61">
        <f t="shared" ca="1" si="15"/>
        <v>244.77940687578112</v>
      </c>
      <c r="U22" s="59">
        <f t="shared" ca="1" si="16"/>
        <v>29146.022780691441</v>
      </c>
      <c r="V22" s="61">
        <f t="shared" ca="1" si="17"/>
        <v>29146.022780691441</v>
      </c>
      <c r="W22" s="61">
        <f t="shared" ca="1" si="22"/>
        <v>8422.8414875842282</v>
      </c>
      <c r="X22" s="60">
        <f t="shared" ca="1" si="18"/>
        <v>3643.2528475864301</v>
      </c>
      <c r="Y22" s="61">
        <f t="shared" si="19"/>
        <v>797739.18576314324</v>
      </c>
      <c r="Z22" s="60">
        <f t="shared" si="20"/>
        <v>561522.76583894854</v>
      </c>
    </row>
    <row r="23" spans="2:26" x14ac:dyDescent="0.75">
      <c r="B23" s="59">
        <f>IF('User Dashboard'!C$12="SIR Model",IF(B140&gt;('User Dashboard'!$H$12+'User Dashboard'!$H$13),"",B140),IF('User Dashboard'!C$12="Manual Entry",IF(B83&gt;('User Dashboard'!$H$12+'User Dashboard'!$H$13),"",B83),IF('User Dashboard'!C$12="Exponential Growth",B197)))</f>
        <v>10</v>
      </c>
      <c r="C23" s="385">
        <f>IF(B23="","",IF('User Dashboard'!C$12="SIR Model",VLOOKUP(B23,B$130:C$182,2,FALSE),IF('User Dashboard'!C$12="Manual Entry",VLOOKUP(B23,B$73:C$125,2,FALSE),IF('User Dashboard'!C$12="Exponential Growth",VLOOKUP(B23,B$187:D$240,3,FALSE),""))))</f>
        <v>258719.16778583336</v>
      </c>
      <c r="D23" s="60">
        <f t="shared" si="21"/>
        <v>178945.24920951904</v>
      </c>
      <c r="E23" s="59">
        <f t="shared" si="0"/>
        <v>103487.66711433335</v>
      </c>
      <c r="F23" s="60">
        <f t="shared" si="1"/>
        <v>71578.099683807624</v>
      </c>
      <c r="G23" s="61">
        <f t="shared" si="2"/>
        <v>103487.66711433335</v>
      </c>
      <c r="H23" s="61">
        <f t="shared" si="3"/>
        <v>71578.099683807624</v>
      </c>
      <c r="I23" s="59">
        <f t="shared" si="4"/>
        <v>38807.875167875005</v>
      </c>
      <c r="J23" s="60">
        <f t="shared" si="5"/>
        <v>26841.787381427854</v>
      </c>
      <c r="K23" s="59">
        <f t="shared" si="6"/>
        <v>12935.958389291669</v>
      </c>
      <c r="L23" s="60">
        <f t="shared" si="7"/>
        <v>8947.262460475953</v>
      </c>
      <c r="M23" s="59">
        <f t="shared" ca="1" si="8"/>
        <v>9448.6567969677853</v>
      </c>
      <c r="N23" s="60">
        <f t="shared" ca="1" si="9"/>
        <v>6685.1121471335009</v>
      </c>
      <c r="O23" s="59">
        <f t="shared" ca="1" si="10"/>
        <v>9448.6567969677853</v>
      </c>
      <c r="P23" s="60">
        <f t="shared" ca="1" si="11"/>
        <v>6685.1121471335009</v>
      </c>
      <c r="Q23" s="59">
        <f t="shared" ca="1" si="12"/>
        <v>11966.087786447148</v>
      </c>
      <c r="R23" s="60">
        <f t="shared" ca="1" si="13"/>
        <v>8422.8414875842282</v>
      </c>
      <c r="S23" s="59">
        <f t="shared" ca="1" si="14"/>
        <v>1181.0820996209732</v>
      </c>
      <c r="T23" s="61">
        <f t="shared" ca="1" si="15"/>
        <v>835.63901839168761</v>
      </c>
      <c r="U23" s="59">
        <f t="shared" ca="1" si="16"/>
        <v>94039.010317365566</v>
      </c>
      <c r="V23" s="61">
        <f t="shared" ca="1" si="17"/>
        <v>94039.010317365566</v>
      </c>
      <c r="W23" s="61">
        <f t="shared" ca="1" si="22"/>
        <v>26841.787381427857</v>
      </c>
      <c r="X23" s="60">
        <f t="shared" ca="1" si="18"/>
        <v>11754.876289670696</v>
      </c>
      <c r="Y23" s="61">
        <f t="shared" si="19"/>
        <v>2587191.6778583336</v>
      </c>
      <c r="Z23" s="60">
        <f t="shared" si="20"/>
        <v>1789452.4920951903</v>
      </c>
    </row>
    <row r="24" spans="2:26" x14ac:dyDescent="0.75">
      <c r="B24" s="59">
        <f>IF('User Dashboard'!C$12="SIR Model",IF(B141&gt;('User Dashboard'!$H$12+'User Dashboard'!$H$13),"",B141),IF('User Dashboard'!C$12="Manual Entry",IF(B84&gt;('User Dashboard'!$H$12+'User Dashboard'!$H$13),"",B84),IF('User Dashboard'!C$12="Exponential Growth",B198)))</f>
        <v>11</v>
      </c>
      <c r="C24" s="385">
        <f>IF(B24="","",IF('User Dashboard'!C$12="SIR Model",VLOOKUP(B24,B$130:C$182,2,FALSE),IF('User Dashboard'!C$12="Manual Entry",VLOOKUP(B24,B$73:C$125,2,FALSE),IF('User Dashboard'!C$12="Exponential Growth",VLOOKUP(B24,B$187:D$240,3,FALSE),""))))</f>
        <v>743683.6192300187</v>
      </c>
      <c r="D24" s="60">
        <f t="shared" si="21"/>
        <v>484964.45144418534</v>
      </c>
      <c r="E24" s="59">
        <f t="shared" si="0"/>
        <v>297473.44769200747</v>
      </c>
      <c r="F24" s="60">
        <f t="shared" si="1"/>
        <v>193985.78057767416</v>
      </c>
      <c r="G24" s="61">
        <f t="shared" si="2"/>
        <v>297473.44769200747</v>
      </c>
      <c r="H24" s="61">
        <f t="shared" si="3"/>
        <v>193985.78057767416</v>
      </c>
      <c r="I24" s="59">
        <f t="shared" si="4"/>
        <v>111552.54288450281</v>
      </c>
      <c r="J24" s="60">
        <f t="shared" si="5"/>
        <v>72744.667716627795</v>
      </c>
      <c r="K24" s="59">
        <f t="shared" si="6"/>
        <v>37184.180961500933</v>
      </c>
      <c r="L24" s="60">
        <f t="shared" si="7"/>
        <v>24248.22257220927</v>
      </c>
      <c r="M24" s="59">
        <f t="shared" ca="1" si="8"/>
        <v>31909.567430525727</v>
      </c>
      <c r="N24" s="60">
        <f t="shared" ca="1" si="9"/>
        <v>22460.910633557942</v>
      </c>
      <c r="O24" s="59">
        <f t="shared" ca="1" si="10"/>
        <v>31909.567430525727</v>
      </c>
      <c r="P24" s="60">
        <f t="shared" ca="1" si="11"/>
        <v>22460.910633557942</v>
      </c>
      <c r="Q24" s="59">
        <f t="shared" ca="1" si="12"/>
        <v>38807.875167875005</v>
      </c>
      <c r="R24" s="60">
        <f t="shared" ca="1" si="13"/>
        <v>26841.787381427854</v>
      </c>
      <c r="S24" s="59">
        <f t="shared" ca="1" si="14"/>
        <v>3988.6959288157159</v>
      </c>
      <c r="T24" s="61">
        <f t="shared" ca="1" si="15"/>
        <v>2807.6138291947427</v>
      </c>
      <c r="U24" s="59">
        <f t="shared" ca="1" si="16"/>
        <v>265563.88026148174</v>
      </c>
      <c r="V24" s="61">
        <f t="shared" ca="1" si="17"/>
        <v>265563.88026148174</v>
      </c>
      <c r="W24" s="61">
        <f t="shared" ca="1" si="22"/>
        <v>72744.667716627795</v>
      </c>
      <c r="X24" s="60">
        <f t="shared" ca="1" si="18"/>
        <v>33195.485032685217</v>
      </c>
      <c r="Y24" s="61">
        <f t="shared" si="19"/>
        <v>7436836.1923001874</v>
      </c>
      <c r="Z24" s="60">
        <f t="shared" si="20"/>
        <v>4849644.5144418534</v>
      </c>
    </row>
    <row r="25" spans="2:26" x14ac:dyDescent="0.75">
      <c r="B25" s="59">
        <f>IF('User Dashboard'!C$12="SIR Model",IF(B142&gt;('User Dashboard'!$H$12+'User Dashboard'!$H$13),"",B142),IF('User Dashboard'!C$12="Manual Entry",IF(B85&gt;('User Dashboard'!$H$12+'User Dashboard'!$H$13),"",B85),IF('User Dashboard'!C$12="Exponential Growth",B199)))</f>
        <v>12</v>
      </c>
      <c r="C25" s="385">
        <f>IF(B25="","",IF('User Dashboard'!C$12="SIR Model",VLOOKUP(B25,B$130:C$182,2,FALSE),IF('User Dashboard'!C$12="Manual Entry",VLOOKUP(B25,B$73:C$125,2,FALSE),IF('User Dashboard'!C$12="Exponential Growth",VLOOKUP(B25,B$187:D$240,3,FALSE),""))))</f>
        <v>1623815.1884616646</v>
      </c>
      <c r="D25" s="60">
        <f t="shared" si="21"/>
        <v>880131.5692316459</v>
      </c>
      <c r="E25" s="59">
        <f t="shared" si="0"/>
        <v>649526.07538466586</v>
      </c>
      <c r="F25" s="60">
        <f t="shared" si="1"/>
        <v>352052.6276926584</v>
      </c>
      <c r="G25" s="61">
        <f t="shared" si="2"/>
        <v>649526.07538466586</v>
      </c>
      <c r="H25" s="61">
        <f t="shared" si="3"/>
        <v>352052.6276926584</v>
      </c>
      <c r="I25" s="59">
        <f t="shared" si="4"/>
        <v>243572.27826924968</v>
      </c>
      <c r="J25" s="60">
        <f t="shared" si="5"/>
        <v>132019.73538474689</v>
      </c>
      <c r="K25" s="59">
        <f t="shared" si="6"/>
        <v>81190.759423083233</v>
      </c>
      <c r="L25" s="60">
        <f t="shared" si="7"/>
        <v>44006.578461582299</v>
      </c>
      <c r="M25" s="59">
        <f t="shared" ca="1" si="8"/>
        <v>103487.66711433335</v>
      </c>
      <c r="N25" s="60">
        <f t="shared" ca="1" si="9"/>
        <v>71578.099683807624</v>
      </c>
      <c r="O25" s="59">
        <f t="shared" ca="1" si="10"/>
        <v>103487.66711433335</v>
      </c>
      <c r="P25" s="60">
        <f t="shared" ca="1" si="11"/>
        <v>71578.099683807624</v>
      </c>
      <c r="Q25" s="59">
        <f t="shared" ca="1" si="12"/>
        <v>111552.54288450281</v>
      </c>
      <c r="R25" s="60">
        <f t="shared" ca="1" si="13"/>
        <v>72744.667716627795</v>
      </c>
      <c r="S25" s="59">
        <f t="shared" ca="1" si="14"/>
        <v>12935.958389291669</v>
      </c>
      <c r="T25" s="61">
        <f t="shared" ca="1" si="15"/>
        <v>8947.262460475953</v>
      </c>
      <c r="U25" s="59">
        <f t="shared" ca="1" si="16"/>
        <v>546038.4082703325</v>
      </c>
      <c r="V25" s="61">
        <f t="shared" ca="1" si="17"/>
        <v>546038.4082703325</v>
      </c>
      <c r="W25" s="61">
        <f t="shared" ca="1" si="22"/>
        <v>132019.73538474686</v>
      </c>
      <c r="X25" s="60">
        <f t="shared" ca="1" si="18"/>
        <v>68254.801033791562</v>
      </c>
      <c r="Y25" s="61">
        <f t="shared" si="19"/>
        <v>16238151.884616647</v>
      </c>
      <c r="Z25" s="60">
        <f t="shared" si="20"/>
        <v>8801315.6923164595</v>
      </c>
    </row>
    <row r="26" spans="2:26" x14ac:dyDescent="0.75">
      <c r="B26" s="59" t="str">
        <f>IF('User Dashboard'!C$12="SIR Model",IF(B143&gt;('User Dashboard'!$H$12+'User Dashboard'!$H$13),"",B143),IF('User Dashboard'!C$12="Manual Entry",IF(B86&gt;('User Dashboard'!$H$12+'User Dashboard'!$H$13),"",B86),IF('User Dashboard'!C$12="Exponential Growth",B200)))</f>
        <v/>
      </c>
      <c r="C26" s="385" t="str">
        <f>IF(B26="","",IF('User Dashboard'!C$12="SIR Model",VLOOKUP(B26,B$130:C$182,2,FALSE),IF('User Dashboard'!C$12="Manual Entry",VLOOKUP(B26,B$73:C$125,2,FALSE),IF('User Dashboard'!C$12="Exponential Growth",VLOOKUP(B26,B$187:D$240,3,FALSE),""))))</f>
        <v/>
      </c>
      <c r="D26" s="60" t="str">
        <f t="shared" si="21"/>
        <v/>
      </c>
      <c r="E26" s="59" t="str">
        <f t="shared" si="0"/>
        <v/>
      </c>
      <c r="F26" s="60" t="str">
        <f t="shared" si="1"/>
        <v/>
      </c>
      <c r="G26" s="61" t="str">
        <f t="shared" si="2"/>
        <v/>
      </c>
      <c r="H26" s="61" t="str">
        <f t="shared" si="3"/>
        <v/>
      </c>
      <c r="I26" s="59" t="str">
        <f t="shared" si="4"/>
        <v/>
      </c>
      <c r="J26" s="60" t="str">
        <f t="shared" si="5"/>
        <v/>
      </c>
      <c r="K26" s="59" t="str">
        <f t="shared" si="6"/>
        <v/>
      </c>
      <c r="L26" s="60" t="str">
        <f t="shared" si="7"/>
        <v/>
      </c>
      <c r="M26" s="59" t="str">
        <f t="shared" ca="1" si="8"/>
        <v/>
      </c>
      <c r="N26" s="60" t="str">
        <f t="shared" ca="1" si="9"/>
        <v/>
      </c>
      <c r="O26" s="59" t="str">
        <f t="shared" ca="1" si="10"/>
        <v/>
      </c>
      <c r="P26" s="60" t="str">
        <f t="shared" ca="1" si="11"/>
        <v/>
      </c>
      <c r="Q26" s="59" t="str">
        <f t="shared" ca="1" si="12"/>
        <v/>
      </c>
      <c r="R26" s="60" t="str">
        <f t="shared" ca="1" si="13"/>
        <v/>
      </c>
      <c r="S26" s="59" t="str">
        <f t="shared" ca="1" si="14"/>
        <v/>
      </c>
      <c r="T26" s="61" t="str">
        <f t="shared" ca="1" si="15"/>
        <v/>
      </c>
      <c r="U26" s="59" t="str">
        <f t="shared" ca="1" si="16"/>
        <v/>
      </c>
      <c r="V26" s="61" t="str">
        <f t="shared" ca="1" si="17"/>
        <v/>
      </c>
      <c r="W26" s="61" t="str">
        <f t="shared" ca="1" si="22"/>
        <v/>
      </c>
      <c r="X26" s="60" t="str">
        <f t="shared" ca="1" si="18"/>
        <v/>
      </c>
      <c r="Y26" s="61" t="str">
        <f t="shared" si="19"/>
        <v/>
      </c>
      <c r="Z26" s="60" t="str">
        <f t="shared" si="20"/>
        <v/>
      </c>
    </row>
    <row r="27" spans="2:26" x14ac:dyDescent="0.75">
      <c r="B27" s="59" t="str">
        <f>IF('User Dashboard'!C$12="SIR Model",IF(B144&gt;('User Dashboard'!$H$12+'User Dashboard'!$H$13),"",B144),IF('User Dashboard'!C$12="Manual Entry",IF(B87&gt;('User Dashboard'!$H$12+'User Dashboard'!$H$13),"",B87),IF('User Dashboard'!C$12="Exponential Growth",B201)))</f>
        <v/>
      </c>
      <c r="C27" s="385" t="str">
        <f>IF(B27="","",IF('User Dashboard'!C$12="SIR Model",VLOOKUP(B27,B$130:C$182,2,FALSE),IF('User Dashboard'!C$12="Manual Entry",VLOOKUP(B27,B$73:C$125,2,FALSE),IF('User Dashboard'!C$12="Exponential Growth",VLOOKUP(B27,B$187:D$240,3,FALSE),""))))</f>
        <v/>
      </c>
      <c r="D27" s="60" t="str">
        <f t="shared" si="21"/>
        <v/>
      </c>
      <c r="E27" s="59" t="str">
        <f t="shared" si="0"/>
        <v/>
      </c>
      <c r="F27" s="60" t="str">
        <f t="shared" si="1"/>
        <v/>
      </c>
      <c r="G27" s="61" t="str">
        <f t="shared" si="2"/>
        <v/>
      </c>
      <c r="H27" s="61" t="str">
        <f t="shared" si="3"/>
        <v/>
      </c>
      <c r="I27" s="59" t="str">
        <f t="shared" si="4"/>
        <v/>
      </c>
      <c r="J27" s="60" t="str">
        <f t="shared" si="5"/>
        <v/>
      </c>
      <c r="K27" s="59" t="str">
        <f t="shared" si="6"/>
        <v/>
      </c>
      <c r="L27" s="60" t="str">
        <f t="shared" si="7"/>
        <v/>
      </c>
      <c r="M27" s="59" t="str">
        <f t="shared" ca="1" si="8"/>
        <v/>
      </c>
      <c r="N27" s="60" t="str">
        <f t="shared" ca="1" si="9"/>
        <v/>
      </c>
      <c r="O27" s="59" t="str">
        <f t="shared" ca="1" si="10"/>
        <v/>
      </c>
      <c r="P27" s="60" t="str">
        <f t="shared" ca="1" si="11"/>
        <v/>
      </c>
      <c r="Q27" s="59" t="str">
        <f t="shared" ca="1" si="12"/>
        <v/>
      </c>
      <c r="R27" s="60" t="str">
        <f t="shared" ca="1" si="13"/>
        <v/>
      </c>
      <c r="S27" s="59" t="str">
        <f t="shared" ca="1" si="14"/>
        <v/>
      </c>
      <c r="T27" s="61" t="str">
        <f t="shared" ca="1" si="15"/>
        <v/>
      </c>
      <c r="U27" s="59" t="str">
        <f t="shared" ca="1" si="16"/>
        <v/>
      </c>
      <c r="V27" s="61" t="str">
        <f t="shared" ca="1" si="17"/>
        <v/>
      </c>
      <c r="W27" s="61" t="str">
        <f t="shared" ca="1" si="22"/>
        <v/>
      </c>
      <c r="X27" s="60" t="str">
        <f t="shared" ca="1" si="18"/>
        <v/>
      </c>
      <c r="Y27" s="61" t="str">
        <f t="shared" si="19"/>
        <v/>
      </c>
      <c r="Z27" s="60" t="str">
        <f t="shared" si="20"/>
        <v/>
      </c>
    </row>
    <row r="28" spans="2:26" x14ac:dyDescent="0.75">
      <c r="B28" s="59" t="str">
        <f>IF('User Dashboard'!C$12="SIR Model",IF(B145&gt;('User Dashboard'!$H$12+'User Dashboard'!$H$13),"",B145),IF('User Dashboard'!C$12="Manual Entry",IF(B88&gt;('User Dashboard'!$H$12+'User Dashboard'!$H$13),"",B88),IF('User Dashboard'!C$12="Exponential Growth",B202)))</f>
        <v/>
      </c>
      <c r="C28" s="385" t="str">
        <f>IF(B28="","",IF('User Dashboard'!C$12="SIR Model",VLOOKUP(B28,B$130:C$182,2,FALSE),IF('User Dashboard'!C$12="Manual Entry",VLOOKUP(B28,B$73:C$125,2,FALSE),IF('User Dashboard'!C$12="Exponential Growth",VLOOKUP(B28,B$187:D$240,3,FALSE),""))))</f>
        <v/>
      </c>
      <c r="D28" s="60" t="str">
        <f t="shared" si="21"/>
        <v/>
      </c>
      <c r="E28" s="59" t="str">
        <f t="shared" si="0"/>
        <v/>
      </c>
      <c r="F28" s="60" t="str">
        <f t="shared" si="1"/>
        <v/>
      </c>
      <c r="G28" s="61" t="str">
        <f t="shared" si="2"/>
        <v/>
      </c>
      <c r="H28" s="61" t="str">
        <f t="shared" si="3"/>
        <v/>
      </c>
      <c r="I28" s="59" t="str">
        <f t="shared" si="4"/>
        <v/>
      </c>
      <c r="J28" s="60" t="str">
        <f t="shared" si="5"/>
        <v/>
      </c>
      <c r="K28" s="59" t="str">
        <f t="shared" si="6"/>
        <v/>
      </c>
      <c r="L28" s="60" t="str">
        <f t="shared" si="7"/>
        <v/>
      </c>
      <c r="M28" s="59" t="str">
        <f t="shared" ca="1" si="8"/>
        <v/>
      </c>
      <c r="N28" s="60" t="str">
        <f t="shared" ca="1" si="9"/>
        <v/>
      </c>
      <c r="O28" s="59" t="str">
        <f t="shared" ca="1" si="10"/>
        <v/>
      </c>
      <c r="P28" s="60" t="str">
        <f t="shared" ca="1" si="11"/>
        <v/>
      </c>
      <c r="Q28" s="59" t="str">
        <f t="shared" ca="1" si="12"/>
        <v/>
      </c>
      <c r="R28" s="60" t="str">
        <f t="shared" ca="1" si="13"/>
        <v/>
      </c>
      <c r="S28" s="59" t="str">
        <f t="shared" ca="1" si="14"/>
        <v/>
      </c>
      <c r="T28" s="61" t="str">
        <f t="shared" ca="1" si="15"/>
        <v/>
      </c>
      <c r="U28" s="59" t="str">
        <f t="shared" ca="1" si="16"/>
        <v/>
      </c>
      <c r="V28" s="61" t="str">
        <f t="shared" ca="1" si="17"/>
        <v/>
      </c>
      <c r="W28" s="61" t="str">
        <f t="shared" ca="1" si="22"/>
        <v/>
      </c>
      <c r="X28" s="60" t="str">
        <f t="shared" ca="1" si="18"/>
        <v/>
      </c>
      <c r="Y28" s="61" t="str">
        <f t="shared" si="19"/>
        <v/>
      </c>
      <c r="Z28" s="60" t="str">
        <f t="shared" si="20"/>
        <v/>
      </c>
    </row>
    <row r="29" spans="2:26" x14ac:dyDescent="0.75">
      <c r="B29" s="59" t="str">
        <f>IF('User Dashboard'!C$12="SIR Model",IF(B146&gt;('User Dashboard'!$H$12+'User Dashboard'!$H$13),"",B146),IF('User Dashboard'!C$12="Manual Entry",IF(B89&gt;('User Dashboard'!$H$12+'User Dashboard'!$H$13),"",B89),IF('User Dashboard'!C$12="Exponential Growth",B203)))</f>
        <v/>
      </c>
      <c r="C29" s="385" t="str">
        <f>IF(B29="","",IF('User Dashboard'!C$12="SIR Model",VLOOKUP(B29,B$130:C$182,2,FALSE),IF('User Dashboard'!C$12="Manual Entry",VLOOKUP(B29,B$73:C$125,2,FALSE),IF('User Dashboard'!C$12="Exponential Growth",VLOOKUP(B29,B$187:D$240,3,FALSE),""))))</f>
        <v/>
      </c>
      <c r="D29" s="60" t="str">
        <f t="shared" si="21"/>
        <v/>
      </c>
      <c r="E29" s="59" t="str">
        <f t="shared" si="0"/>
        <v/>
      </c>
      <c r="F29" s="60" t="str">
        <f t="shared" si="1"/>
        <v/>
      </c>
      <c r="G29" s="61" t="str">
        <f t="shared" si="2"/>
        <v/>
      </c>
      <c r="H29" s="61" t="str">
        <f t="shared" si="3"/>
        <v/>
      </c>
      <c r="I29" s="59" t="str">
        <f t="shared" si="4"/>
        <v/>
      </c>
      <c r="J29" s="60" t="str">
        <f t="shared" si="5"/>
        <v/>
      </c>
      <c r="K29" s="59" t="str">
        <f t="shared" si="6"/>
        <v/>
      </c>
      <c r="L29" s="60" t="str">
        <f t="shared" si="7"/>
        <v/>
      </c>
      <c r="M29" s="59" t="str">
        <f t="shared" ca="1" si="8"/>
        <v/>
      </c>
      <c r="N29" s="60" t="str">
        <f t="shared" ca="1" si="9"/>
        <v/>
      </c>
      <c r="O29" s="59" t="str">
        <f t="shared" ca="1" si="10"/>
        <v/>
      </c>
      <c r="P29" s="60" t="str">
        <f t="shared" ca="1" si="11"/>
        <v/>
      </c>
      <c r="Q29" s="59" t="str">
        <f t="shared" ca="1" si="12"/>
        <v/>
      </c>
      <c r="R29" s="60" t="str">
        <f t="shared" ca="1" si="13"/>
        <v/>
      </c>
      <c r="S29" s="59" t="str">
        <f t="shared" ca="1" si="14"/>
        <v/>
      </c>
      <c r="T29" s="61" t="str">
        <f t="shared" ca="1" si="15"/>
        <v/>
      </c>
      <c r="U29" s="59" t="str">
        <f t="shared" ca="1" si="16"/>
        <v/>
      </c>
      <c r="V29" s="61" t="str">
        <f t="shared" ca="1" si="17"/>
        <v/>
      </c>
      <c r="W29" s="61" t="str">
        <f t="shared" ca="1" si="22"/>
        <v/>
      </c>
      <c r="X29" s="60" t="str">
        <f t="shared" ca="1" si="18"/>
        <v/>
      </c>
      <c r="Y29" s="61" t="str">
        <f t="shared" si="19"/>
        <v/>
      </c>
      <c r="Z29" s="60" t="str">
        <f t="shared" si="20"/>
        <v/>
      </c>
    </row>
    <row r="30" spans="2:26" x14ac:dyDescent="0.75">
      <c r="B30" s="59" t="str">
        <f>IF('User Dashboard'!C$12="SIR Model",IF(B147&gt;('User Dashboard'!$H$12+'User Dashboard'!$H$13),"",B147),IF('User Dashboard'!C$12="Manual Entry",IF(B90&gt;('User Dashboard'!$H$12+'User Dashboard'!$H$13),"",B90),IF('User Dashboard'!C$12="Exponential Growth",B204)))</f>
        <v/>
      </c>
      <c r="C30" s="385" t="str">
        <f>IF(B30="","",IF('User Dashboard'!C$12="SIR Model",VLOOKUP(B30,B$130:C$182,2,FALSE),IF('User Dashboard'!C$12="Manual Entry",VLOOKUP(B30,B$73:C$125,2,FALSE),IF('User Dashboard'!C$12="Exponential Growth",VLOOKUP(B30,B$187:D$240,3,FALSE),""))))</f>
        <v/>
      </c>
      <c r="D30" s="60" t="str">
        <f t="shared" si="21"/>
        <v/>
      </c>
      <c r="E30" s="59" t="str">
        <f t="shared" si="0"/>
        <v/>
      </c>
      <c r="F30" s="60" t="str">
        <f t="shared" si="1"/>
        <v/>
      </c>
      <c r="G30" s="61" t="str">
        <f t="shared" si="2"/>
        <v/>
      </c>
      <c r="H30" s="61" t="str">
        <f t="shared" si="3"/>
        <v/>
      </c>
      <c r="I30" s="59" t="str">
        <f t="shared" si="4"/>
        <v/>
      </c>
      <c r="J30" s="60" t="str">
        <f t="shared" si="5"/>
        <v/>
      </c>
      <c r="K30" s="59" t="str">
        <f t="shared" si="6"/>
        <v/>
      </c>
      <c r="L30" s="60" t="str">
        <f t="shared" si="7"/>
        <v/>
      </c>
      <c r="M30" s="59" t="str">
        <f t="shared" ca="1" si="8"/>
        <v/>
      </c>
      <c r="N30" s="60" t="str">
        <f t="shared" ca="1" si="9"/>
        <v/>
      </c>
      <c r="O30" s="59" t="str">
        <f t="shared" ca="1" si="10"/>
        <v/>
      </c>
      <c r="P30" s="60" t="str">
        <f t="shared" ca="1" si="11"/>
        <v/>
      </c>
      <c r="Q30" s="59" t="str">
        <f t="shared" ca="1" si="12"/>
        <v/>
      </c>
      <c r="R30" s="60" t="str">
        <f t="shared" ca="1" si="13"/>
        <v/>
      </c>
      <c r="S30" s="59" t="str">
        <f t="shared" ca="1" si="14"/>
        <v/>
      </c>
      <c r="T30" s="61" t="str">
        <f t="shared" ca="1" si="15"/>
        <v/>
      </c>
      <c r="U30" s="59" t="str">
        <f t="shared" ca="1" si="16"/>
        <v/>
      </c>
      <c r="V30" s="61" t="str">
        <f t="shared" ca="1" si="17"/>
        <v/>
      </c>
      <c r="W30" s="61" t="str">
        <f t="shared" ca="1" si="22"/>
        <v/>
      </c>
      <c r="X30" s="60" t="str">
        <f t="shared" ca="1" si="18"/>
        <v/>
      </c>
      <c r="Y30" s="61" t="str">
        <f t="shared" si="19"/>
        <v/>
      </c>
      <c r="Z30" s="60" t="str">
        <f t="shared" si="20"/>
        <v/>
      </c>
    </row>
    <row r="31" spans="2:26" x14ac:dyDescent="0.75">
      <c r="B31" s="59" t="str">
        <f>IF('User Dashboard'!C$12="SIR Model",IF(B148&gt;('User Dashboard'!$H$12+'User Dashboard'!$H$13),"",B148),IF('User Dashboard'!C$12="Manual Entry",IF(B91&gt;('User Dashboard'!$H$12+'User Dashboard'!$H$13),"",B91),IF('User Dashboard'!C$12="Exponential Growth",B205)))</f>
        <v/>
      </c>
      <c r="C31" s="385" t="str">
        <f>IF(B31="","",IF('User Dashboard'!C$12="SIR Model",VLOOKUP(B31,B$130:C$182,2,FALSE),IF('User Dashboard'!C$12="Manual Entry",VLOOKUP(B31,B$73:C$125,2,FALSE),IF('User Dashboard'!C$12="Exponential Growth",VLOOKUP(B31,B$187:D$240,3,FALSE),""))))</f>
        <v/>
      </c>
      <c r="D31" s="60" t="str">
        <f t="shared" si="21"/>
        <v/>
      </c>
      <c r="E31" s="59" t="str">
        <f t="shared" si="0"/>
        <v/>
      </c>
      <c r="F31" s="60" t="str">
        <f t="shared" si="1"/>
        <v/>
      </c>
      <c r="G31" s="61" t="str">
        <f t="shared" si="2"/>
        <v/>
      </c>
      <c r="H31" s="61" t="str">
        <f t="shared" si="3"/>
        <v/>
      </c>
      <c r="I31" s="59" t="str">
        <f t="shared" si="4"/>
        <v/>
      </c>
      <c r="J31" s="60" t="str">
        <f t="shared" si="5"/>
        <v/>
      </c>
      <c r="K31" s="59" t="str">
        <f t="shared" si="6"/>
        <v/>
      </c>
      <c r="L31" s="60" t="str">
        <f t="shared" si="7"/>
        <v/>
      </c>
      <c r="M31" s="59" t="str">
        <f t="shared" ca="1" si="8"/>
        <v/>
      </c>
      <c r="N31" s="60" t="str">
        <f t="shared" ca="1" si="9"/>
        <v/>
      </c>
      <c r="O31" s="59" t="str">
        <f t="shared" ca="1" si="10"/>
        <v/>
      </c>
      <c r="P31" s="60" t="str">
        <f t="shared" ca="1" si="11"/>
        <v/>
      </c>
      <c r="Q31" s="59" t="str">
        <f t="shared" ca="1" si="12"/>
        <v/>
      </c>
      <c r="R31" s="60" t="str">
        <f t="shared" ca="1" si="13"/>
        <v/>
      </c>
      <c r="S31" s="59" t="str">
        <f t="shared" ca="1" si="14"/>
        <v/>
      </c>
      <c r="T31" s="61" t="str">
        <f t="shared" ca="1" si="15"/>
        <v/>
      </c>
      <c r="U31" s="59" t="str">
        <f t="shared" ca="1" si="16"/>
        <v/>
      </c>
      <c r="V31" s="61" t="str">
        <f t="shared" ca="1" si="17"/>
        <v/>
      </c>
      <c r="W31" s="61" t="str">
        <f t="shared" ca="1" si="22"/>
        <v/>
      </c>
      <c r="X31" s="60" t="str">
        <f t="shared" ca="1" si="18"/>
        <v/>
      </c>
      <c r="Y31" s="61" t="str">
        <f t="shared" si="19"/>
        <v/>
      </c>
      <c r="Z31" s="60" t="str">
        <f t="shared" si="20"/>
        <v/>
      </c>
    </row>
    <row r="32" spans="2:26" x14ac:dyDescent="0.75">
      <c r="B32" s="59" t="str">
        <f>IF('User Dashboard'!C$12="SIR Model",IF(B149&gt;('User Dashboard'!$H$12+'User Dashboard'!$H$13),"",B149),IF('User Dashboard'!C$12="Manual Entry",IF(B92&gt;('User Dashboard'!$H$12+'User Dashboard'!$H$13),"",B92),IF('User Dashboard'!C$12="Exponential Growth",B206)))</f>
        <v/>
      </c>
      <c r="C32" s="385" t="str">
        <f>IF(B32="","",IF('User Dashboard'!C$12="SIR Model",VLOOKUP(B32,B$130:C$182,2,FALSE),IF('User Dashboard'!C$12="Manual Entry",VLOOKUP(B32,B$73:C$125,2,FALSE),IF('User Dashboard'!C$12="Exponential Growth",VLOOKUP(B32,B$187:D$240,3,FALSE),""))))</f>
        <v/>
      </c>
      <c r="D32" s="60" t="str">
        <f t="shared" si="21"/>
        <v/>
      </c>
      <c r="E32" s="59" t="str">
        <f t="shared" si="0"/>
        <v/>
      </c>
      <c r="F32" s="60" t="str">
        <f t="shared" si="1"/>
        <v/>
      </c>
      <c r="G32" s="61" t="str">
        <f t="shared" si="2"/>
        <v/>
      </c>
      <c r="H32" s="61" t="str">
        <f t="shared" si="3"/>
        <v/>
      </c>
      <c r="I32" s="59" t="str">
        <f t="shared" si="4"/>
        <v/>
      </c>
      <c r="J32" s="60" t="str">
        <f t="shared" si="5"/>
        <v/>
      </c>
      <c r="K32" s="59" t="str">
        <f t="shared" si="6"/>
        <v/>
      </c>
      <c r="L32" s="60" t="str">
        <f t="shared" si="7"/>
        <v/>
      </c>
      <c r="M32" s="59" t="str">
        <f t="shared" ca="1" si="8"/>
        <v/>
      </c>
      <c r="N32" s="60" t="str">
        <f t="shared" ca="1" si="9"/>
        <v/>
      </c>
      <c r="O32" s="59" t="str">
        <f t="shared" ca="1" si="10"/>
        <v/>
      </c>
      <c r="P32" s="60" t="str">
        <f t="shared" ca="1" si="11"/>
        <v/>
      </c>
      <c r="Q32" s="59" t="str">
        <f t="shared" ca="1" si="12"/>
        <v/>
      </c>
      <c r="R32" s="60" t="str">
        <f t="shared" ca="1" si="13"/>
        <v/>
      </c>
      <c r="S32" s="59" t="str">
        <f t="shared" ca="1" si="14"/>
        <v/>
      </c>
      <c r="T32" s="61" t="str">
        <f t="shared" ca="1" si="15"/>
        <v/>
      </c>
      <c r="U32" s="59" t="str">
        <f t="shared" ca="1" si="16"/>
        <v/>
      </c>
      <c r="V32" s="61" t="str">
        <f t="shared" ca="1" si="17"/>
        <v/>
      </c>
      <c r="W32" s="61" t="str">
        <f t="shared" ca="1" si="22"/>
        <v/>
      </c>
      <c r="X32" s="60" t="str">
        <f t="shared" ca="1" si="18"/>
        <v/>
      </c>
      <c r="Y32" s="61" t="str">
        <f t="shared" si="19"/>
        <v/>
      </c>
      <c r="Z32" s="60" t="str">
        <f t="shared" si="20"/>
        <v/>
      </c>
    </row>
    <row r="33" spans="2:26" x14ac:dyDescent="0.75">
      <c r="B33" s="59" t="str">
        <f>IF('User Dashboard'!C$12="SIR Model",IF(B150&gt;('User Dashboard'!$H$12+'User Dashboard'!$H$13),"",B150),IF('User Dashboard'!C$12="Manual Entry",IF(B93&gt;('User Dashboard'!$H$12+'User Dashboard'!$H$13),"",B93),IF('User Dashboard'!C$12="Exponential Growth",B207)))</f>
        <v/>
      </c>
      <c r="C33" s="385" t="str">
        <f>IF(B33="","",IF('User Dashboard'!C$12="SIR Model",VLOOKUP(B33,B$130:C$182,2,FALSE),IF('User Dashboard'!C$12="Manual Entry",VLOOKUP(B33,B$73:C$125,2,FALSE),IF('User Dashboard'!C$12="Exponential Growth",VLOOKUP(B33,B$187:D$240,3,FALSE),""))))</f>
        <v/>
      </c>
      <c r="D33" s="60" t="str">
        <f t="shared" si="21"/>
        <v/>
      </c>
      <c r="E33" s="59" t="str">
        <f t="shared" si="0"/>
        <v/>
      </c>
      <c r="F33" s="60" t="str">
        <f t="shared" si="1"/>
        <v/>
      </c>
      <c r="G33" s="61" t="str">
        <f t="shared" si="2"/>
        <v/>
      </c>
      <c r="H33" s="61" t="str">
        <f t="shared" si="3"/>
        <v/>
      </c>
      <c r="I33" s="59" t="str">
        <f t="shared" si="4"/>
        <v/>
      </c>
      <c r="J33" s="60" t="str">
        <f t="shared" si="5"/>
        <v/>
      </c>
      <c r="K33" s="59" t="str">
        <f t="shared" si="6"/>
        <v/>
      </c>
      <c r="L33" s="60" t="str">
        <f t="shared" si="7"/>
        <v/>
      </c>
      <c r="M33" s="59" t="str">
        <f t="shared" ca="1" si="8"/>
        <v/>
      </c>
      <c r="N33" s="60" t="str">
        <f t="shared" ca="1" si="9"/>
        <v/>
      </c>
      <c r="O33" s="59" t="str">
        <f t="shared" ca="1" si="10"/>
        <v/>
      </c>
      <c r="P33" s="60" t="str">
        <f t="shared" ca="1" si="11"/>
        <v/>
      </c>
      <c r="Q33" s="59" t="str">
        <f t="shared" ca="1" si="12"/>
        <v/>
      </c>
      <c r="R33" s="60" t="str">
        <f t="shared" ca="1" si="13"/>
        <v/>
      </c>
      <c r="S33" s="59" t="str">
        <f t="shared" ca="1" si="14"/>
        <v/>
      </c>
      <c r="T33" s="61" t="str">
        <f t="shared" ca="1" si="15"/>
        <v/>
      </c>
      <c r="U33" s="59" t="str">
        <f t="shared" ca="1" si="16"/>
        <v/>
      </c>
      <c r="V33" s="61" t="str">
        <f t="shared" ca="1" si="17"/>
        <v/>
      </c>
      <c r="W33" s="61" t="str">
        <f t="shared" ca="1" si="22"/>
        <v/>
      </c>
      <c r="X33" s="60" t="str">
        <f t="shared" ca="1" si="18"/>
        <v/>
      </c>
      <c r="Y33" s="61" t="str">
        <f t="shared" si="19"/>
        <v/>
      </c>
      <c r="Z33" s="60" t="str">
        <f t="shared" si="20"/>
        <v/>
      </c>
    </row>
    <row r="34" spans="2:26" x14ac:dyDescent="0.75">
      <c r="B34" s="59" t="str">
        <f>IF('User Dashboard'!C$12="SIR Model",IF(B151&gt;('User Dashboard'!$H$12+'User Dashboard'!$H$13),"",B151),IF('User Dashboard'!C$12="Manual Entry",IF(B94&gt;('User Dashboard'!$H$12+'User Dashboard'!$H$13),"",B94),IF('User Dashboard'!C$12="Exponential Growth",B208)))</f>
        <v/>
      </c>
      <c r="C34" s="385" t="str">
        <f>IF(B34="","",IF('User Dashboard'!C$12="SIR Model",VLOOKUP(B34,B$130:C$182,2,FALSE),IF('User Dashboard'!C$12="Manual Entry",VLOOKUP(B34,B$73:C$125,2,FALSE),IF('User Dashboard'!C$12="Exponential Growth",VLOOKUP(B34,B$187:D$240,3,FALSE),""))))</f>
        <v/>
      </c>
      <c r="D34" s="60" t="str">
        <f t="shared" si="21"/>
        <v/>
      </c>
      <c r="E34" s="59" t="str">
        <f t="shared" si="0"/>
        <v/>
      </c>
      <c r="F34" s="60" t="str">
        <f t="shared" si="1"/>
        <v/>
      </c>
      <c r="G34" s="61" t="str">
        <f t="shared" si="2"/>
        <v/>
      </c>
      <c r="H34" s="61" t="str">
        <f t="shared" si="3"/>
        <v/>
      </c>
      <c r="I34" s="59" t="str">
        <f t="shared" si="4"/>
        <v/>
      </c>
      <c r="J34" s="60" t="str">
        <f t="shared" si="5"/>
        <v/>
      </c>
      <c r="K34" s="59" t="str">
        <f t="shared" si="6"/>
        <v/>
      </c>
      <c r="L34" s="60" t="str">
        <f t="shared" si="7"/>
        <v/>
      </c>
      <c r="M34" s="59" t="str">
        <f t="shared" ca="1" si="8"/>
        <v/>
      </c>
      <c r="N34" s="60" t="str">
        <f t="shared" ca="1" si="9"/>
        <v/>
      </c>
      <c r="O34" s="59" t="str">
        <f t="shared" ca="1" si="10"/>
        <v/>
      </c>
      <c r="P34" s="60" t="str">
        <f t="shared" ca="1" si="11"/>
        <v/>
      </c>
      <c r="Q34" s="59" t="str">
        <f t="shared" ca="1" si="12"/>
        <v/>
      </c>
      <c r="R34" s="60" t="str">
        <f t="shared" ca="1" si="13"/>
        <v/>
      </c>
      <c r="S34" s="59" t="str">
        <f t="shared" ca="1" si="14"/>
        <v/>
      </c>
      <c r="T34" s="61" t="str">
        <f t="shared" ca="1" si="15"/>
        <v/>
      </c>
      <c r="U34" s="59" t="str">
        <f t="shared" ca="1" si="16"/>
        <v/>
      </c>
      <c r="V34" s="61" t="str">
        <f t="shared" ca="1" si="17"/>
        <v/>
      </c>
      <c r="W34" s="61" t="str">
        <f t="shared" ca="1" si="22"/>
        <v/>
      </c>
      <c r="X34" s="60" t="str">
        <f t="shared" ca="1" si="18"/>
        <v/>
      </c>
      <c r="Y34" s="61" t="str">
        <f t="shared" si="19"/>
        <v/>
      </c>
      <c r="Z34" s="60" t="str">
        <f t="shared" si="20"/>
        <v/>
      </c>
    </row>
    <row r="35" spans="2:26" x14ac:dyDescent="0.75">
      <c r="B35" s="59" t="str">
        <f>IF('User Dashboard'!C$12="SIR Model",IF(B152&gt;('User Dashboard'!$H$12+'User Dashboard'!$H$13),"",B152),IF('User Dashboard'!C$12="Manual Entry",IF(B95&gt;('User Dashboard'!$H$12+'User Dashboard'!$H$13),"",B95),IF('User Dashboard'!C$12="Exponential Growth",B209)))</f>
        <v/>
      </c>
      <c r="C35" s="385" t="str">
        <f>IF(B35="","",IF('User Dashboard'!C$12="SIR Model",VLOOKUP(B35,B$130:C$182,2,FALSE),IF('User Dashboard'!C$12="Manual Entry",VLOOKUP(B35,B$73:C$125,2,FALSE),IF('User Dashboard'!C$12="Exponential Growth",VLOOKUP(B35,B$187:D$240,3,FALSE),""))))</f>
        <v/>
      </c>
      <c r="D35" s="60" t="str">
        <f t="shared" si="21"/>
        <v/>
      </c>
      <c r="E35" s="59" t="str">
        <f t="shared" si="0"/>
        <v/>
      </c>
      <c r="F35" s="60" t="str">
        <f t="shared" si="1"/>
        <v/>
      </c>
      <c r="G35" s="61" t="str">
        <f t="shared" si="2"/>
        <v/>
      </c>
      <c r="H35" s="61" t="str">
        <f t="shared" si="3"/>
        <v/>
      </c>
      <c r="I35" s="59" t="str">
        <f t="shared" si="4"/>
        <v/>
      </c>
      <c r="J35" s="60" t="str">
        <f t="shared" si="5"/>
        <v/>
      </c>
      <c r="K35" s="59" t="str">
        <f t="shared" si="6"/>
        <v/>
      </c>
      <c r="L35" s="60" t="str">
        <f t="shared" si="7"/>
        <v/>
      </c>
      <c r="M35" s="59" t="str">
        <f t="shared" ca="1" si="8"/>
        <v/>
      </c>
      <c r="N35" s="60" t="str">
        <f t="shared" ca="1" si="9"/>
        <v/>
      </c>
      <c r="O35" s="59" t="str">
        <f t="shared" ca="1" si="10"/>
        <v/>
      </c>
      <c r="P35" s="60" t="str">
        <f t="shared" ca="1" si="11"/>
        <v/>
      </c>
      <c r="Q35" s="59" t="str">
        <f t="shared" ca="1" si="12"/>
        <v/>
      </c>
      <c r="R35" s="60" t="str">
        <f t="shared" ca="1" si="13"/>
        <v/>
      </c>
      <c r="S35" s="59" t="str">
        <f t="shared" ca="1" si="14"/>
        <v/>
      </c>
      <c r="T35" s="61" t="str">
        <f t="shared" ca="1" si="15"/>
        <v/>
      </c>
      <c r="U35" s="59" t="str">
        <f t="shared" ca="1" si="16"/>
        <v/>
      </c>
      <c r="V35" s="61" t="str">
        <f t="shared" ca="1" si="17"/>
        <v/>
      </c>
      <c r="W35" s="61" t="str">
        <f t="shared" ca="1" si="22"/>
        <v/>
      </c>
      <c r="X35" s="60" t="str">
        <f t="shared" ca="1" si="18"/>
        <v/>
      </c>
      <c r="Y35" s="61" t="str">
        <f t="shared" si="19"/>
        <v/>
      </c>
      <c r="Z35" s="60" t="str">
        <f t="shared" si="20"/>
        <v/>
      </c>
    </row>
    <row r="36" spans="2:26" x14ac:dyDescent="0.75">
      <c r="B36" s="59" t="str">
        <f>IF('User Dashboard'!C$12="SIR Model",IF(B153&gt;('User Dashboard'!$H$12+'User Dashboard'!$H$13),"",B153),IF('User Dashboard'!C$12="Manual Entry",IF(B96&gt;('User Dashboard'!$H$12+'User Dashboard'!$H$13),"",B96),IF('User Dashboard'!C$12="Exponential Growth",B210)))</f>
        <v/>
      </c>
      <c r="C36" s="385" t="str">
        <f>IF(B36="","",IF('User Dashboard'!C$12="SIR Model",VLOOKUP(B36,B$130:C$182,2,FALSE),IF('User Dashboard'!C$12="Manual Entry",VLOOKUP(B36,B$73:C$125,2,FALSE),IF('User Dashboard'!C$12="Exponential Growth",VLOOKUP(B36,B$187:D$240,3,FALSE),""))))</f>
        <v/>
      </c>
      <c r="D36" s="60" t="str">
        <f t="shared" si="21"/>
        <v/>
      </c>
      <c r="E36" s="59" t="str">
        <f t="shared" si="0"/>
        <v/>
      </c>
      <c r="F36" s="60" t="str">
        <f t="shared" si="1"/>
        <v/>
      </c>
      <c r="G36" s="61" t="str">
        <f t="shared" si="2"/>
        <v/>
      </c>
      <c r="H36" s="61" t="str">
        <f t="shared" si="3"/>
        <v/>
      </c>
      <c r="I36" s="59" t="str">
        <f t="shared" si="4"/>
        <v/>
      </c>
      <c r="J36" s="60" t="str">
        <f t="shared" si="5"/>
        <v/>
      </c>
      <c r="K36" s="59" t="str">
        <f t="shared" si="6"/>
        <v/>
      </c>
      <c r="L36" s="60" t="str">
        <f t="shared" si="7"/>
        <v/>
      </c>
      <c r="M36" s="59" t="str">
        <f t="shared" ca="1" si="8"/>
        <v/>
      </c>
      <c r="N36" s="60" t="str">
        <f t="shared" ca="1" si="9"/>
        <v/>
      </c>
      <c r="O36" s="59" t="str">
        <f t="shared" ca="1" si="10"/>
        <v/>
      </c>
      <c r="P36" s="60" t="str">
        <f t="shared" ca="1" si="11"/>
        <v/>
      </c>
      <c r="Q36" s="59" t="str">
        <f t="shared" ca="1" si="12"/>
        <v/>
      </c>
      <c r="R36" s="60" t="str">
        <f t="shared" ca="1" si="13"/>
        <v/>
      </c>
      <c r="S36" s="59" t="str">
        <f t="shared" ca="1" si="14"/>
        <v/>
      </c>
      <c r="T36" s="61" t="str">
        <f t="shared" ca="1" si="15"/>
        <v/>
      </c>
      <c r="U36" s="59" t="str">
        <f t="shared" ca="1" si="16"/>
        <v/>
      </c>
      <c r="V36" s="61" t="str">
        <f t="shared" ca="1" si="17"/>
        <v/>
      </c>
      <c r="W36" s="61" t="str">
        <f t="shared" ca="1" si="22"/>
        <v/>
      </c>
      <c r="X36" s="60" t="str">
        <f t="shared" ca="1" si="18"/>
        <v/>
      </c>
      <c r="Y36" s="61" t="str">
        <f t="shared" si="19"/>
        <v/>
      </c>
      <c r="Z36" s="60" t="str">
        <f t="shared" si="20"/>
        <v/>
      </c>
    </row>
    <row r="37" spans="2:26" x14ac:dyDescent="0.75">
      <c r="B37" s="59" t="str">
        <f>IF('User Dashboard'!C$12="SIR Model",IF(B154&gt;('User Dashboard'!$H$12+'User Dashboard'!$H$13),"",B154),IF('User Dashboard'!C$12="Manual Entry",IF(B97&gt;('User Dashboard'!$H$12+'User Dashboard'!$H$13),"",B97),IF('User Dashboard'!C$12="Exponential Growth",B211)))</f>
        <v/>
      </c>
      <c r="C37" s="385" t="str">
        <f>IF(B37="","",IF('User Dashboard'!C$12="SIR Model",VLOOKUP(B37,B$130:C$182,2,FALSE),IF('User Dashboard'!C$12="Manual Entry",VLOOKUP(B37,B$73:C$125,2,FALSE),IF('User Dashboard'!C$12="Exponential Growth",VLOOKUP(B37,B$187:D$240,3,FALSE),""))))</f>
        <v/>
      </c>
      <c r="D37" s="60" t="str">
        <f t="shared" si="21"/>
        <v/>
      </c>
      <c r="E37" s="59" t="str">
        <f t="shared" si="0"/>
        <v/>
      </c>
      <c r="F37" s="60" t="str">
        <f t="shared" si="1"/>
        <v/>
      </c>
      <c r="G37" s="61" t="str">
        <f t="shared" si="2"/>
        <v/>
      </c>
      <c r="H37" s="61" t="str">
        <f t="shared" si="3"/>
        <v/>
      </c>
      <c r="I37" s="59" t="str">
        <f t="shared" si="4"/>
        <v/>
      </c>
      <c r="J37" s="60" t="str">
        <f t="shared" si="5"/>
        <v/>
      </c>
      <c r="K37" s="59" t="str">
        <f t="shared" si="6"/>
        <v/>
      </c>
      <c r="L37" s="60" t="str">
        <f t="shared" si="7"/>
        <v/>
      </c>
      <c r="M37" s="59" t="str">
        <f t="shared" ca="1" si="8"/>
        <v/>
      </c>
      <c r="N37" s="60" t="str">
        <f t="shared" ca="1" si="9"/>
        <v/>
      </c>
      <c r="O37" s="59" t="str">
        <f t="shared" ca="1" si="10"/>
        <v/>
      </c>
      <c r="P37" s="60" t="str">
        <f t="shared" ca="1" si="11"/>
        <v/>
      </c>
      <c r="Q37" s="59" t="str">
        <f t="shared" ca="1" si="12"/>
        <v/>
      </c>
      <c r="R37" s="60" t="str">
        <f t="shared" ca="1" si="13"/>
        <v/>
      </c>
      <c r="S37" s="59" t="str">
        <f t="shared" ca="1" si="14"/>
        <v/>
      </c>
      <c r="T37" s="61" t="str">
        <f t="shared" ca="1" si="15"/>
        <v/>
      </c>
      <c r="U37" s="59" t="str">
        <f t="shared" ca="1" si="16"/>
        <v/>
      </c>
      <c r="V37" s="61" t="str">
        <f t="shared" ca="1" si="17"/>
        <v/>
      </c>
      <c r="W37" s="61" t="str">
        <f t="shared" ca="1" si="22"/>
        <v/>
      </c>
      <c r="X37" s="60" t="str">
        <f t="shared" ca="1" si="18"/>
        <v/>
      </c>
      <c r="Y37" s="61" t="str">
        <f t="shared" si="19"/>
        <v/>
      </c>
      <c r="Z37" s="60" t="str">
        <f t="shared" si="20"/>
        <v/>
      </c>
    </row>
    <row r="38" spans="2:26" x14ac:dyDescent="0.75">
      <c r="B38" s="59" t="str">
        <f>IF('User Dashboard'!C$12="SIR Model",IF(B155&gt;('User Dashboard'!$H$12+'User Dashboard'!$H$13),"",B155),IF('User Dashboard'!C$12="Manual Entry",IF(B98&gt;('User Dashboard'!$H$12+'User Dashboard'!$H$13),"",B98),IF('User Dashboard'!C$12="Exponential Growth",B212)))</f>
        <v/>
      </c>
      <c r="C38" s="385" t="str">
        <f>IF(B38="","",IF('User Dashboard'!C$12="SIR Model",VLOOKUP(B38,B$130:C$182,2,FALSE),IF('User Dashboard'!C$12="Manual Entry",VLOOKUP(B38,B$73:C$125,2,FALSE),IF('User Dashboard'!C$12="Exponential Growth",VLOOKUP(B38,B$187:D$240,3,FALSE),""))))</f>
        <v/>
      </c>
      <c r="D38" s="60" t="str">
        <f t="shared" si="21"/>
        <v/>
      </c>
      <c r="E38" s="59" t="str">
        <f t="shared" si="0"/>
        <v/>
      </c>
      <c r="F38" s="60" t="str">
        <f t="shared" si="1"/>
        <v/>
      </c>
      <c r="G38" s="61" t="str">
        <f t="shared" si="2"/>
        <v/>
      </c>
      <c r="H38" s="61" t="str">
        <f t="shared" si="3"/>
        <v/>
      </c>
      <c r="I38" s="59" t="str">
        <f t="shared" si="4"/>
        <v/>
      </c>
      <c r="J38" s="60" t="str">
        <f t="shared" si="5"/>
        <v/>
      </c>
      <c r="K38" s="59" t="str">
        <f t="shared" si="6"/>
        <v/>
      </c>
      <c r="L38" s="60" t="str">
        <f t="shared" si="7"/>
        <v/>
      </c>
      <c r="M38" s="59" t="str">
        <f t="shared" ca="1" si="8"/>
        <v/>
      </c>
      <c r="N38" s="60" t="str">
        <f t="shared" ca="1" si="9"/>
        <v/>
      </c>
      <c r="O38" s="59" t="str">
        <f t="shared" ca="1" si="10"/>
        <v/>
      </c>
      <c r="P38" s="60" t="str">
        <f t="shared" ca="1" si="11"/>
        <v/>
      </c>
      <c r="Q38" s="59" t="str">
        <f t="shared" ca="1" si="12"/>
        <v/>
      </c>
      <c r="R38" s="60" t="str">
        <f t="shared" ca="1" si="13"/>
        <v/>
      </c>
      <c r="S38" s="59" t="str">
        <f t="shared" ca="1" si="14"/>
        <v/>
      </c>
      <c r="T38" s="61" t="str">
        <f t="shared" ca="1" si="15"/>
        <v/>
      </c>
      <c r="U38" s="59" t="str">
        <f t="shared" ca="1" si="16"/>
        <v/>
      </c>
      <c r="V38" s="61" t="str">
        <f t="shared" ca="1" si="17"/>
        <v/>
      </c>
      <c r="W38" s="61" t="str">
        <f t="shared" ca="1" si="22"/>
        <v/>
      </c>
      <c r="X38" s="60" t="str">
        <f t="shared" ca="1" si="18"/>
        <v/>
      </c>
      <c r="Y38" s="61" t="str">
        <f t="shared" si="19"/>
        <v/>
      </c>
      <c r="Z38" s="60" t="str">
        <f t="shared" si="20"/>
        <v/>
      </c>
    </row>
    <row r="39" spans="2:26" x14ac:dyDescent="0.75">
      <c r="B39" s="59" t="str">
        <f>IF('User Dashboard'!C$12="SIR Model",IF(B156&gt;('User Dashboard'!$H$12+'User Dashboard'!$H$13),"",B156),IF('User Dashboard'!C$12="Manual Entry",IF(B99&gt;('User Dashboard'!$H$12+'User Dashboard'!$H$13),"",B99),IF('User Dashboard'!C$12="Exponential Growth",B213)))</f>
        <v/>
      </c>
      <c r="C39" s="385" t="str">
        <f>IF(B39="","",IF('User Dashboard'!C$12="SIR Model",VLOOKUP(B39,B$130:C$182,2,FALSE),IF('User Dashboard'!C$12="Manual Entry",VLOOKUP(B39,B$73:C$125,2,FALSE),IF('User Dashboard'!C$12="Exponential Growth",VLOOKUP(B39,B$187:D$240,3,FALSE),""))))</f>
        <v/>
      </c>
      <c r="D39" s="60" t="str">
        <f t="shared" si="21"/>
        <v/>
      </c>
      <c r="E39" s="59" t="str">
        <f t="shared" si="0"/>
        <v/>
      </c>
      <c r="F39" s="60" t="str">
        <f t="shared" si="1"/>
        <v/>
      </c>
      <c r="G39" s="61" t="str">
        <f t="shared" si="2"/>
        <v/>
      </c>
      <c r="H39" s="61" t="str">
        <f t="shared" si="3"/>
        <v/>
      </c>
      <c r="I39" s="59" t="str">
        <f t="shared" si="4"/>
        <v/>
      </c>
      <c r="J39" s="60" t="str">
        <f t="shared" si="5"/>
        <v/>
      </c>
      <c r="K39" s="59" t="str">
        <f t="shared" si="6"/>
        <v/>
      </c>
      <c r="L39" s="60" t="str">
        <f t="shared" si="7"/>
        <v/>
      </c>
      <c r="M39" s="59" t="str">
        <f t="shared" ca="1" si="8"/>
        <v/>
      </c>
      <c r="N39" s="60" t="str">
        <f t="shared" ca="1" si="9"/>
        <v/>
      </c>
      <c r="O39" s="59" t="str">
        <f t="shared" ca="1" si="10"/>
        <v/>
      </c>
      <c r="P39" s="60" t="str">
        <f t="shared" ca="1" si="11"/>
        <v/>
      </c>
      <c r="Q39" s="59" t="str">
        <f t="shared" ca="1" si="12"/>
        <v/>
      </c>
      <c r="R39" s="60" t="str">
        <f t="shared" ca="1" si="13"/>
        <v/>
      </c>
      <c r="S39" s="59" t="str">
        <f t="shared" ca="1" si="14"/>
        <v/>
      </c>
      <c r="T39" s="61" t="str">
        <f t="shared" ca="1" si="15"/>
        <v/>
      </c>
      <c r="U39" s="59" t="str">
        <f t="shared" ca="1" si="16"/>
        <v/>
      </c>
      <c r="V39" s="61" t="str">
        <f t="shared" ca="1" si="17"/>
        <v/>
      </c>
      <c r="W39" s="61" t="str">
        <f t="shared" ca="1" si="22"/>
        <v/>
      </c>
      <c r="X39" s="60" t="str">
        <f t="shared" ca="1" si="18"/>
        <v/>
      </c>
      <c r="Y39" s="61" t="str">
        <f t="shared" si="19"/>
        <v/>
      </c>
      <c r="Z39" s="60" t="str">
        <f t="shared" si="20"/>
        <v/>
      </c>
    </row>
    <row r="40" spans="2:26" x14ac:dyDescent="0.75">
      <c r="B40" s="59" t="str">
        <f>IF('User Dashboard'!C$12="SIR Model",IF(B157&gt;('User Dashboard'!$H$12+'User Dashboard'!$H$13),"",B157),IF('User Dashboard'!C$12="Manual Entry",IF(B100&gt;('User Dashboard'!$H$12+'User Dashboard'!$H$13),"",B100),IF('User Dashboard'!C$12="Exponential Growth",B214)))</f>
        <v/>
      </c>
      <c r="C40" s="385" t="str">
        <f>IF(B40="","",IF('User Dashboard'!C$12="SIR Model",VLOOKUP(B40,B$130:C$182,2,FALSE),IF('User Dashboard'!C$12="Manual Entry",VLOOKUP(B40,B$73:C$125,2,FALSE),IF('User Dashboard'!C$12="Exponential Growth",VLOOKUP(B40,B$187:D$240,3,FALSE),""))))</f>
        <v/>
      </c>
      <c r="D40" s="60" t="str">
        <f t="shared" si="21"/>
        <v/>
      </c>
      <c r="E40" s="59" t="str">
        <f t="shared" si="0"/>
        <v/>
      </c>
      <c r="F40" s="60" t="str">
        <f t="shared" si="1"/>
        <v/>
      </c>
      <c r="G40" s="61" t="str">
        <f t="shared" si="2"/>
        <v/>
      </c>
      <c r="H40" s="61" t="str">
        <f t="shared" si="3"/>
        <v/>
      </c>
      <c r="I40" s="59" t="str">
        <f t="shared" si="4"/>
        <v/>
      </c>
      <c r="J40" s="60" t="str">
        <f t="shared" si="5"/>
        <v/>
      </c>
      <c r="K40" s="59" t="str">
        <f t="shared" si="6"/>
        <v/>
      </c>
      <c r="L40" s="60" t="str">
        <f t="shared" si="7"/>
        <v/>
      </c>
      <c r="M40" s="59" t="str">
        <f t="shared" ca="1" si="8"/>
        <v/>
      </c>
      <c r="N40" s="60" t="str">
        <f t="shared" ca="1" si="9"/>
        <v/>
      </c>
      <c r="O40" s="59" t="str">
        <f t="shared" ca="1" si="10"/>
        <v/>
      </c>
      <c r="P40" s="60" t="str">
        <f t="shared" ca="1" si="11"/>
        <v/>
      </c>
      <c r="Q40" s="59" t="str">
        <f t="shared" ca="1" si="12"/>
        <v/>
      </c>
      <c r="R40" s="60" t="str">
        <f t="shared" ca="1" si="13"/>
        <v/>
      </c>
      <c r="S40" s="59" t="str">
        <f t="shared" ca="1" si="14"/>
        <v/>
      </c>
      <c r="T40" s="61" t="str">
        <f t="shared" ca="1" si="15"/>
        <v/>
      </c>
      <c r="U40" s="59" t="str">
        <f t="shared" ca="1" si="16"/>
        <v/>
      </c>
      <c r="V40" s="61" t="str">
        <f t="shared" ca="1" si="17"/>
        <v/>
      </c>
      <c r="W40" s="61" t="str">
        <f t="shared" ca="1" si="22"/>
        <v/>
      </c>
      <c r="X40" s="60" t="str">
        <f t="shared" ca="1" si="18"/>
        <v/>
      </c>
      <c r="Y40" s="61" t="str">
        <f t="shared" si="19"/>
        <v/>
      </c>
      <c r="Z40" s="60" t="str">
        <f t="shared" si="20"/>
        <v/>
      </c>
    </row>
    <row r="41" spans="2:26" x14ac:dyDescent="0.75">
      <c r="B41" s="59" t="str">
        <f>IF('User Dashboard'!C$12="SIR Model",IF(B158&gt;('User Dashboard'!$H$12+'User Dashboard'!$H$13),"",B158),IF('User Dashboard'!C$12="Manual Entry",IF(B101&gt;('User Dashboard'!$H$12+'User Dashboard'!$H$13),"",B101),IF('User Dashboard'!C$12="Exponential Growth",B215)))</f>
        <v/>
      </c>
      <c r="C41" s="385" t="str">
        <f>IF(B41="","",IF('User Dashboard'!C$12="SIR Model",VLOOKUP(B41,B$130:C$182,2,FALSE),IF('User Dashboard'!C$12="Manual Entry",VLOOKUP(B41,B$73:C$125,2,FALSE),IF('User Dashboard'!C$12="Exponential Growth",VLOOKUP(B41,B$187:D$240,3,FALSE),""))))</f>
        <v/>
      </c>
      <c r="D41" s="60" t="str">
        <f t="shared" si="21"/>
        <v/>
      </c>
      <c r="E41" s="59" t="str">
        <f t="shared" si="0"/>
        <v/>
      </c>
      <c r="F41" s="60" t="str">
        <f t="shared" si="1"/>
        <v/>
      </c>
      <c r="G41" s="61" t="str">
        <f t="shared" si="2"/>
        <v/>
      </c>
      <c r="H41" s="61" t="str">
        <f t="shared" si="3"/>
        <v/>
      </c>
      <c r="I41" s="59" t="str">
        <f t="shared" si="4"/>
        <v/>
      </c>
      <c r="J41" s="60" t="str">
        <f t="shared" si="5"/>
        <v/>
      </c>
      <c r="K41" s="59" t="str">
        <f t="shared" si="6"/>
        <v/>
      </c>
      <c r="L41" s="60" t="str">
        <f t="shared" si="7"/>
        <v/>
      </c>
      <c r="M41" s="59" t="str">
        <f t="shared" ca="1" si="8"/>
        <v/>
      </c>
      <c r="N41" s="60" t="str">
        <f t="shared" ca="1" si="9"/>
        <v/>
      </c>
      <c r="O41" s="59" t="str">
        <f t="shared" ca="1" si="10"/>
        <v/>
      </c>
      <c r="P41" s="60" t="str">
        <f t="shared" ca="1" si="11"/>
        <v/>
      </c>
      <c r="Q41" s="59" t="str">
        <f t="shared" ca="1" si="12"/>
        <v/>
      </c>
      <c r="R41" s="60" t="str">
        <f t="shared" ca="1" si="13"/>
        <v/>
      </c>
      <c r="S41" s="59" t="str">
        <f t="shared" ca="1" si="14"/>
        <v/>
      </c>
      <c r="T41" s="61" t="str">
        <f t="shared" ca="1" si="15"/>
        <v/>
      </c>
      <c r="U41" s="59" t="str">
        <f t="shared" ca="1" si="16"/>
        <v/>
      </c>
      <c r="V41" s="61" t="str">
        <f t="shared" ca="1" si="17"/>
        <v/>
      </c>
      <c r="W41" s="61" t="str">
        <f t="shared" ca="1" si="22"/>
        <v/>
      </c>
      <c r="X41" s="60" t="str">
        <f t="shared" ca="1" si="18"/>
        <v/>
      </c>
      <c r="Y41" s="61" t="str">
        <f t="shared" si="19"/>
        <v/>
      </c>
      <c r="Z41" s="60" t="str">
        <f t="shared" si="20"/>
        <v/>
      </c>
    </row>
    <row r="42" spans="2:26" x14ac:dyDescent="0.75">
      <c r="B42" s="59" t="str">
        <f>IF('User Dashboard'!C$12="SIR Model",IF(B159&gt;('User Dashboard'!$H$12+'User Dashboard'!$H$13),"",B159),IF('User Dashboard'!C$12="Manual Entry",IF(B102&gt;('User Dashboard'!$H$12+'User Dashboard'!$H$13),"",B102),IF('User Dashboard'!C$12="Exponential Growth",B216)))</f>
        <v/>
      </c>
      <c r="C42" s="385" t="str">
        <f>IF(B42="","",IF('User Dashboard'!C$12="SIR Model",VLOOKUP(B42,B$130:C$182,2,FALSE),IF('User Dashboard'!C$12="Manual Entry",VLOOKUP(B42,B$73:C$125,2,FALSE),IF('User Dashboard'!C$12="Exponential Growth",VLOOKUP(B42,B$187:D$240,3,FALSE),""))))</f>
        <v/>
      </c>
      <c r="D42" s="60" t="str">
        <f t="shared" si="21"/>
        <v/>
      </c>
      <c r="E42" s="59" t="str">
        <f t="shared" si="0"/>
        <v/>
      </c>
      <c r="F42" s="60" t="str">
        <f t="shared" si="1"/>
        <v/>
      </c>
      <c r="G42" s="61" t="str">
        <f t="shared" si="2"/>
        <v/>
      </c>
      <c r="H42" s="61" t="str">
        <f t="shared" si="3"/>
        <v/>
      </c>
      <c r="I42" s="59" t="str">
        <f t="shared" si="4"/>
        <v/>
      </c>
      <c r="J42" s="60" t="str">
        <f t="shared" si="5"/>
        <v/>
      </c>
      <c r="K42" s="59" t="str">
        <f t="shared" si="6"/>
        <v/>
      </c>
      <c r="L42" s="60" t="str">
        <f t="shared" si="7"/>
        <v/>
      </c>
      <c r="M42" s="59" t="str">
        <f t="shared" ca="1" si="8"/>
        <v/>
      </c>
      <c r="N42" s="60" t="str">
        <f t="shared" ca="1" si="9"/>
        <v/>
      </c>
      <c r="O42" s="59" t="str">
        <f t="shared" ca="1" si="10"/>
        <v/>
      </c>
      <c r="P42" s="60" t="str">
        <f t="shared" ca="1" si="11"/>
        <v/>
      </c>
      <c r="Q42" s="59" t="str">
        <f t="shared" ca="1" si="12"/>
        <v/>
      </c>
      <c r="R42" s="60" t="str">
        <f t="shared" ca="1" si="13"/>
        <v/>
      </c>
      <c r="S42" s="59" t="str">
        <f t="shared" ca="1" si="14"/>
        <v/>
      </c>
      <c r="T42" s="61" t="str">
        <f t="shared" ca="1" si="15"/>
        <v/>
      </c>
      <c r="U42" s="59" t="str">
        <f t="shared" ca="1" si="16"/>
        <v/>
      </c>
      <c r="V42" s="61" t="str">
        <f t="shared" ca="1" si="17"/>
        <v/>
      </c>
      <c r="W42" s="61" t="str">
        <f t="shared" ca="1" si="22"/>
        <v/>
      </c>
      <c r="X42" s="60" t="str">
        <f t="shared" ca="1" si="18"/>
        <v/>
      </c>
      <c r="Y42" s="61" t="str">
        <f t="shared" si="19"/>
        <v/>
      </c>
      <c r="Z42" s="60" t="str">
        <f t="shared" si="20"/>
        <v/>
      </c>
    </row>
    <row r="43" spans="2:26" x14ac:dyDescent="0.75">
      <c r="B43" s="59" t="str">
        <f>IF('User Dashboard'!C$12="SIR Model",IF(B160&gt;('User Dashboard'!$H$12+'User Dashboard'!$H$13),"",B160),IF('User Dashboard'!C$12="Manual Entry",IF(B103&gt;('User Dashboard'!$H$12+'User Dashboard'!$H$13),"",B103),IF('User Dashboard'!C$12="Exponential Growth",B217)))</f>
        <v/>
      </c>
      <c r="C43" s="385" t="str">
        <f>IF(B43="","",IF('User Dashboard'!C$12="SIR Model",VLOOKUP(B43,B$130:C$182,2,FALSE),IF('User Dashboard'!C$12="Manual Entry",VLOOKUP(B43,B$73:C$125,2,FALSE),IF('User Dashboard'!C$12="Exponential Growth",VLOOKUP(B43,B$187:D$240,3,FALSE),""))))</f>
        <v/>
      </c>
      <c r="D43" s="60" t="str">
        <f t="shared" si="21"/>
        <v/>
      </c>
      <c r="E43" s="59" t="str">
        <f t="shared" si="0"/>
        <v/>
      </c>
      <c r="F43" s="60" t="str">
        <f t="shared" si="1"/>
        <v/>
      </c>
      <c r="G43" s="61" t="str">
        <f t="shared" si="2"/>
        <v/>
      </c>
      <c r="H43" s="61" t="str">
        <f t="shared" si="3"/>
        <v/>
      </c>
      <c r="I43" s="59" t="str">
        <f t="shared" si="4"/>
        <v/>
      </c>
      <c r="J43" s="60" t="str">
        <f t="shared" si="5"/>
        <v/>
      </c>
      <c r="K43" s="59" t="str">
        <f t="shared" si="6"/>
        <v/>
      </c>
      <c r="L43" s="60" t="str">
        <f t="shared" si="7"/>
        <v/>
      </c>
      <c r="M43" s="59" t="str">
        <f t="shared" ca="1" si="8"/>
        <v/>
      </c>
      <c r="N43" s="60" t="str">
        <f t="shared" ca="1" si="9"/>
        <v/>
      </c>
      <c r="O43" s="59" t="str">
        <f t="shared" ca="1" si="10"/>
        <v/>
      </c>
      <c r="P43" s="60" t="str">
        <f t="shared" ca="1" si="11"/>
        <v/>
      </c>
      <c r="Q43" s="59" t="str">
        <f t="shared" ca="1" si="12"/>
        <v/>
      </c>
      <c r="R43" s="60" t="str">
        <f t="shared" ca="1" si="13"/>
        <v/>
      </c>
      <c r="S43" s="59" t="str">
        <f t="shared" ca="1" si="14"/>
        <v/>
      </c>
      <c r="T43" s="61" t="str">
        <f t="shared" ca="1" si="15"/>
        <v/>
      </c>
      <c r="U43" s="59" t="str">
        <f t="shared" ca="1" si="16"/>
        <v/>
      </c>
      <c r="V43" s="61" t="str">
        <f t="shared" ca="1" si="17"/>
        <v/>
      </c>
      <c r="W43" s="61" t="str">
        <f t="shared" ca="1" si="22"/>
        <v/>
      </c>
      <c r="X43" s="60" t="str">
        <f t="shared" ca="1" si="18"/>
        <v/>
      </c>
      <c r="Y43" s="61" t="str">
        <f t="shared" si="19"/>
        <v/>
      </c>
      <c r="Z43" s="60" t="str">
        <f t="shared" si="20"/>
        <v/>
      </c>
    </row>
    <row r="44" spans="2:26" x14ac:dyDescent="0.75">
      <c r="B44" s="59" t="str">
        <f>IF('User Dashboard'!C$12="SIR Model",IF(B161&gt;('User Dashboard'!$H$12+'User Dashboard'!$H$13),"",B161),IF('User Dashboard'!C$12="Manual Entry",IF(B104&gt;('User Dashboard'!$H$12+'User Dashboard'!$H$13),"",B104),IF('User Dashboard'!C$12="Exponential Growth",B218)))</f>
        <v/>
      </c>
      <c r="C44" s="385" t="str">
        <f>IF(B44="","",IF('User Dashboard'!C$12="SIR Model",VLOOKUP(B44,B$130:C$182,2,FALSE),IF('User Dashboard'!C$12="Manual Entry",VLOOKUP(B44,B$73:C$125,2,FALSE),IF('User Dashboard'!C$12="Exponential Growth",VLOOKUP(B44,B$187:D$240,3,FALSE),""))))</f>
        <v/>
      </c>
      <c r="D44" s="60" t="str">
        <f t="shared" si="21"/>
        <v/>
      </c>
      <c r="E44" s="59" t="str">
        <f t="shared" si="0"/>
        <v/>
      </c>
      <c r="F44" s="60" t="str">
        <f t="shared" si="1"/>
        <v/>
      </c>
      <c r="G44" s="61" t="str">
        <f t="shared" si="2"/>
        <v/>
      </c>
      <c r="H44" s="61" t="str">
        <f t="shared" si="3"/>
        <v/>
      </c>
      <c r="I44" s="59" t="str">
        <f t="shared" si="4"/>
        <v/>
      </c>
      <c r="J44" s="60" t="str">
        <f t="shared" si="5"/>
        <v/>
      </c>
      <c r="K44" s="59" t="str">
        <f t="shared" si="6"/>
        <v/>
      </c>
      <c r="L44" s="60" t="str">
        <f t="shared" si="7"/>
        <v/>
      </c>
      <c r="M44" s="59" t="str">
        <f t="shared" ca="1" si="8"/>
        <v/>
      </c>
      <c r="N44" s="60" t="str">
        <f t="shared" ca="1" si="9"/>
        <v/>
      </c>
      <c r="O44" s="59" t="str">
        <f t="shared" ca="1" si="10"/>
        <v/>
      </c>
      <c r="P44" s="60" t="str">
        <f t="shared" ca="1" si="11"/>
        <v/>
      </c>
      <c r="Q44" s="59" t="str">
        <f t="shared" ca="1" si="12"/>
        <v/>
      </c>
      <c r="R44" s="60" t="str">
        <f t="shared" ca="1" si="13"/>
        <v/>
      </c>
      <c r="S44" s="59" t="str">
        <f t="shared" ca="1" si="14"/>
        <v/>
      </c>
      <c r="T44" s="61" t="str">
        <f t="shared" ca="1" si="15"/>
        <v/>
      </c>
      <c r="U44" s="59" t="str">
        <f t="shared" ca="1" si="16"/>
        <v/>
      </c>
      <c r="V44" s="61" t="str">
        <f t="shared" ca="1" si="17"/>
        <v/>
      </c>
      <c r="W44" s="61" t="str">
        <f t="shared" ca="1" si="22"/>
        <v/>
      </c>
      <c r="X44" s="60" t="str">
        <f t="shared" ca="1" si="18"/>
        <v/>
      </c>
      <c r="Y44" s="61" t="str">
        <f t="shared" si="19"/>
        <v/>
      </c>
      <c r="Z44" s="60" t="str">
        <f t="shared" si="20"/>
        <v/>
      </c>
    </row>
    <row r="45" spans="2:26" x14ac:dyDescent="0.75">
      <c r="B45" s="59" t="str">
        <f>IF('User Dashboard'!C$12="SIR Model",IF(B162&gt;('User Dashboard'!$H$12+'User Dashboard'!$H$13),"",B162),IF('User Dashboard'!C$12="Manual Entry",IF(B105&gt;('User Dashboard'!$H$12+'User Dashboard'!$H$13),"",B105),IF('User Dashboard'!C$12="Exponential Growth",B219)))</f>
        <v/>
      </c>
      <c r="C45" s="385" t="str">
        <f>IF(B45="","",IF('User Dashboard'!C$12="SIR Model",VLOOKUP(B45,B$130:C$182,2,FALSE),IF('User Dashboard'!C$12="Manual Entry",VLOOKUP(B45,B$73:C$125,2,FALSE),IF('User Dashboard'!C$12="Exponential Growth",VLOOKUP(B45,B$187:D$240,3,FALSE),""))))</f>
        <v/>
      </c>
      <c r="D45" s="60" t="str">
        <f t="shared" ref="D45:D65" si="23">IFERROR(IF(B45="","",IF(B45=0,C45,C45-C44)),"")</f>
        <v/>
      </c>
      <c r="E45" s="59" t="str">
        <f t="shared" ref="E45:E65" si="24">IFERROR(C45*MildCasePercentage,"")</f>
        <v/>
      </c>
      <c r="F45" s="60" t="str">
        <f t="shared" ref="F45:F65" si="25">IFERROR(D45*MildCasePercentage,"")</f>
        <v/>
      </c>
      <c r="G45" s="61" t="str">
        <f t="shared" ref="G45:G65" si="26">IFERROR(C45*ModerateCasePercentage,"")</f>
        <v/>
      </c>
      <c r="H45" s="61" t="str">
        <f t="shared" ref="H45:H65" si="27">IFERROR(D45*ModerateCasePercentage,"")</f>
        <v/>
      </c>
      <c r="I45" s="59" t="str">
        <f t="shared" ref="I45:I65" si="28">IFERROR(C45*SevereCasePercentage,"")</f>
        <v/>
      </c>
      <c r="J45" s="60" t="str">
        <f t="shared" ref="J45:J65" si="29">IFERROR(D45*SevereCasePercentage,"")</f>
        <v/>
      </c>
      <c r="K45" s="59" t="str">
        <f t="shared" ref="K45:K65" si="30">IFERROR(C45*CritcalCasePercentage,"")</f>
        <v/>
      </c>
      <c r="L45" s="60" t="str">
        <f t="shared" ref="L45:L65" si="31">IFERROR(D45*CritcalCasePercentage,"")</f>
        <v/>
      </c>
      <c r="M45" s="59" t="str">
        <f t="shared" ref="M45:M65" ca="1" si="32">IFERROR(IF(B45="","",IF(B45&lt;SelfQuarantine_Mild,0,OFFSET(E45,-1*SelfQuarantine_Mild,0))),"")</f>
        <v/>
      </c>
      <c r="N45" s="60" t="str">
        <f t="shared" ref="N45:N65" ca="1" si="33">IFERROR(IF(B45="","",IF(B45&lt;SelfQuarantine_Mild,0,OFFSET(F45,-1*SelfQuarantine_Mild,0))),"")</f>
        <v/>
      </c>
      <c r="O45" s="59" t="str">
        <f t="shared" ref="O45:O65" ca="1" si="34">IFERROR(IF(B45="","",IF(B45&lt;SelfQuarantine_Moderate,0,OFFSET(G45,-1*SelfQuarantine_Moderate,0))),"")</f>
        <v/>
      </c>
      <c r="P45" s="60" t="str">
        <f t="shared" ref="P45:P65" ca="1" si="35">IFERROR(IF(B45="","",IF(B45&lt;SelfQuarantine_Moderate,0,OFFSET(H45,-1*SelfQuarantine_Moderate,0))),"")</f>
        <v/>
      </c>
      <c r="Q45" s="59" t="str">
        <f t="shared" ref="Q45:Q65" ca="1" si="36">IFERROR(IF(B45="","",IF(B45&lt;BedStay_Severe,0,OFFSET(I45,-1*BedStay_Severe,0))),"")</f>
        <v/>
      </c>
      <c r="R45" s="60" t="str">
        <f t="shared" ref="R45:R65" ca="1" si="37">IFERROR(IF(B45="","",IF(B45&lt;BedStay_Severe,0,OFFSET(J45,-1*BedStay_Severe,0))),"")</f>
        <v/>
      </c>
      <c r="S45" s="59" t="str">
        <f t="shared" ref="S45:S65" ca="1" si="38">IFERROR(IF(B45="","",IF(B45&lt;BedStay_Critical,0,OFFSET(K45,-1*BedStay_Critical,0))),"")</f>
        <v/>
      </c>
      <c r="T45" s="61" t="str">
        <f t="shared" ref="T45:T65" ca="1" si="39">IFERROR(IF(B45="","",IF(B45&lt;BedStay_Critical,0,OFFSET(L45,-1*BedStay_Critical,0))),"")</f>
        <v/>
      </c>
      <c r="U45" s="59" t="str">
        <f t="shared" ref="U45:U65" ca="1" si="40">IFERROR(E45-M45,"")</f>
        <v/>
      </c>
      <c r="V45" s="61" t="str">
        <f t="shared" ref="V45:V65" ca="1" si="41">IFERROR(G45-O45,"")</f>
        <v/>
      </c>
      <c r="W45" s="61" t="str">
        <f t="shared" ref="W45:W65" ca="1" si="42">IFERROR(I45-Q45,"")</f>
        <v/>
      </c>
      <c r="X45" s="60" t="str">
        <f t="shared" ref="X45:X65" ca="1" si="43">IFERROR(K45-S45,"")</f>
        <v/>
      </c>
      <c r="Y45" s="61" t="str">
        <f t="shared" ref="Y45:Y65" si="44">IFERROR(C45*SuspectedCaseMultiplier,"")</f>
        <v/>
      </c>
      <c r="Z45" s="60" t="str">
        <f t="shared" ref="Z45:Z65" si="45">IFERROR(D45*SuspectedCaseMultiplier,"")</f>
        <v/>
      </c>
    </row>
    <row r="46" spans="2:26" x14ac:dyDescent="0.75">
      <c r="B46" s="59" t="str">
        <f>IF('User Dashboard'!C$12="SIR Model",IF(B163&gt;('User Dashboard'!$H$12+'User Dashboard'!$H$13),"",B163),IF('User Dashboard'!C$12="Manual Entry",IF(B106&gt;('User Dashboard'!$H$12+'User Dashboard'!$H$13),"",B106),IF('User Dashboard'!C$12="Exponential Growth",B220)))</f>
        <v/>
      </c>
      <c r="C46" s="385" t="str">
        <f>IF(B46="","",IF('User Dashboard'!C$12="SIR Model",VLOOKUP(B46,B$130:C$182,2,FALSE),IF('User Dashboard'!C$12="Manual Entry",VLOOKUP(B46,B$73:C$125,2,FALSE),IF('User Dashboard'!C$12="Exponential Growth",VLOOKUP(B46,B$187:D$240,3,FALSE),""))))</f>
        <v/>
      </c>
      <c r="D46" s="60" t="str">
        <f t="shared" si="23"/>
        <v/>
      </c>
      <c r="E46" s="59" t="str">
        <f t="shared" si="24"/>
        <v/>
      </c>
      <c r="F46" s="60" t="str">
        <f t="shared" si="25"/>
        <v/>
      </c>
      <c r="G46" s="61" t="str">
        <f t="shared" si="26"/>
        <v/>
      </c>
      <c r="H46" s="61" t="str">
        <f t="shared" si="27"/>
        <v/>
      </c>
      <c r="I46" s="59" t="str">
        <f t="shared" si="28"/>
        <v/>
      </c>
      <c r="J46" s="60" t="str">
        <f t="shared" si="29"/>
        <v/>
      </c>
      <c r="K46" s="59" t="str">
        <f t="shared" si="30"/>
        <v/>
      </c>
      <c r="L46" s="60" t="str">
        <f t="shared" si="31"/>
        <v/>
      </c>
      <c r="M46" s="59" t="str">
        <f t="shared" ca="1" si="32"/>
        <v/>
      </c>
      <c r="N46" s="60" t="str">
        <f t="shared" ca="1" si="33"/>
        <v/>
      </c>
      <c r="O46" s="59" t="str">
        <f t="shared" ca="1" si="34"/>
        <v/>
      </c>
      <c r="P46" s="60" t="str">
        <f t="shared" ca="1" si="35"/>
        <v/>
      </c>
      <c r="Q46" s="59" t="str">
        <f t="shared" ca="1" si="36"/>
        <v/>
      </c>
      <c r="R46" s="60" t="str">
        <f t="shared" ca="1" si="37"/>
        <v/>
      </c>
      <c r="S46" s="59" t="str">
        <f t="shared" ca="1" si="38"/>
        <v/>
      </c>
      <c r="T46" s="61" t="str">
        <f t="shared" ca="1" si="39"/>
        <v/>
      </c>
      <c r="U46" s="59" t="str">
        <f t="shared" ca="1" si="40"/>
        <v/>
      </c>
      <c r="V46" s="61" t="str">
        <f t="shared" ca="1" si="41"/>
        <v/>
      </c>
      <c r="W46" s="61" t="str">
        <f t="shared" ca="1" si="42"/>
        <v/>
      </c>
      <c r="X46" s="60" t="str">
        <f t="shared" ca="1" si="43"/>
        <v/>
      </c>
      <c r="Y46" s="61" t="str">
        <f t="shared" si="44"/>
        <v/>
      </c>
      <c r="Z46" s="60" t="str">
        <f t="shared" si="45"/>
        <v/>
      </c>
    </row>
    <row r="47" spans="2:26" x14ac:dyDescent="0.75">
      <c r="B47" s="59" t="str">
        <f>IF('User Dashboard'!C$12="SIR Model",IF(B164&gt;('User Dashboard'!$H$12+'User Dashboard'!$H$13),"",B164),IF('User Dashboard'!C$12="Manual Entry",IF(B107&gt;('User Dashboard'!$H$12+'User Dashboard'!$H$13),"",B107),IF('User Dashboard'!C$12="Exponential Growth",B221)))</f>
        <v/>
      </c>
      <c r="C47" s="385" t="str">
        <f>IF(B47="","",IF('User Dashboard'!C$12="SIR Model",VLOOKUP(B47,B$130:C$182,2,FALSE),IF('User Dashboard'!C$12="Manual Entry",VLOOKUP(B47,B$73:C$125,2,FALSE),IF('User Dashboard'!C$12="Exponential Growth",VLOOKUP(B47,B$187:D$240,3,FALSE),""))))</f>
        <v/>
      </c>
      <c r="D47" s="60" t="str">
        <f t="shared" si="23"/>
        <v/>
      </c>
      <c r="E47" s="59" t="str">
        <f t="shared" si="24"/>
        <v/>
      </c>
      <c r="F47" s="60" t="str">
        <f t="shared" si="25"/>
        <v/>
      </c>
      <c r="G47" s="61" t="str">
        <f t="shared" si="26"/>
        <v/>
      </c>
      <c r="H47" s="61" t="str">
        <f t="shared" si="27"/>
        <v/>
      </c>
      <c r="I47" s="59" t="str">
        <f t="shared" si="28"/>
        <v/>
      </c>
      <c r="J47" s="60" t="str">
        <f t="shared" si="29"/>
        <v/>
      </c>
      <c r="K47" s="59" t="str">
        <f t="shared" si="30"/>
        <v/>
      </c>
      <c r="L47" s="60" t="str">
        <f t="shared" si="31"/>
        <v/>
      </c>
      <c r="M47" s="59" t="str">
        <f t="shared" ca="1" si="32"/>
        <v/>
      </c>
      <c r="N47" s="60" t="str">
        <f t="shared" ca="1" si="33"/>
        <v/>
      </c>
      <c r="O47" s="59" t="str">
        <f t="shared" ca="1" si="34"/>
        <v/>
      </c>
      <c r="P47" s="60" t="str">
        <f t="shared" ca="1" si="35"/>
        <v/>
      </c>
      <c r="Q47" s="59" t="str">
        <f t="shared" ca="1" si="36"/>
        <v/>
      </c>
      <c r="R47" s="60" t="str">
        <f t="shared" ca="1" si="37"/>
        <v/>
      </c>
      <c r="S47" s="59" t="str">
        <f t="shared" ca="1" si="38"/>
        <v/>
      </c>
      <c r="T47" s="61" t="str">
        <f t="shared" ca="1" si="39"/>
        <v/>
      </c>
      <c r="U47" s="59" t="str">
        <f t="shared" ca="1" si="40"/>
        <v/>
      </c>
      <c r="V47" s="61" t="str">
        <f t="shared" ca="1" si="41"/>
        <v/>
      </c>
      <c r="W47" s="61" t="str">
        <f t="shared" ca="1" si="42"/>
        <v/>
      </c>
      <c r="X47" s="60" t="str">
        <f t="shared" ca="1" si="43"/>
        <v/>
      </c>
      <c r="Y47" s="61" t="str">
        <f t="shared" si="44"/>
        <v/>
      </c>
      <c r="Z47" s="60" t="str">
        <f t="shared" si="45"/>
        <v/>
      </c>
    </row>
    <row r="48" spans="2:26" x14ac:dyDescent="0.75">
      <c r="B48" s="59" t="str">
        <f>IF('User Dashboard'!C$12="SIR Model",IF(B165&gt;('User Dashboard'!$H$12+'User Dashboard'!$H$13),"",B165),IF('User Dashboard'!C$12="Manual Entry",IF(B108&gt;('User Dashboard'!$H$12+'User Dashboard'!$H$13),"",B108),IF('User Dashboard'!C$12="Exponential Growth",B222)))</f>
        <v/>
      </c>
      <c r="C48" s="385" t="str">
        <f>IF(B48="","",IF('User Dashboard'!C$12="SIR Model",VLOOKUP(B48,B$130:C$182,2,FALSE),IF('User Dashboard'!C$12="Manual Entry",VLOOKUP(B48,B$73:C$125,2,FALSE),IF('User Dashboard'!C$12="Exponential Growth",VLOOKUP(B48,B$187:D$240,3,FALSE),""))))</f>
        <v/>
      </c>
      <c r="D48" s="60" t="str">
        <f t="shared" si="23"/>
        <v/>
      </c>
      <c r="E48" s="59" t="str">
        <f t="shared" si="24"/>
        <v/>
      </c>
      <c r="F48" s="60" t="str">
        <f t="shared" si="25"/>
        <v/>
      </c>
      <c r="G48" s="61" t="str">
        <f t="shared" si="26"/>
        <v/>
      </c>
      <c r="H48" s="61" t="str">
        <f t="shared" si="27"/>
        <v/>
      </c>
      <c r="I48" s="59" t="str">
        <f t="shared" si="28"/>
        <v/>
      </c>
      <c r="J48" s="60" t="str">
        <f t="shared" si="29"/>
        <v/>
      </c>
      <c r="K48" s="59" t="str">
        <f t="shared" si="30"/>
        <v/>
      </c>
      <c r="L48" s="60" t="str">
        <f t="shared" si="31"/>
        <v/>
      </c>
      <c r="M48" s="59" t="str">
        <f t="shared" ca="1" si="32"/>
        <v/>
      </c>
      <c r="N48" s="60" t="str">
        <f t="shared" ca="1" si="33"/>
        <v/>
      </c>
      <c r="O48" s="59" t="str">
        <f t="shared" ca="1" si="34"/>
        <v/>
      </c>
      <c r="P48" s="60" t="str">
        <f t="shared" ca="1" si="35"/>
        <v/>
      </c>
      <c r="Q48" s="59" t="str">
        <f t="shared" ca="1" si="36"/>
        <v/>
      </c>
      <c r="R48" s="60" t="str">
        <f t="shared" ca="1" si="37"/>
        <v/>
      </c>
      <c r="S48" s="59" t="str">
        <f t="shared" ca="1" si="38"/>
        <v/>
      </c>
      <c r="T48" s="61" t="str">
        <f t="shared" ca="1" si="39"/>
        <v/>
      </c>
      <c r="U48" s="59" t="str">
        <f t="shared" ca="1" si="40"/>
        <v/>
      </c>
      <c r="V48" s="61" t="str">
        <f t="shared" ca="1" si="41"/>
        <v/>
      </c>
      <c r="W48" s="61" t="str">
        <f t="shared" ca="1" si="42"/>
        <v/>
      </c>
      <c r="X48" s="60" t="str">
        <f t="shared" ca="1" si="43"/>
        <v/>
      </c>
      <c r="Y48" s="61" t="str">
        <f t="shared" si="44"/>
        <v/>
      </c>
      <c r="Z48" s="60" t="str">
        <f t="shared" si="45"/>
        <v/>
      </c>
    </row>
    <row r="49" spans="2:26" x14ac:dyDescent="0.75">
      <c r="B49" s="59" t="str">
        <f>IF('User Dashboard'!C$12="SIR Model",IF(B166&gt;('User Dashboard'!$H$12+'User Dashboard'!$H$13),"",B166),IF('User Dashboard'!C$12="Manual Entry",IF(B109&gt;('User Dashboard'!$H$12+'User Dashboard'!$H$13),"",B109),IF('User Dashboard'!C$12="Exponential Growth",B223)))</f>
        <v/>
      </c>
      <c r="C49" s="385" t="str">
        <f>IF(B49="","",IF('User Dashboard'!C$12="SIR Model",VLOOKUP(B49,B$130:C$182,2,FALSE),IF('User Dashboard'!C$12="Manual Entry",VLOOKUP(B49,B$73:C$125,2,FALSE),IF('User Dashboard'!C$12="Exponential Growth",VLOOKUP(B49,B$187:D$240,3,FALSE),""))))</f>
        <v/>
      </c>
      <c r="D49" s="60" t="str">
        <f t="shared" si="23"/>
        <v/>
      </c>
      <c r="E49" s="59" t="str">
        <f t="shared" si="24"/>
        <v/>
      </c>
      <c r="F49" s="60" t="str">
        <f t="shared" si="25"/>
        <v/>
      </c>
      <c r="G49" s="61" t="str">
        <f t="shared" si="26"/>
        <v/>
      </c>
      <c r="H49" s="61" t="str">
        <f t="shared" si="27"/>
        <v/>
      </c>
      <c r="I49" s="59" t="str">
        <f t="shared" si="28"/>
        <v/>
      </c>
      <c r="J49" s="60" t="str">
        <f t="shared" si="29"/>
        <v/>
      </c>
      <c r="K49" s="59" t="str">
        <f t="shared" si="30"/>
        <v/>
      </c>
      <c r="L49" s="60" t="str">
        <f t="shared" si="31"/>
        <v/>
      </c>
      <c r="M49" s="59" t="str">
        <f t="shared" ca="1" si="32"/>
        <v/>
      </c>
      <c r="N49" s="60" t="str">
        <f t="shared" ca="1" si="33"/>
        <v/>
      </c>
      <c r="O49" s="59" t="str">
        <f t="shared" ca="1" si="34"/>
        <v/>
      </c>
      <c r="P49" s="60" t="str">
        <f t="shared" ca="1" si="35"/>
        <v/>
      </c>
      <c r="Q49" s="59" t="str">
        <f t="shared" ca="1" si="36"/>
        <v/>
      </c>
      <c r="R49" s="60" t="str">
        <f t="shared" ca="1" si="37"/>
        <v/>
      </c>
      <c r="S49" s="59" t="str">
        <f t="shared" ca="1" si="38"/>
        <v/>
      </c>
      <c r="T49" s="61" t="str">
        <f t="shared" ca="1" si="39"/>
        <v/>
      </c>
      <c r="U49" s="59" t="str">
        <f t="shared" ca="1" si="40"/>
        <v/>
      </c>
      <c r="V49" s="61" t="str">
        <f t="shared" ca="1" si="41"/>
        <v/>
      </c>
      <c r="W49" s="61" t="str">
        <f t="shared" ca="1" si="42"/>
        <v/>
      </c>
      <c r="X49" s="60" t="str">
        <f t="shared" ca="1" si="43"/>
        <v/>
      </c>
      <c r="Y49" s="61" t="str">
        <f t="shared" si="44"/>
        <v/>
      </c>
      <c r="Z49" s="60" t="str">
        <f t="shared" si="45"/>
        <v/>
      </c>
    </row>
    <row r="50" spans="2:26" x14ac:dyDescent="0.75">
      <c r="B50" s="59" t="str">
        <f>IF('User Dashboard'!C$12="SIR Model",IF(B167&gt;('User Dashboard'!$H$12+'User Dashboard'!$H$13),"",B167),IF('User Dashboard'!C$12="Manual Entry",IF(B110&gt;('User Dashboard'!$H$12+'User Dashboard'!$H$13),"",B110),IF('User Dashboard'!C$12="Exponential Growth",B224)))</f>
        <v/>
      </c>
      <c r="C50" s="385" t="str">
        <f>IF(B50="","",IF('User Dashboard'!C$12="SIR Model",VLOOKUP(B50,B$130:C$182,2,FALSE),IF('User Dashboard'!C$12="Manual Entry",VLOOKUP(B50,B$73:C$125,2,FALSE),IF('User Dashboard'!C$12="Exponential Growth",VLOOKUP(B50,B$187:D$240,3,FALSE),""))))</f>
        <v/>
      </c>
      <c r="D50" s="60" t="str">
        <f t="shared" si="23"/>
        <v/>
      </c>
      <c r="E50" s="59" t="str">
        <f t="shared" si="24"/>
        <v/>
      </c>
      <c r="F50" s="60" t="str">
        <f t="shared" si="25"/>
        <v/>
      </c>
      <c r="G50" s="61" t="str">
        <f t="shared" si="26"/>
        <v/>
      </c>
      <c r="H50" s="61" t="str">
        <f t="shared" si="27"/>
        <v/>
      </c>
      <c r="I50" s="59" t="str">
        <f t="shared" si="28"/>
        <v/>
      </c>
      <c r="J50" s="60" t="str">
        <f t="shared" si="29"/>
        <v/>
      </c>
      <c r="K50" s="59" t="str">
        <f t="shared" si="30"/>
        <v/>
      </c>
      <c r="L50" s="60" t="str">
        <f t="shared" si="31"/>
        <v/>
      </c>
      <c r="M50" s="59" t="str">
        <f t="shared" ca="1" si="32"/>
        <v/>
      </c>
      <c r="N50" s="60" t="str">
        <f t="shared" ca="1" si="33"/>
        <v/>
      </c>
      <c r="O50" s="59" t="str">
        <f t="shared" ca="1" si="34"/>
        <v/>
      </c>
      <c r="P50" s="60" t="str">
        <f t="shared" ca="1" si="35"/>
        <v/>
      </c>
      <c r="Q50" s="59" t="str">
        <f t="shared" ca="1" si="36"/>
        <v/>
      </c>
      <c r="R50" s="60" t="str">
        <f t="shared" ca="1" si="37"/>
        <v/>
      </c>
      <c r="S50" s="59" t="str">
        <f t="shared" ca="1" si="38"/>
        <v/>
      </c>
      <c r="T50" s="61" t="str">
        <f t="shared" ca="1" si="39"/>
        <v/>
      </c>
      <c r="U50" s="59" t="str">
        <f t="shared" ca="1" si="40"/>
        <v/>
      </c>
      <c r="V50" s="61" t="str">
        <f t="shared" ca="1" si="41"/>
        <v/>
      </c>
      <c r="W50" s="61" t="str">
        <f t="shared" ca="1" si="42"/>
        <v/>
      </c>
      <c r="X50" s="60" t="str">
        <f t="shared" ca="1" si="43"/>
        <v/>
      </c>
      <c r="Y50" s="61" t="str">
        <f t="shared" si="44"/>
        <v/>
      </c>
      <c r="Z50" s="60" t="str">
        <f t="shared" si="45"/>
        <v/>
      </c>
    </row>
    <row r="51" spans="2:26" x14ac:dyDescent="0.75">
      <c r="B51" s="59" t="str">
        <f>IF('User Dashboard'!C$12="SIR Model",IF(B168&gt;('User Dashboard'!$H$12+'User Dashboard'!$H$13),"",B168),IF('User Dashboard'!C$12="Manual Entry",IF(B111&gt;('User Dashboard'!$H$12+'User Dashboard'!$H$13),"",B111),IF('User Dashboard'!C$12="Exponential Growth",B225)))</f>
        <v/>
      </c>
      <c r="C51" s="385" t="str">
        <f>IF(B51="","",IF('User Dashboard'!C$12="SIR Model",VLOOKUP(B51,B$130:C$182,2,FALSE),IF('User Dashboard'!C$12="Manual Entry",VLOOKUP(B51,B$73:C$125,2,FALSE),IF('User Dashboard'!C$12="Exponential Growth",VLOOKUP(B51,B$187:D$240,3,FALSE),""))))</f>
        <v/>
      </c>
      <c r="D51" s="60" t="str">
        <f t="shared" si="23"/>
        <v/>
      </c>
      <c r="E51" s="59" t="str">
        <f t="shared" si="24"/>
        <v/>
      </c>
      <c r="F51" s="60" t="str">
        <f t="shared" si="25"/>
        <v/>
      </c>
      <c r="G51" s="61" t="str">
        <f t="shared" si="26"/>
        <v/>
      </c>
      <c r="H51" s="61" t="str">
        <f t="shared" si="27"/>
        <v/>
      </c>
      <c r="I51" s="59" t="str">
        <f t="shared" si="28"/>
        <v/>
      </c>
      <c r="J51" s="60" t="str">
        <f t="shared" si="29"/>
        <v/>
      </c>
      <c r="K51" s="59" t="str">
        <f t="shared" si="30"/>
        <v/>
      </c>
      <c r="L51" s="60" t="str">
        <f t="shared" si="31"/>
        <v/>
      </c>
      <c r="M51" s="59" t="str">
        <f t="shared" ca="1" si="32"/>
        <v/>
      </c>
      <c r="N51" s="60" t="str">
        <f t="shared" ca="1" si="33"/>
        <v/>
      </c>
      <c r="O51" s="59" t="str">
        <f t="shared" ca="1" si="34"/>
        <v/>
      </c>
      <c r="P51" s="60" t="str">
        <f t="shared" ca="1" si="35"/>
        <v/>
      </c>
      <c r="Q51" s="59" t="str">
        <f t="shared" ca="1" si="36"/>
        <v/>
      </c>
      <c r="R51" s="60" t="str">
        <f t="shared" ca="1" si="37"/>
        <v/>
      </c>
      <c r="S51" s="59" t="str">
        <f t="shared" ca="1" si="38"/>
        <v/>
      </c>
      <c r="T51" s="61" t="str">
        <f t="shared" ca="1" si="39"/>
        <v/>
      </c>
      <c r="U51" s="59" t="str">
        <f t="shared" ca="1" si="40"/>
        <v/>
      </c>
      <c r="V51" s="61" t="str">
        <f t="shared" ca="1" si="41"/>
        <v/>
      </c>
      <c r="W51" s="61" t="str">
        <f t="shared" ca="1" si="42"/>
        <v/>
      </c>
      <c r="X51" s="60" t="str">
        <f t="shared" ca="1" si="43"/>
        <v/>
      </c>
      <c r="Y51" s="61" t="str">
        <f t="shared" si="44"/>
        <v/>
      </c>
      <c r="Z51" s="60" t="str">
        <f t="shared" si="45"/>
        <v/>
      </c>
    </row>
    <row r="52" spans="2:26" x14ac:dyDescent="0.75">
      <c r="B52" s="59" t="str">
        <f>IF('User Dashboard'!C$12="SIR Model",IF(B169&gt;('User Dashboard'!$H$12+'User Dashboard'!$H$13),"",B169),IF('User Dashboard'!C$12="Manual Entry",IF(B112&gt;('User Dashboard'!$H$12+'User Dashboard'!$H$13),"",B112),IF('User Dashboard'!C$12="Exponential Growth",B226)))</f>
        <v/>
      </c>
      <c r="C52" s="385" t="str">
        <f>IF(B52="","",IF('User Dashboard'!C$12="SIR Model",VLOOKUP(B52,B$130:C$182,2,FALSE),IF('User Dashboard'!C$12="Manual Entry",VLOOKUP(B52,B$73:C$125,2,FALSE),IF('User Dashboard'!C$12="Exponential Growth",VLOOKUP(B52,B$187:D$240,3,FALSE),""))))</f>
        <v/>
      </c>
      <c r="D52" s="60" t="str">
        <f t="shared" si="23"/>
        <v/>
      </c>
      <c r="E52" s="59" t="str">
        <f t="shared" si="24"/>
        <v/>
      </c>
      <c r="F52" s="60" t="str">
        <f t="shared" si="25"/>
        <v/>
      </c>
      <c r="G52" s="61" t="str">
        <f t="shared" si="26"/>
        <v/>
      </c>
      <c r="H52" s="61" t="str">
        <f t="shared" si="27"/>
        <v/>
      </c>
      <c r="I52" s="59" t="str">
        <f t="shared" si="28"/>
        <v/>
      </c>
      <c r="J52" s="60" t="str">
        <f t="shared" si="29"/>
        <v/>
      </c>
      <c r="K52" s="59" t="str">
        <f t="shared" si="30"/>
        <v/>
      </c>
      <c r="L52" s="60" t="str">
        <f t="shared" si="31"/>
        <v/>
      </c>
      <c r="M52" s="59" t="str">
        <f t="shared" ca="1" si="32"/>
        <v/>
      </c>
      <c r="N52" s="60" t="str">
        <f t="shared" ca="1" si="33"/>
        <v/>
      </c>
      <c r="O52" s="59" t="str">
        <f t="shared" ca="1" si="34"/>
        <v/>
      </c>
      <c r="P52" s="60" t="str">
        <f t="shared" ca="1" si="35"/>
        <v/>
      </c>
      <c r="Q52" s="59" t="str">
        <f t="shared" ca="1" si="36"/>
        <v/>
      </c>
      <c r="R52" s="60" t="str">
        <f t="shared" ca="1" si="37"/>
        <v/>
      </c>
      <c r="S52" s="59" t="str">
        <f t="shared" ca="1" si="38"/>
        <v/>
      </c>
      <c r="T52" s="61" t="str">
        <f t="shared" ca="1" si="39"/>
        <v/>
      </c>
      <c r="U52" s="59" t="str">
        <f t="shared" ca="1" si="40"/>
        <v/>
      </c>
      <c r="V52" s="61" t="str">
        <f t="shared" ca="1" si="41"/>
        <v/>
      </c>
      <c r="W52" s="61" t="str">
        <f t="shared" ca="1" si="42"/>
        <v/>
      </c>
      <c r="X52" s="60" t="str">
        <f t="shared" ca="1" si="43"/>
        <v/>
      </c>
      <c r="Y52" s="61" t="str">
        <f t="shared" si="44"/>
        <v/>
      </c>
      <c r="Z52" s="60" t="str">
        <f t="shared" si="45"/>
        <v/>
      </c>
    </row>
    <row r="53" spans="2:26" x14ac:dyDescent="0.75">
      <c r="B53" s="59" t="str">
        <f>IF('User Dashboard'!C$12="SIR Model",IF(B170&gt;('User Dashboard'!$H$12+'User Dashboard'!$H$13),"",B170),IF('User Dashboard'!C$12="Manual Entry",IF(B113&gt;('User Dashboard'!$H$12+'User Dashboard'!$H$13),"",B113),IF('User Dashboard'!C$12="Exponential Growth",B227)))</f>
        <v/>
      </c>
      <c r="C53" s="385" t="str">
        <f>IF(B53="","",IF('User Dashboard'!C$12="SIR Model",VLOOKUP(B53,B$130:C$182,2,FALSE),IF('User Dashboard'!C$12="Manual Entry",VLOOKUP(B53,B$73:C$125,2,FALSE),IF('User Dashboard'!C$12="Exponential Growth",VLOOKUP(B53,B$187:D$240,3,FALSE),""))))</f>
        <v/>
      </c>
      <c r="D53" s="60" t="str">
        <f t="shared" si="23"/>
        <v/>
      </c>
      <c r="E53" s="59" t="str">
        <f t="shared" si="24"/>
        <v/>
      </c>
      <c r="F53" s="60" t="str">
        <f t="shared" si="25"/>
        <v/>
      </c>
      <c r="G53" s="61" t="str">
        <f t="shared" si="26"/>
        <v/>
      </c>
      <c r="H53" s="61" t="str">
        <f t="shared" si="27"/>
        <v/>
      </c>
      <c r="I53" s="59" t="str">
        <f t="shared" si="28"/>
        <v/>
      </c>
      <c r="J53" s="60" t="str">
        <f t="shared" si="29"/>
        <v/>
      </c>
      <c r="K53" s="59" t="str">
        <f t="shared" si="30"/>
        <v/>
      </c>
      <c r="L53" s="60" t="str">
        <f t="shared" si="31"/>
        <v/>
      </c>
      <c r="M53" s="59" t="str">
        <f t="shared" ca="1" si="32"/>
        <v/>
      </c>
      <c r="N53" s="60" t="str">
        <f t="shared" ca="1" si="33"/>
        <v/>
      </c>
      <c r="O53" s="59" t="str">
        <f t="shared" ca="1" si="34"/>
        <v/>
      </c>
      <c r="P53" s="60" t="str">
        <f t="shared" ca="1" si="35"/>
        <v/>
      </c>
      <c r="Q53" s="59" t="str">
        <f t="shared" ca="1" si="36"/>
        <v/>
      </c>
      <c r="R53" s="60" t="str">
        <f t="shared" ca="1" si="37"/>
        <v/>
      </c>
      <c r="S53" s="59" t="str">
        <f t="shared" ca="1" si="38"/>
        <v/>
      </c>
      <c r="T53" s="61" t="str">
        <f t="shared" ca="1" si="39"/>
        <v/>
      </c>
      <c r="U53" s="59" t="str">
        <f t="shared" ca="1" si="40"/>
        <v/>
      </c>
      <c r="V53" s="61" t="str">
        <f t="shared" ca="1" si="41"/>
        <v/>
      </c>
      <c r="W53" s="61" t="str">
        <f t="shared" ca="1" si="42"/>
        <v/>
      </c>
      <c r="X53" s="60" t="str">
        <f t="shared" ca="1" si="43"/>
        <v/>
      </c>
      <c r="Y53" s="61" t="str">
        <f t="shared" si="44"/>
        <v/>
      </c>
      <c r="Z53" s="60" t="str">
        <f t="shared" si="45"/>
        <v/>
      </c>
    </row>
    <row r="54" spans="2:26" x14ac:dyDescent="0.75">
      <c r="B54" s="59" t="str">
        <f>IF('User Dashboard'!C$12="SIR Model",IF(B171&gt;('User Dashboard'!$H$12+'User Dashboard'!$H$13),"",B171),IF('User Dashboard'!C$12="Manual Entry",IF(B114&gt;('User Dashboard'!$H$12+'User Dashboard'!$H$13),"",B114),IF('User Dashboard'!C$12="Exponential Growth",B228)))</f>
        <v/>
      </c>
      <c r="C54" s="385" t="str">
        <f>IF(B54="","",IF('User Dashboard'!C$12="SIR Model",VLOOKUP(B54,B$130:C$182,2,FALSE),IF('User Dashboard'!C$12="Manual Entry",VLOOKUP(B54,B$73:C$125,2,FALSE),IF('User Dashboard'!C$12="Exponential Growth",VLOOKUP(B54,B$187:D$240,3,FALSE),""))))</f>
        <v/>
      </c>
      <c r="D54" s="60" t="str">
        <f t="shared" si="23"/>
        <v/>
      </c>
      <c r="E54" s="59" t="str">
        <f t="shared" si="24"/>
        <v/>
      </c>
      <c r="F54" s="60" t="str">
        <f t="shared" si="25"/>
        <v/>
      </c>
      <c r="G54" s="61" t="str">
        <f t="shared" si="26"/>
        <v/>
      </c>
      <c r="H54" s="61" t="str">
        <f t="shared" si="27"/>
        <v/>
      </c>
      <c r="I54" s="59" t="str">
        <f t="shared" si="28"/>
        <v/>
      </c>
      <c r="J54" s="60" t="str">
        <f t="shared" si="29"/>
        <v/>
      </c>
      <c r="K54" s="59" t="str">
        <f t="shared" si="30"/>
        <v/>
      </c>
      <c r="L54" s="60" t="str">
        <f t="shared" si="31"/>
        <v/>
      </c>
      <c r="M54" s="59" t="str">
        <f t="shared" ca="1" si="32"/>
        <v/>
      </c>
      <c r="N54" s="60" t="str">
        <f t="shared" ca="1" si="33"/>
        <v/>
      </c>
      <c r="O54" s="59" t="str">
        <f t="shared" ca="1" si="34"/>
        <v/>
      </c>
      <c r="P54" s="60" t="str">
        <f t="shared" ca="1" si="35"/>
        <v/>
      </c>
      <c r="Q54" s="59" t="str">
        <f t="shared" ca="1" si="36"/>
        <v/>
      </c>
      <c r="R54" s="60" t="str">
        <f t="shared" ca="1" si="37"/>
        <v/>
      </c>
      <c r="S54" s="59" t="str">
        <f t="shared" ca="1" si="38"/>
        <v/>
      </c>
      <c r="T54" s="61" t="str">
        <f t="shared" ca="1" si="39"/>
        <v/>
      </c>
      <c r="U54" s="59" t="str">
        <f t="shared" ca="1" si="40"/>
        <v/>
      </c>
      <c r="V54" s="61" t="str">
        <f t="shared" ca="1" si="41"/>
        <v/>
      </c>
      <c r="W54" s="61" t="str">
        <f t="shared" ca="1" si="42"/>
        <v/>
      </c>
      <c r="X54" s="60" t="str">
        <f t="shared" ca="1" si="43"/>
        <v/>
      </c>
      <c r="Y54" s="61" t="str">
        <f t="shared" si="44"/>
        <v/>
      </c>
      <c r="Z54" s="60" t="str">
        <f t="shared" si="45"/>
        <v/>
      </c>
    </row>
    <row r="55" spans="2:26" x14ac:dyDescent="0.75">
      <c r="B55" s="59" t="str">
        <f>IF('User Dashboard'!C$12="SIR Model",IF(B172&gt;('User Dashboard'!$H$12+'User Dashboard'!$H$13),"",B172),IF('User Dashboard'!C$12="Manual Entry",IF(B115&gt;('User Dashboard'!$H$12+'User Dashboard'!$H$13),"",B115),IF('User Dashboard'!C$12="Exponential Growth",B229)))</f>
        <v/>
      </c>
      <c r="C55" s="385" t="str">
        <f>IF(B55="","",IF('User Dashboard'!C$12="SIR Model",VLOOKUP(B55,B$130:C$182,2,FALSE),IF('User Dashboard'!C$12="Manual Entry",VLOOKUP(B55,B$73:C$125,2,FALSE),IF('User Dashboard'!C$12="Exponential Growth",VLOOKUP(B55,B$187:D$240,3,FALSE),""))))</f>
        <v/>
      </c>
      <c r="D55" s="60" t="str">
        <f t="shared" si="23"/>
        <v/>
      </c>
      <c r="E55" s="59" t="str">
        <f t="shared" si="24"/>
        <v/>
      </c>
      <c r="F55" s="60" t="str">
        <f t="shared" si="25"/>
        <v/>
      </c>
      <c r="G55" s="61" t="str">
        <f t="shared" si="26"/>
        <v/>
      </c>
      <c r="H55" s="61" t="str">
        <f t="shared" si="27"/>
        <v/>
      </c>
      <c r="I55" s="59" t="str">
        <f t="shared" si="28"/>
        <v/>
      </c>
      <c r="J55" s="60" t="str">
        <f t="shared" si="29"/>
        <v/>
      </c>
      <c r="K55" s="59" t="str">
        <f t="shared" si="30"/>
        <v/>
      </c>
      <c r="L55" s="60" t="str">
        <f t="shared" si="31"/>
        <v/>
      </c>
      <c r="M55" s="59" t="str">
        <f t="shared" ca="1" si="32"/>
        <v/>
      </c>
      <c r="N55" s="60" t="str">
        <f t="shared" ca="1" si="33"/>
        <v/>
      </c>
      <c r="O55" s="59" t="str">
        <f t="shared" ca="1" si="34"/>
        <v/>
      </c>
      <c r="P55" s="60" t="str">
        <f t="shared" ca="1" si="35"/>
        <v/>
      </c>
      <c r="Q55" s="59" t="str">
        <f t="shared" ca="1" si="36"/>
        <v/>
      </c>
      <c r="R55" s="60" t="str">
        <f t="shared" ca="1" si="37"/>
        <v/>
      </c>
      <c r="S55" s="59" t="str">
        <f t="shared" ca="1" si="38"/>
        <v/>
      </c>
      <c r="T55" s="61" t="str">
        <f t="shared" ca="1" si="39"/>
        <v/>
      </c>
      <c r="U55" s="59" t="str">
        <f t="shared" ca="1" si="40"/>
        <v/>
      </c>
      <c r="V55" s="61" t="str">
        <f t="shared" ca="1" si="41"/>
        <v/>
      </c>
      <c r="W55" s="61" t="str">
        <f t="shared" ca="1" si="42"/>
        <v/>
      </c>
      <c r="X55" s="60" t="str">
        <f t="shared" ca="1" si="43"/>
        <v/>
      </c>
      <c r="Y55" s="61" t="str">
        <f t="shared" si="44"/>
        <v/>
      </c>
      <c r="Z55" s="60" t="str">
        <f t="shared" si="45"/>
        <v/>
      </c>
    </row>
    <row r="56" spans="2:26" x14ac:dyDescent="0.75">
      <c r="B56" s="59" t="str">
        <f>IF('User Dashboard'!C$12="SIR Model",IF(B173&gt;('User Dashboard'!$H$12+'User Dashboard'!$H$13),"",B173),IF('User Dashboard'!C$12="Manual Entry",IF(B116&gt;('User Dashboard'!$H$12+'User Dashboard'!$H$13),"",B116),IF('User Dashboard'!C$12="Exponential Growth",B230)))</f>
        <v/>
      </c>
      <c r="C56" s="385" t="str">
        <f>IF(B56="","",IF('User Dashboard'!C$12="SIR Model",VLOOKUP(B56,B$130:C$182,2,FALSE),IF('User Dashboard'!C$12="Manual Entry",VLOOKUP(B56,B$73:C$125,2,FALSE),IF('User Dashboard'!C$12="Exponential Growth",VLOOKUP(B56,B$187:D$240,3,FALSE),""))))</f>
        <v/>
      </c>
      <c r="D56" s="60" t="str">
        <f t="shared" si="23"/>
        <v/>
      </c>
      <c r="E56" s="59" t="str">
        <f t="shared" si="24"/>
        <v/>
      </c>
      <c r="F56" s="60" t="str">
        <f t="shared" si="25"/>
        <v/>
      </c>
      <c r="G56" s="61" t="str">
        <f t="shared" si="26"/>
        <v/>
      </c>
      <c r="H56" s="61" t="str">
        <f t="shared" si="27"/>
        <v/>
      </c>
      <c r="I56" s="59" t="str">
        <f t="shared" si="28"/>
        <v/>
      </c>
      <c r="J56" s="60" t="str">
        <f t="shared" si="29"/>
        <v/>
      </c>
      <c r="K56" s="59" t="str">
        <f t="shared" si="30"/>
        <v/>
      </c>
      <c r="L56" s="60" t="str">
        <f t="shared" si="31"/>
        <v/>
      </c>
      <c r="M56" s="59" t="str">
        <f t="shared" ca="1" si="32"/>
        <v/>
      </c>
      <c r="N56" s="60" t="str">
        <f t="shared" ca="1" si="33"/>
        <v/>
      </c>
      <c r="O56" s="59" t="str">
        <f t="shared" ca="1" si="34"/>
        <v/>
      </c>
      <c r="P56" s="60" t="str">
        <f t="shared" ca="1" si="35"/>
        <v/>
      </c>
      <c r="Q56" s="59" t="str">
        <f t="shared" ca="1" si="36"/>
        <v/>
      </c>
      <c r="R56" s="60" t="str">
        <f t="shared" ca="1" si="37"/>
        <v/>
      </c>
      <c r="S56" s="59" t="str">
        <f t="shared" ca="1" si="38"/>
        <v/>
      </c>
      <c r="T56" s="61" t="str">
        <f t="shared" ca="1" si="39"/>
        <v/>
      </c>
      <c r="U56" s="59" t="str">
        <f t="shared" ca="1" si="40"/>
        <v/>
      </c>
      <c r="V56" s="61" t="str">
        <f t="shared" ca="1" si="41"/>
        <v/>
      </c>
      <c r="W56" s="61" t="str">
        <f t="shared" ca="1" si="42"/>
        <v/>
      </c>
      <c r="X56" s="60" t="str">
        <f t="shared" ca="1" si="43"/>
        <v/>
      </c>
      <c r="Y56" s="61" t="str">
        <f t="shared" si="44"/>
        <v/>
      </c>
      <c r="Z56" s="60" t="str">
        <f t="shared" si="45"/>
        <v/>
      </c>
    </row>
    <row r="57" spans="2:26" x14ac:dyDescent="0.75">
      <c r="B57" s="59" t="str">
        <f>IF('User Dashboard'!C$12="SIR Model",IF(B174&gt;('User Dashboard'!$H$12+'User Dashboard'!$H$13),"",B174),IF('User Dashboard'!C$12="Manual Entry",IF(B117&gt;('User Dashboard'!$H$12+'User Dashboard'!$H$13),"",B117),IF('User Dashboard'!C$12="Exponential Growth",B231)))</f>
        <v/>
      </c>
      <c r="C57" s="385" t="str">
        <f>IF(B57="","",IF('User Dashboard'!C$12="SIR Model",VLOOKUP(B57,B$130:C$182,2,FALSE),IF('User Dashboard'!C$12="Manual Entry",VLOOKUP(B57,B$73:C$125,2,FALSE),IF('User Dashboard'!C$12="Exponential Growth",VLOOKUP(B57,B$187:D$240,3,FALSE),""))))</f>
        <v/>
      </c>
      <c r="D57" s="60" t="str">
        <f t="shared" si="23"/>
        <v/>
      </c>
      <c r="E57" s="59" t="str">
        <f t="shared" si="24"/>
        <v/>
      </c>
      <c r="F57" s="60" t="str">
        <f t="shared" si="25"/>
        <v/>
      </c>
      <c r="G57" s="61" t="str">
        <f t="shared" si="26"/>
        <v/>
      </c>
      <c r="H57" s="61" t="str">
        <f t="shared" si="27"/>
        <v/>
      </c>
      <c r="I57" s="59" t="str">
        <f t="shared" si="28"/>
        <v/>
      </c>
      <c r="J57" s="60" t="str">
        <f t="shared" si="29"/>
        <v/>
      </c>
      <c r="K57" s="59" t="str">
        <f t="shared" si="30"/>
        <v/>
      </c>
      <c r="L57" s="60" t="str">
        <f t="shared" si="31"/>
        <v/>
      </c>
      <c r="M57" s="59" t="str">
        <f t="shared" ca="1" si="32"/>
        <v/>
      </c>
      <c r="N57" s="60" t="str">
        <f t="shared" ca="1" si="33"/>
        <v/>
      </c>
      <c r="O57" s="59" t="str">
        <f t="shared" ca="1" si="34"/>
        <v/>
      </c>
      <c r="P57" s="60" t="str">
        <f t="shared" ca="1" si="35"/>
        <v/>
      </c>
      <c r="Q57" s="59" t="str">
        <f t="shared" ca="1" si="36"/>
        <v/>
      </c>
      <c r="R57" s="60" t="str">
        <f t="shared" ca="1" si="37"/>
        <v/>
      </c>
      <c r="S57" s="59" t="str">
        <f t="shared" ca="1" si="38"/>
        <v/>
      </c>
      <c r="T57" s="61" t="str">
        <f t="shared" ca="1" si="39"/>
        <v/>
      </c>
      <c r="U57" s="59" t="str">
        <f t="shared" ca="1" si="40"/>
        <v/>
      </c>
      <c r="V57" s="61" t="str">
        <f t="shared" ca="1" si="41"/>
        <v/>
      </c>
      <c r="W57" s="61" t="str">
        <f t="shared" ca="1" si="42"/>
        <v/>
      </c>
      <c r="X57" s="60" t="str">
        <f t="shared" ca="1" si="43"/>
        <v/>
      </c>
      <c r="Y57" s="61" t="str">
        <f t="shared" si="44"/>
        <v/>
      </c>
      <c r="Z57" s="60" t="str">
        <f t="shared" si="45"/>
        <v/>
      </c>
    </row>
    <row r="58" spans="2:26" x14ac:dyDescent="0.75">
      <c r="B58" s="59" t="str">
        <f>IF('User Dashboard'!C$12="SIR Model",IF(B175&gt;('User Dashboard'!$H$12+'User Dashboard'!$H$13),"",B175),IF('User Dashboard'!C$12="Manual Entry",IF(B118&gt;('User Dashboard'!$H$12+'User Dashboard'!$H$13),"",B118),IF('User Dashboard'!C$12="Exponential Growth",B232)))</f>
        <v/>
      </c>
      <c r="C58" s="385" t="str">
        <f>IF(B58="","",IF('User Dashboard'!C$12="SIR Model",VLOOKUP(B58,B$130:C$182,2,FALSE),IF('User Dashboard'!C$12="Manual Entry",VLOOKUP(B58,B$73:C$125,2,FALSE),IF('User Dashboard'!C$12="Exponential Growth",VLOOKUP(B58,B$187:D$240,3,FALSE),""))))</f>
        <v/>
      </c>
      <c r="D58" s="60" t="str">
        <f t="shared" si="23"/>
        <v/>
      </c>
      <c r="E58" s="59" t="str">
        <f t="shared" si="24"/>
        <v/>
      </c>
      <c r="F58" s="60" t="str">
        <f t="shared" si="25"/>
        <v/>
      </c>
      <c r="G58" s="61" t="str">
        <f t="shared" si="26"/>
        <v/>
      </c>
      <c r="H58" s="61" t="str">
        <f t="shared" si="27"/>
        <v/>
      </c>
      <c r="I58" s="59" t="str">
        <f t="shared" si="28"/>
        <v/>
      </c>
      <c r="J58" s="60" t="str">
        <f t="shared" si="29"/>
        <v/>
      </c>
      <c r="K58" s="59" t="str">
        <f t="shared" si="30"/>
        <v/>
      </c>
      <c r="L58" s="60" t="str">
        <f t="shared" si="31"/>
        <v/>
      </c>
      <c r="M58" s="59" t="str">
        <f t="shared" ca="1" si="32"/>
        <v/>
      </c>
      <c r="N58" s="60" t="str">
        <f t="shared" ca="1" si="33"/>
        <v/>
      </c>
      <c r="O58" s="59" t="str">
        <f t="shared" ca="1" si="34"/>
        <v/>
      </c>
      <c r="P58" s="60" t="str">
        <f t="shared" ca="1" si="35"/>
        <v/>
      </c>
      <c r="Q58" s="59" t="str">
        <f t="shared" ca="1" si="36"/>
        <v/>
      </c>
      <c r="R58" s="60" t="str">
        <f t="shared" ca="1" si="37"/>
        <v/>
      </c>
      <c r="S58" s="59" t="str">
        <f t="shared" ca="1" si="38"/>
        <v/>
      </c>
      <c r="T58" s="61" t="str">
        <f t="shared" ca="1" si="39"/>
        <v/>
      </c>
      <c r="U58" s="59" t="str">
        <f t="shared" ca="1" si="40"/>
        <v/>
      </c>
      <c r="V58" s="61" t="str">
        <f t="shared" ca="1" si="41"/>
        <v/>
      </c>
      <c r="W58" s="61" t="str">
        <f t="shared" ca="1" si="42"/>
        <v/>
      </c>
      <c r="X58" s="60" t="str">
        <f t="shared" ca="1" si="43"/>
        <v/>
      </c>
      <c r="Y58" s="61" t="str">
        <f t="shared" si="44"/>
        <v/>
      </c>
      <c r="Z58" s="60" t="str">
        <f t="shared" si="45"/>
        <v/>
      </c>
    </row>
    <row r="59" spans="2:26" x14ac:dyDescent="0.75">
      <c r="B59" s="59" t="str">
        <f>IF('User Dashboard'!C$12="SIR Model",IF(B176&gt;('User Dashboard'!$H$12+'User Dashboard'!$H$13),"",B176),IF('User Dashboard'!C$12="Manual Entry",IF(B119&gt;('User Dashboard'!$H$12+'User Dashboard'!$H$13),"",B119),IF('User Dashboard'!C$12="Exponential Growth",B233)))</f>
        <v/>
      </c>
      <c r="C59" s="385" t="str">
        <f>IF(B59="","",IF('User Dashboard'!C$12="SIR Model",VLOOKUP(B59,B$130:C$182,2,FALSE),IF('User Dashboard'!C$12="Manual Entry",VLOOKUP(B59,B$73:C$125,2,FALSE),IF('User Dashboard'!C$12="Exponential Growth",VLOOKUP(B59,B$187:D$240,3,FALSE),""))))</f>
        <v/>
      </c>
      <c r="D59" s="60" t="str">
        <f t="shared" si="23"/>
        <v/>
      </c>
      <c r="E59" s="59" t="str">
        <f t="shared" si="24"/>
        <v/>
      </c>
      <c r="F59" s="60" t="str">
        <f t="shared" si="25"/>
        <v/>
      </c>
      <c r="G59" s="61" t="str">
        <f t="shared" si="26"/>
        <v/>
      </c>
      <c r="H59" s="61" t="str">
        <f t="shared" si="27"/>
        <v/>
      </c>
      <c r="I59" s="59" t="str">
        <f t="shared" si="28"/>
        <v/>
      </c>
      <c r="J59" s="60" t="str">
        <f t="shared" si="29"/>
        <v/>
      </c>
      <c r="K59" s="59" t="str">
        <f t="shared" si="30"/>
        <v/>
      </c>
      <c r="L59" s="60" t="str">
        <f t="shared" si="31"/>
        <v/>
      </c>
      <c r="M59" s="59" t="str">
        <f t="shared" ca="1" si="32"/>
        <v/>
      </c>
      <c r="N59" s="60" t="str">
        <f t="shared" ca="1" si="33"/>
        <v/>
      </c>
      <c r="O59" s="59" t="str">
        <f t="shared" ca="1" si="34"/>
        <v/>
      </c>
      <c r="P59" s="60" t="str">
        <f t="shared" ca="1" si="35"/>
        <v/>
      </c>
      <c r="Q59" s="59" t="str">
        <f t="shared" ca="1" si="36"/>
        <v/>
      </c>
      <c r="R59" s="60" t="str">
        <f t="shared" ca="1" si="37"/>
        <v/>
      </c>
      <c r="S59" s="59" t="str">
        <f t="shared" ca="1" si="38"/>
        <v/>
      </c>
      <c r="T59" s="61" t="str">
        <f t="shared" ca="1" si="39"/>
        <v/>
      </c>
      <c r="U59" s="59" t="str">
        <f t="shared" ca="1" si="40"/>
        <v/>
      </c>
      <c r="V59" s="61" t="str">
        <f t="shared" ca="1" si="41"/>
        <v/>
      </c>
      <c r="W59" s="61" t="str">
        <f t="shared" ca="1" si="42"/>
        <v/>
      </c>
      <c r="X59" s="60" t="str">
        <f t="shared" ca="1" si="43"/>
        <v/>
      </c>
      <c r="Y59" s="61" t="str">
        <f t="shared" si="44"/>
        <v/>
      </c>
      <c r="Z59" s="60" t="str">
        <f t="shared" si="45"/>
        <v/>
      </c>
    </row>
    <row r="60" spans="2:26" x14ac:dyDescent="0.75">
      <c r="B60" s="59" t="str">
        <f>IF('User Dashboard'!C$12="SIR Model",IF(B177&gt;('User Dashboard'!$H$12+'User Dashboard'!$H$13),"",B177),IF('User Dashboard'!C$12="Manual Entry",IF(B120&gt;('User Dashboard'!$H$12+'User Dashboard'!$H$13),"",B120),IF('User Dashboard'!C$12="Exponential Growth",B234)))</f>
        <v/>
      </c>
      <c r="C60" s="385" t="str">
        <f>IF(B60="","",IF('User Dashboard'!C$12="SIR Model",VLOOKUP(B60,B$130:C$182,2,FALSE),IF('User Dashboard'!C$12="Manual Entry",VLOOKUP(B60,B$73:C$125,2,FALSE),IF('User Dashboard'!C$12="Exponential Growth",VLOOKUP(B60,B$187:D$240,3,FALSE),""))))</f>
        <v/>
      </c>
      <c r="D60" s="60" t="str">
        <f t="shared" si="23"/>
        <v/>
      </c>
      <c r="E60" s="59" t="str">
        <f t="shared" si="24"/>
        <v/>
      </c>
      <c r="F60" s="60" t="str">
        <f t="shared" si="25"/>
        <v/>
      </c>
      <c r="G60" s="61" t="str">
        <f t="shared" si="26"/>
        <v/>
      </c>
      <c r="H60" s="61" t="str">
        <f t="shared" si="27"/>
        <v/>
      </c>
      <c r="I60" s="59" t="str">
        <f t="shared" si="28"/>
        <v/>
      </c>
      <c r="J60" s="60" t="str">
        <f t="shared" si="29"/>
        <v/>
      </c>
      <c r="K60" s="59" t="str">
        <f t="shared" si="30"/>
        <v/>
      </c>
      <c r="L60" s="60" t="str">
        <f t="shared" si="31"/>
        <v/>
      </c>
      <c r="M60" s="59" t="str">
        <f t="shared" ca="1" si="32"/>
        <v/>
      </c>
      <c r="N60" s="60" t="str">
        <f t="shared" ca="1" si="33"/>
        <v/>
      </c>
      <c r="O60" s="59" t="str">
        <f t="shared" ca="1" si="34"/>
        <v/>
      </c>
      <c r="P60" s="60" t="str">
        <f t="shared" ca="1" si="35"/>
        <v/>
      </c>
      <c r="Q60" s="59" t="str">
        <f t="shared" ca="1" si="36"/>
        <v/>
      </c>
      <c r="R60" s="60" t="str">
        <f t="shared" ca="1" si="37"/>
        <v/>
      </c>
      <c r="S60" s="59" t="str">
        <f t="shared" ca="1" si="38"/>
        <v/>
      </c>
      <c r="T60" s="61" t="str">
        <f t="shared" ca="1" si="39"/>
        <v/>
      </c>
      <c r="U60" s="59" t="str">
        <f t="shared" ca="1" si="40"/>
        <v/>
      </c>
      <c r="V60" s="61" t="str">
        <f t="shared" ca="1" si="41"/>
        <v/>
      </c>
      <c r="W60" s="61" t="str">
        <f t="shared" ca="1" si="42"/>
        <v/>
      </c>
      <c r="X60" s="60" t="str">
        <f t="shared" ca="1" si="43"/>
        <v/>
      </c>
      <c r="Y60" s="61" t="str">
        <f t="shared" si="44"/>
        <v/>
      </c>
      <c r="Z60" s="60" t="str">
        <f t="shared" si="45"/>
        <v/>
      </c>
    </row>
    <row r="61" spans="2:26" x14ac:dyDescent="0.75">
      <c r="B61" s="59" t="str">
        <f>IF('User Dashboard'!C$12="SIR Model",IF(B178&gt;('User Dashboard'!$H$12+'User Dashboard'!$H$13),"",B178),IF('User Dashboard'!C$12="Manual Entry",IF(B121&gt;('User Dashboard'!$H$12+'User Dashboard'!$H$13),"",B121),IF('User Dashboard'!C$12="Exponential Growth",B235)))</f>
        <v/>
      </c>
      <c r="C61" s="385" t="str">
        <f>IF(B61="","",IF('User Dashboard'!C$12="SIR Model",VLOOKUP(B61,B$130:C$182,2,FALSE),IF('User Dashboard'!C$12="Manual Entry",VLOOKUP(B61,B$73:C$125,2,FALSE),IF('User Dashboard'!C$12="Exponential Growth",VLOOKUP(B61,B$187:D$240,3,FALSE),""))))</f>
        <v/>
      </c>
      <c r="D61" s="60" t="str">
        <f t="shared" si="23"/>
        <v/>
      </c>
      <c r="E61" s="59" t="str">
        <f t="shared" si="24"/>
        <v/>
      </c>
      <c r="F61" s="60" t="str">
        <f t="shared" si="25"/>
        <v/>
      </c>
      <c r="G61" s="61" t="str">
        <f t="shared" si="26"/>
        <v/>
      </c>
      <c r="H61" s="61" t="str">
        <f t="shared" si="27"/>
        <v/>
      </c>
      <c r="I61" s="59" t="str">
        <f t="shared" si="28"/>
        <v/>
      </c>
      <c r="J61" s="60" t="str">
        <f t="shared" si="29"/>
        <v/>
      </c>
      <c r="K61" s="59" t="str">
        <f t="shared" si="30"/>
        <v/>
      </c>
      <c r="L61" s="60" t="str">
        <f t="shared" si="31"/>
        <v/>
      </c>
      <c r="M61" s="59" t="str">
        <f t="shared" ca="1" si="32"/>
        <v/>
      </c>
      <c r="N61" s="60" t="str">
        <f t="shared" ca="1" si="33"/>
        <v/>
      </c>
      <c r="O61" s="59" t="str">
        <f t="shared" ca="1" si="34"/>
        <v/>
      </c>
      <c r="P61" s="60" t="str">
        <f t="shared" ca="1" si="35"/>
        <v/>
      </c>
      <c r="Q61" s="59" t="str">
        <f t="shared" ca="1" si="36"/>
        <v/>
      </c>
      <c r="R61" s="60" t="str">
        <f t="shared" ca="1" si="37"/>
        <v/>
      </c>
      <c r="S61" s="59" t="str">
        <f t="shared" ca="1" si="38"/>
        <v/>
      </c>
      <c r="T61" s="61" t="str">
        <f t="shared" ca="1" si="39"/>
        <v/>
      </c>
      <c r="U61" s="59" t="str">
        <f t="shared" ca="1" si="40"/>
        <v/>
      </c>
      <c r="V61" s="61" t="str">
        <f t="shared" ca="1" si="41"/>
        <v/>
      </c>
      <c r="W61" s="61" t="str">
        <f t="shared" ca="1" si="42"/>
        <v/>
      </c>
      <c r="X61" s="60" t="str">
        <f t="shared" ca="1" si="43"/>
        <v/>
      </c>
      <c r="Y61" s="61" t="str">
        <f t="shared" si="44"/>
        <v/>
      </c>
      <c r="Z61" s="60" t="str">
        <f t="shared" si="45"/>
        <v/>
      </c>
    </row>
    <row r="62" spans="2:26" x14ac:dyDescent="0.75">
      <c r="B62" s="59" t="str">
        <f>IF('User Dashboard'!C$12="SIR Model",IF(B179&gt;('User Dashboard'!$H$12+'User Dashboard'!$H$13),"",B179),IF('User Dashboard'!C$12="Manual Entry",IF(B122&gt;('User Dashboard'!$H$12+'User Dashboard'!$H$13),"",B122),IF('User Dashboard'!C$12="Exponential Growth",B236)))</f>
        <v/>
      </c>
      <c r="C62" s="385" t="str">
        <f>IF(B62="","",IF('User Dashboard'!C$12="SIR Model",VLOOKUP(B62,B$130:C$182,2,FALSE),IF('User Dashboard'!C$12="Manual Entry",VLOOKUP(B62,B$73:C$125,2,FALSE),IF('User Dashboard'!C$12="Exponential Growth",VLOOKUP(B62,B$187:D$240,3,FALSE),""))))</f>
        <v/>
      </c>
      <c r="D62" s="60" t="str">
        <f t="shared" si="23"/>
        <v/>
      </c>
      <c r="E62" s="59" t="str">
        <f t="shared" si="24"/>
        <v/>
      </c>
      <c r="F62" s="60" t="str">
        <f t="shared" si="25"/>
        <v/>
      </c>
      <c r="G62" s="61" t="str">
        <f t="shared" si="26"/>
        <v/>
      </c>
      <c r="H62" s="61" t="str">
        <f t="shared" si="27"/>
        <v/>
      </c>
      <c r="I62" s="59" t="str">
        <f t="shared" si="28"/>
        <v/>
      </c>
      <c r="J62" s="60" t="str">
        <f t="shared" si="29"/>
        <v/>
      </c>
      <c r="K62" s="59" t="str">
        <f t="shared" si="30"/>
        <v/>
      </c>
      <c r="L62" s="60" t="str">
        <f t="shared" si="31"/>
        <v/>
      </c>
      <c r="M62" s="59" t="str">
        <f t="shared" ca="1" si="32"/>
        <v/>
      </c>
      <c r="N62" s="60" t="str">
        <f t="shared" ca="1" si="33"/>
        <v/>
      </c>
      <c r="O62" s="59" t="str">
        <f t="shared" ca="1" si="34"/>
        <v/>
      </c>
      <c r="P62" s="60" t="str">
        <f t="shared" ca="1" si="35"/>
        <v/>
      </c>
      <c r="Q62" s="59" t="str">
        <f t="shared" ca="1" si="36"/>
        <v/>
      </c>
      <c r="R62" s="60" t="str">
        <f t="shared" ca="1" si="37"/>
        <v/>
      </c>
      <c r="S62" s="59" t="str">
        <f t="shared" ca="1" si="38"/>
        <v/>
      </c>
      <c r="T62" s="61" t="str">
        <f t="shared" ca="1" si="39"/>
        <v/>
      </c>
      <c r="U62" s="59" t="str">
        <f t="shared" ca="1" si="40"/>
        <v/>
      </c>
      <c r="V62" s="61" t="str">
        <f t="shared" ca="1" si="41"/>
        <v/>
      </c>
      <c r="W62" s="61" t="str">
        <f t="shared" ca="1" si="42"/>
        <v/>
      </c>
      <c r="X62" s="60" t="str">
        <f t="shared" ca="1" si="43"/>
        <v/>
      </c>
      <c r="Y62" s="61" t="str">
        <f t="shared" si="44"/>
        <v/>
      </c>
      <c r="Z62" s="60" t="str">
        <f t="shared" si="45"/>
        <v/>
      </c>
    </row>
    <row r="63" spans="2:26" x14ac:dyDescent="0.75">
      <c r="B63" s="59" t="str">
        <f>IF('User Dashboard'!C$12="SIR Model",IF(B180&gt;('User Dashboard'!$H$12+'User Dashboard'!$H$13),"",B180),IF('User Dashboard'!C$12="Manual Entry",IF(B123&gt;('User Dashboard'!$H$12+'User Dashboard'!$H$13),"",B123),IF('User Dashboard'!C$12="Exponential Growth",B237)))</f>
        <v/>
      </c>
      <c r="C63" s="385" t="str">
        <f>IF(B63="","",IF('User Dashboard'!C$12="SIR Model",VLOOKUP(B63,B$130:C$182,2,FALSE),IF('User Dashboard'!C$12="Manual Entry",VLOOKUP(B63,B$73:C$125,2,FALSE),IF('User Dashboard'!C$12="Exponential Growth",VLOOKUP(B63,B$187:D$240,3,FALSE),""))))</f>
        <v/>
      </c>
      <c r="D63" s="60" t="str">
        <f t="shared" si="23"/>
        <v/>
      </c>
      <c r="E63" s="59" t="str">
        <f t="shared" si="24"/>
        <v/>
      </c>
      <c r="F63" s="60" t="str">
        <f t="shared" si="25"/>
        <v/>
      </c>
      <c r="G63" s="61" t="str">
        <f t="shared" si="26"/>
        <v/>
      </c>
      <c r="H63" s="61" t="str">
        <f t="shared" si="27"/>
        <v/>
      </c>
      <c r="I63" s="59" t="str">
        <f t="shared" si="28"/>
        <v/>
      </c>
      <c r="J63" s="60" t="str">
        <f t="shared" si="29"/>
        <v/>
      </c>
      <c r="K63" s="59" t="str">
        <f t="shared" si="30"/>
        <v/>
      </c>
      <c r="L63" s="60" t="str">
        <f t="shared" si="31"/>
        <v/>
      </c>
      <c r="M63" s="59" t="str">
        <f t="shared" ca="1" si="32"/>
        <v/>
      </c>
      <c r="N63" s="60" t="str">
        <f t="shared" ca="1" si="33"/>
        <v/>
      </c>
      <c r="O63" s="59" t="str">
        <f t="shared" ca="1" si="34"/>
        <v/>
      </c>
      <c r="P63" s="60" t="str">
        <f t="shared" ca="1" si="35"/>
        <v/>
      </c>
      <c r="Q63" s="59" t="str">
        <f t="shared" ca="1" si="36"/>
        <v/>
      </c>
      <c r="R63" s="60" t="str">
        <f t="shared" ca="1" si="37"/>
        <v/>
      </c>
      <c r="S63" s="59" t="str">
        <f t="shared" ca="1" si="38"/>
        <v/>
      </c>
      <c r="T63" s="61" t="str">
        <f t="shared" ca="1" si="39"/>
        <v/>
      </c>
      <c r="U63" s="59" t="str">
        <f t="shared" ca="1" si="40"/>
        <v/>
      </c>
      <c r="V63" s="61" t="str">
        <f t="shared" ca="1" si="41"/>
        <v/>
      </c>
      <c r="W63" s="61" t="str">
        <f t="shared" ca="1" si="42"/>
        <v/>
      </c>
      <c r="X63" s="60" t="str">
        <f t="shared" ca="1" si="43"/>
        <v/>
      </c>
      <c r="Y63" s="61" t="str">
        <f t="shared" si="44"/>
        <v/>
      </c>
      <c r="Z63" s="60" t="str">
        <f t="shared" si="45"/>
        <v/>
      </c>
    </row>
    <row r="64" spans="2:26" x14ac:dyDescent="0.75">
      <c r="B64" s="59" t="str">
        <f>IF('User Dashboard'!C$12="SIR Model",IF(B181&gt;('User Dashboard'!$H$12+'User Dashboard'!$H$13),"",B181),IF('User Dashboard'!C$12="Manual Entry",IF(B124&gt;('User Dashboard'!$H$12+'User Dashboard'!$H$13),"",B124),IF('User Dashboard'!C$12="Exponential Growth",B238)))</f>
        <v/>
      </c>
      <c r="C64" s="385" t="str">
        <f>IF(B64="","",IF('User Dashboard'!C$12="SIR Model",VLOOKUP(B64,B$130:C$182,2,FALSE),IF('User Dashboard'!C$12="Manual Entry",VLOOKUP(B64,B$73:C$125,2,FALSE),IF('User Dashboard'!C$12="Exponential Growth",VLOOKUP(B64,B$187:D$240,3,FALSE),""))))</f>
        <v/>
      </c>
      <c r="D64" s="60" t="str">
        <f t="shared" si="23"/>
        <v/>
      </c>
      <c r="E64" s="59" t="str">
        <f t="shared" si="24"/>
        <v/>
      </c>
      <c r="F64" s="60" t="str">
        <f t="shared" si="25"/>
        <v/>
      </c>
      <c r="G64" s="61" t="str">
        <f t="shared" si="26"/>
        <v/>
      </c>
      <c r="H64" s="61" t="str">
        <f t="shared" si="27"/>
        <v/>
      </c>
      <c r="I64" s="59" t="str">
        <f t="shared" si="28"/>
        <v/>
      </c>
      <c r="J64" s="60" t="str">
        <f t="shared" si="29"/>
        <v/>
      </c>
      <c r="K64" s="59" t="str">
        <f t="shared" si="30"/>
        <v/>
      </c>
      <c r="L64" s="60" t="str">
        <f t="shared" si="31"/>
        <v/>
      </c>
      <c r="M64" s="59" t="str">
        <f t="shared" ca="1" si="32"/>
        <v/>
      </c>
      <c r="N64" s="60" t="str">
        <f t="shared" ca="1" si="33"/>
        <v/>
      </c>
      <c r="O64" s="59" t="str">
        <f t="shared" ca="1" si="34"/>
        <v/>
      </c>
      <c r="P64" s="60" t="str">
        <f t="shared" ca="1" si="35"/>
        <v/>
      </c>
      <c r="Q64" s="59" t="str">
        <f t="shared" ca="1" si="36"/>
        <v/>
      </c>
      <c r="R64" s="60" t="str">
        <f t="shared" ca="1" si="37"/>
        <v/>
      </c>
      <c r="S64" s="59" t="str">
        <f t="shared" ca="1" si="38"/>
        <v/>
      </c>
      <c r="T64" s="61" t="str">
        <f t="shared" ca="1" si="39"/>
        <v/>
      </c>
      <c r="U64" s="59" t="str">
        <f t="shared" ca="1" si="40"/>
        <v/>
      </c>
      <c r="V64" s="61" t="str">
        <f t="shared" ca="1" si="41"/>
        <v/>
      </c>
      <c r="W64" s="61" t="str">
        <f t="shared" ca="1" si="42"/>
        <v/>
      </c>
      <c r="X64" s="60" t="str">
        <f t="shared" ca="1" si="43"/>
        <v/>
      </c>
      <c r="Y64" s="61" t="str">
        <f t="shared" si="44"/>
        <v/>
      </c>
      <c r="Z64" s="60" t="str">
        <f t="shared" si="45"/>
        <v/>
      </c>
    </row>
    <row r="65" spans="1:26" ht="15.5" thickBot="1" x14ac:dyDescent="0.9">
      <c r="B65" s="177" t="str">
        <f>IF('User Dashboard'!C$12="SIR Model",IF(B182&gt;('User Dashboard'!$H$12+'User Dashboard'!$H$13),"",B182),IF('User Dashboard'!C$12="Manual Entry",IF(B125&gt;('User Dashboard'!$H$12+'User Dashboard'!$H$13),"",B125),IF('User Dashboard'!C$12="Exponential Growth",B239)))</f>
        <v/>
      </c>
      <c r="C65" s="1187" t="str">
        <f>IF(B65="","",IF('User Dashboard'!C$12="SIR Model",VLOOKUP(B65,B$130:C$182,2,FALSE),IF('User Dashboard'!C$12="Manual Entry",VLOOKUP(B65,B$73:C$125,2,FALSE),IF('User Dashboard'!C$12="Exponential Growth",VLOOKUP(B65,B$187:D$240,3,FALSE),""))))</f>
        <v/>
      </c>
      <c r="D65" s="178" t="str">
        <f t="shared" si="23"/>
        <v/>
      </c>
      <c r="E65" s="177" t="str">
        <f t="shared" si="24"/>
        <v/>
      </c>
      <c r="F65" s="178" t="str">
        <f t="shared" si="25"/>
        <v/>
      </c>
      <c r="G65" s="179" t="str">
        <f t="shared" si="26"/>
        <v/>
      </c>
      <c r="H65" s="179" t="str">
        <f t="shared" si="27"/>
        <v/>
      </c>
      <c r="I65" s="177" t="str">
        <f t="shared" si="28"/>
        <v/>
      </c>
      <c r="J65" s="178" t="str">
        <f t="shared" si="29"/>
        <v/>
      </c>
      <c r="K65" s="177" t="str">
        <f t="shared" si="30"/>
        <v/>
      </c>
      <c r="L65" s="178" t="str">
        <f t="shared" si="31"/>
        <v/>
      </c>
      <c r="M65" s="177" t="str">
        <f t="shared" ca="1" si="32"/>
        <v/>
      </c>
      <c r="N65" s="178" t="str">
        <f t="shared" ca="1" si="33"/>
        <v/>
      </c>
      <c r="O65" s="177" t="str">
        <f t="shared" ca="1" si="34"/>
        <v/>
      </c>
      <c r="P65" s="178" t="str">
        <f t="shared" ca="1" si="35"/>
        <v/>
      </c>
      <c r="Q65" s="177" t="str">
        <f t="shared" ca="1" si="36"/>
        <v/>
      </c>
      <c r="R65" s="178" t="str">
        <f t="shared" ca="1" si="37"/>
        <v/>
      </c>
      <c r="S65" s="177" t="str">
        <f t="shared" ca="1" si="38"/>
        <v/>
      </c>
      <c r="T65" s="179" t="str">
        <f t="shared" ca="1" si="39"/>
        <v/>
      </c>
      <c r="U65" s="177" t="str">
        <f t="shared" ca="1" si="40"/>
        <v/>
      </c>
      <c r="V65" s="179" t="str">
        <f t="shared" ca="1" si="41"/>
        <v/>
      </c>
      <c r="W65" s="179" t="str">
        <f t="shared" ca="1" si="42"/>
        <v/>
      </c>
      <c r="X65" s="178" t="str">
        <f t="shared" ca="1" si="43"/>
        <v/>
      </c>
      <c r="Y65" s="179" t="str">
        <f t="shared" si="44"/>
        <v/>
      </c>
      <c r="Z65" s="178" t="str">
        <f t="shared" si="45"/>
        <v/>
      </c>
    </row>
    <row r="67" spans="1:26" s="26" customFormat="1" ht="15" customHeight="1" x14ac:dyDescent="0.8">
      <c r="A67" s="209" t="s">
        <v>884</v>
      </c>
      <c r="B67" s="180" t="s">
        <v>879</v>
      </c>
      <c r="C67" s="389"/>
      <c r="D67" s="206" t="s">
        <v>1868</v>
      </c>
      <c r="E67" s="780" t="s">
        <v>1442</v>
      </c>
    </row>
    <row r="69" spans="1:26" s="132" customFormat="1" x14ac:dyDescent="0.75">
      <c r="B69" s="207" t="s">
        <v>1870</v>
      </c>
      <c r="C69" s="390"/>
      <c r="D69" s="199"/>
    </row>
    <row r="70" spans="1:26" s="132" customFormat="1" ht="18.649999999999999" customHeight="1" x14ac:dyDescent="0.75">
      <c r="B70" s="208" t="s">
        <v>1871</v>
      </c>
      <c r="C70" s="391"/>
      <c r="D70" s="200"/>
      <c r="E70" s="200"/>
    </row>
    <row r="71" spans="1:26" s="132" customFormat="1" ht="15.5" thickBot="1" x14ac:dyDescent="0.9">
      <c r="B71" s="201"/>
      <c r="C71" s="391"/>
      <c r="D71" s="200"/>
      <c r="E71" s="200"/>
    </row>
    <row r="72" spans="1:26" ht="30.25" thickBot="1" x14ac:dyDescent="0.9">
      <c r="B72" s="202" t="s">
        <v>691</v>
      </c>
      <c r="C72" s="202" t="s">
        <v>699</v>
      </c>
      <c r="J72" s="1"/>
    </row>
    <row r="73" spans="1:26" x14ac:dyDescent="0.75">
      <c r="A73" s="9"/>
      <c r="B73" s="203">
        <v>0</v>
      </c>
      <c r="C73" s="205">
        <v>1</v>
      </c>
      <c r="E73" s="43"/>
      <c r="F73" s="43"/>
      <c r="I73" s="43"/>
      <c r="J73" s="43"/>
    </row>
    <row r="74" spans="1:26" x14ac:dyDescent="0.75">
      <c r="A74" s="9"/>
      <c r="B74" s="204">
        <f t="shared" ref="B74:B105" si="46">IF(C74="","",B73+1)</f>
        <v>1</v>
      </c>
      <c r="C74" s="205">
        <v>10</v>
      </c>
      <c r="E74" s="43"/>
      <c r="F74" s="43"/>
      <c r="I74" s="43"/>
      <c r="J74" s="43"/>
    </row>
    <row r="75" spans="1:26" x14ac:dyDescent="0.75">
      <c r="A75" s="9"/>
      <c r="B75" s="204">
        <f t="shared" si="46"/>
        <v>2</v>
      </c>
      <c r="C75" s="205">
        <v>100</v>
      </c>
      <c r="E75" s="43"/>
      <c r="F75" s="43"/>
      <c r="I75" s="43"/>
      <c r="J75" s="43"/>
    </row>
    <row r="76" spans="1:26" x14ac:dyDescent="0.75">
      <c r="A76" s="271"/>
      <c r="B76" s="204">
        <f t="shared" si="46"/>
        <v>3</v>
      </c>
      <c r="C76" s="205">
        <v>1000</v>
      </c>
      <c r="J76" s="1"/>
    </row>
    <row r="77" spans="1:26" x14ac:dyDescent="0.75">
      <c r="A77" s="9"/>
      <c r="B77" s="204">
        <f t="shared" si="46"/>
        <v>4</v>
      </c>
      <c r="C77" s="205">
        <v>10000</v>
      </c>
      <c r="I77" s="2"/>
      <c r="J77" s="2"/>
    </row>
    <row r="78" spans="1:26" x14ac:dyDescent="0.75">
      <c r="A78" s="9"/>
      <c r="B78" s="204">
        <f t="shared" si="46"/>
        <v>5</v>
      </c>
      <c r="C78" s="205">
        <v>100000</v>
      </c>
    </row>
    <row r="79" spans="1:26" x14ac:dyDescent="0.75">
      <c r="A79" s="271"/>
      <c r="B79" s="204">
        <f t="shared" si="46"/>
        <v>6</v>
      </c>
      <c r="C79" s="205">
        <v>1000000</v>
      </c>
    </row>
    <row r="80" spans="1:26" x14ac:dyDescent="0.75">
      <c r="A80" s="9"/>
      <c r="B80" s="204" t="str">
        <f t="shared" si="46"/>
        <v/>
      </c>
      <c r="C80" s="205"/>
      <c r="E80" s="2"/>
      <c r="F80" s="2"/>
      <c r="G80" s="2"/>
      <c r="H80" s="2"/>
      <c r="I80" s="2"/>
      <c r="J80" s="2"/>
    </row>
    <row r="81" spans="1:10" x14ac:dyDescent="0.75">
      <c r="A81" s="9"/>
      <c r="B81" s="204" t="str">
        <f t="shared" si="46"/>
        <v/>
      </c>
      <c r="C81" s="205"/>
      <c r="E81" s="2"/>
      <c r="F81" s="2"/>
      <c r="G81" s="2"/>
      <c r="H81" s="2"/>
      <c r="I81" s="2"/>
      <c r="J81" s="2"/>
    </row>
    <row r="82" spans="1:10" x14ac:dyDescent="0.75">
      <c r="A82" s="271"/>
      <c r="B82" s="204" t="str">
        <f t="shared" si="46"/>
        <v/>
      </c>
      <c r="C82" s="205"/>
      <c r="E82" s="2"/>
      <c r="F82" s="2"/>
      <c r="G82" s="2"/>
      <c r="H82" s="2"/>
      <c r="I82" s="2"/>
      <c r="J82" s="2"/>
    </row>
    <row r="83" spans="1:10" x14ac:dyDescent="0.75">
      <c r="A83" s="9"/>
      <c r="B83" s="204" t="str">
        <f t="shared" si="46"/>
        <v/>
      </c>
      <c r="C83" s="205"/>
      <c r="E83" s="2"/>
      <c r="F83" s="2"/>
      <c r="G83" s="2"/>
      <c r="H83" s="2"/>
      <c r="I83" s="2"/>
      <c r="J83" s="2"/>
    </row>
    <row r="84" spans="1:10" x14ac:dyDescent="0.75">
      <c r="A84" s="9"/>
      <c r="B84" s="204" t="str">
        <f t="shared" si="46"/>
        <v/>
      </c>
      <c r="C84" s="205"/>
      <c r="E84" s="2"/>
      <c r="F84" s="2"/>
      <c r="G84" s="2"/>
      <c r="H84" s="2"/>
      <c r="I84" s="2"/>
      <c r="J84" s="2"/>
    </row>
    <row r="85" spans="1:10" x14ac:dyDescent="0.75">
      <c r="A85" s="271"/>
      <c r="B85" s="204" t="str">
        <f t="shared" si="46"/>
        <v/>
      </c>
      <c r="C85" s="205"/>
      <c r="E85" s="2"/>
      <c r="F85" s="2"/>
      <c r="G85" s="2"/>
      <c r="H85" s="2"/>
      <c r="I85" s="2"/>
      <c r="J85" s="2"/>
    </row>
    <row r="86" spans="1:10" x14ac:dyDescent="0.75">
      <c r="A86" s="9"/>
      <c r="B86" s="204" t="str">
        <f t="shared" si="46"/>
        <v/>
      </c>
      <c r="C86" s="205"/>
      <c r="E86" s="2"/>
      <c r="F86" s="2"/>
      <c r="G86" s="2"/>
      <c r="H86" s="2"/>
      <c r="I86" s="2"/>
      <c r="J86" s="2"/>
    </row>
    <row r="87" spans="1:10" x14ac:dyDescent="0.75">
      <c r="A87" s="9"/>
      <c r="B87" s="204" t="str">
        <f t="shared" si="46"/>
        <v/>
      </c>
      <c r="C87" s="205"/>
      <c r="E87" s="2"/>
      <c r="F87" s="2"/>
      <c r="G87" s="2"/>
      <c r="H87" s="2"/>
      <c r="I87" s="2"/>
      <c r="J87" s="2"/>
    </row>
    <row r="88" spans="1:10" x14ac:dyDescent="0.75">
      <c r="A88" s="271"/>
      <c r="B88" s="204" t="str">
        <f t="shared" si="46"/>
        <v/>
      </c>
      <c r="C88" s="205"/>
      <c r="E88" s="2"/>
      <c r="F88" s="2"/>
      <c r="G88" s="2"/>
      <c r="H88" s="2"/>
      <c r="I88" s="2"/>
      <c r="J88" s="2"/>
    </row>
    <row r="89" spans="1:10" x14ac:dyDescent="0.75">
      <c r="A89" s="9"/>
      <c r="B89" s="204" t="str">
        <f t="shared" si="46"/>
        <v/>
      </c>
      <c r="C89" s="205"/>
      <c r="E89" s="2"/>
      <c r="F89" s="2"/>
      <c r="G89" s="2"/>
      <c r="H89" s="2"/>
      <c r="I89" s="2"/>
      <c r="J89" s="2"/>
    </row>
    <row r="90" spans="1:10" x14ac:dyDescent="0.75">
      <c r="A90" s="9"/>
      <c r="B90" s="204" t="str">
        <f t="shared" si="46"/>
        <v/>
      </c>
      <c r="C90" s="205"/>
      <c r="E90" s="2"/>
      <c r="F90" s="2"/>
      <c r="G90" s="2"/>
      <c r="H90" s="2"/>
      <c r="I90" s="2"/>
      <c r="J90" s="2"/>
    </row>
    <row r="91" spans="1:10" x14ac:dyDescent="0.75">
      <c r="A91" s="271"/>
      <c r="B91" s="204" t="str">
        <f t="shared" si="46"/>
        <v/>
      </c>
      <c r="C91" s="205"/>
      <c r="E91" s="2"/>
      <c r="F91" s="2"/>
      <c r="G91" s="2"/>
      <c r="H91" s="2"/>
      <c r="I91" s="2"/>
      <c r="J91" s="2"/>
    </row>
    <row r="92" spans="1:10" x14ac:dyDescent="0.75">
      <c r="A92" s="9"/>
      <c r="B92" s="204" t="str">
        <f t="shared" si="46"/>
        <v/>
      </c>
      <c r="C92" s="205"/>
      <c r="E92" s="2"/>
      <c r="F92" s="2"/>
      <c r="G92" s="2"/>
      <c r="H92" s="2"/>
      <c r="I92" s="2"/>
      <c r="J92" s="2"/>
    </row>
    <row r="93" spans="1:10" x14ac:dyDescent="0.75">
      <c r="A93" s="9"/>
      <c r="B93" s="204" t="str">
        <f t="shared" si="46"/>
        <v/>
      </c>
      <c r="C93" s="205"/>
      <c r="E93" s="2"/>
      <c r="F93" s="2"/>
      <c r="G93" s="2"/>
      <c r="H93" s="2"/>
      <c r="I93" s="2"/>
      <c r="J93" s="2"/>
    </row>
    <row r="94" spans="1:10" x14ac:dyDescent="0.75">
      <c r="A94" s="271"/>
      <c r="B94" s="204" t="str">
        <f t="shared" si="46"/>
        <v/>
      </c>
      <c r="C94" s="205"/>
      <c r="E94" s="2"/>
      <c r="F94" s="2"/>
      <c r="G94" s="2"/>
      <c r="H94" s="2"/>
      <c r="I94" s="2"/>
      <c r="J94" s="2"/>
    </row>
    <row r="95" spans="1:10" x14ac:dyDescent="0.75">
      <c r="A95" s="9"/>
      <c r="B95" s="204" t="str">
        <f t="shared" si="46"/>
        <v/>
      </c>
      <c r="C95" s="205"/>
      <c r="E95" s="2"/>
      <c r="F95" s="2"/>
      <c r="G95" s="2"/>
      <c r="H95" s="2"/>
      <c r="I95" s="2"/>
      <c r="J95" s="2"/>
    </row>
    <row r="96" spans="1:10" x14ac:dyDescent="0.75">
      <c r="A96" s="9"/>
      <c r="B96" s="204" t="str">
        <f t="shared" si="46"/>
        <v/>
      </c>
      <c r="C96" s="205"/>
      <c r="E96" s="2"/>
      <c r="F96" s="2"/>
      <c r="G96" s="2"/>
      <c r="H96" s="2"/>
      <c r="I96" s="2"/>
      <c r="J96" s="2"/>
    </row>
    <row r="97" spans="1:10" x14ac:dyDescent="0.75">
      <c r="A97" s="271"/>
      <c r="B97" s="204" t="str">
        <f t="shared" si="46"/>
        <v/>
      </c>
      <c r="C97" s="205"/>
      <c r="E97" s="2"/>
      <c r="F97" s="2"/>
      <c r="G97" s="2"/>
      <c r="H97" s="2"/>
      <c r="I97" s="2"/>
      <c r="J97" s="2"/>
    </row>
    <row r="98" spans="1:10" x14ac:dyDescent="0.75">
      <c r="A98" s="9"/>
      <c r="B98" s="204" t="str">
        <f t="shared" si="46"/>
        <v/>
      </c>
      <c r="C98" s="205"/>
      <c r="E98" s="2"/>
      <c r="F98" s="2"/>
      <c r="G98" s="2"/>
      <c r="H98" s="2"/>
      <c r="I98" s="2"/>
      <c r="J98" s="2"/>
    </row>
    <row r="99" spans="1:10" x14ac:dyDescent="0.75">
      <c r="A99" s="9"/>
      <c r="B99" s="204" t="str">
        <f t="shared" si="46"/>
        <v/>
      </c>
      <c r="C99" s="205"/>
      <c r="E99" s="2"/>
      <c r="F99" s="2"/>
      <c r="G99" s="2"/>
      <c r="H99" s="2"/>
      <c r="I99" s="2"/>
      <c r="J99" s="2"/>
    </row>
    <row r="100" spans="1:10" x14ac:dyDescent="0.75">
      <c r="A100" s="271"/>
      <c r="B100" s="204" t="str">
        <f t="shared" si="46"/>
        <v/>
      </c>
      <c r="C100" s="205"/>
      <c r="E100" s="2"/>
      <c r="F100" s="2"/>
      <c r="G100" s="2"/>
      <c r="H100" s="2"/>
      <c r="I100" s="2"/>
      <c r="J100" s="2"/>
    </row>
    <row r="101" spans="1:10" x14ac:dyDescent="0.75">
      <c r="A101" s="9"/>
      <c r="B101" s="204" t="str">
        <f t="shared" si="46"/>
        <v/>
      </c>
      <c r="C101" s="205"/>
      <c r="E101" s="2"/>
      <c r="F101" s="2"/>
      <c r="G101" s="2"/>
      <c r="H101" s="2"/>
      <c r="I101" s="2"/>
      <c r="J101" s="2"/>
    </row>
    <row r="102" spans="1:10" x14ac:dyDescent="0.75">
      <c r="A102" s="9"/>
      <c r="B102" s="204" t="str">
        <f t="shared" si="46"/>
        <v/>
      </c>
      <c r="C102" s="205"/>
      <c r="E102" s="2"/>
      <c r="F102" s="2"/>
      <c r="G102" s="2"/>
      <c r="H102" s="2"/>
      <c r="I102" s="2"/>
      <c r="J102" s="2"/>
    </row>
    <row r="103" spans="1:10" x14ac:dyDescent="0.75">
      <c r="A103" s="271"/>
      <c r="B103" s="204" t="str">
        <f t="shared" si="46"/>
        <v/>
      </c>
      <c r="C103" s="205"/>
      <c r="E103" s="2"/>
      <c r="F103" s="2"/>
      <c r="G103" s="2"/>
      <c r="H103" s="2"/>
      <c r="I103" s="2"/>
      <c r="J103" s="2"/>
    </row>
    <row r="104" spans="1:10" x14ac:dyDescent="0.75">
      <c r="A104" s="9"/>
      <c r="B104" s="204" t="str">
        <f t="shared" si="46"/>
        <v/>
      </c>
      <c r="C104" s="205"/>
      <c r="E104" s="2"/>
      <c r="F104" s="2"/>
      <c r="G104" s="2"/>
      <c r="H104" s="2"/>
      <c r="I104" s="2"/>
      <c r="J104" s="2"/>
    </row>
    <row r="105" spans="1:10" x14ac:dyDescent="0.75">
      <c r="A105" s="9"/>
      <c r="B105" s="204" t="str">
        <f t="shared" si="46"/>
        <v/>
      </c>
      <c r="C105" s="205"/>
      <c r="E105" s="2"/>
      <c r="F105" s="2"/>
      <c r="G105" s="2"/>
      <c r="H105" s="2"/>
      <c r="I105" s="2"/>
      <c r="J105" s="2"/>
    </row>
    <row r="106" spans="1:10" x14ac:dyDescent="0.75">
      <c r="A106" s="271"/>
      <c r="B106" s="204" t="str">
        <f t="shared" ref="B106:B125" si="47">IF(C106="","",B105+1)</f>
        <v/>
      </c>
      <c r="C106" s="205"/>
      <c r="E106" s="2"/>
      <c r="F106" s="2"/>
      <c r="G106" s="2"/>
      <c r="H106" s="2"/>
      <c r="I106" s="2"/>
      <c r="J106" s="2"/>
    </row>
    <row r="107" spans="1:10" x14ac:dyDescent="0.75">
      <c r="A107" s="9"/>
      <c r="B107" s="204" t="str">
        <f t="shared" si="47"/>
        <v/>
      </c>
      <c r="C107" s="205"/>
      <c r="E107" s="2"/>
      <c r="F107" s="2"/>
      <c r="G107" s="2"/>
      <c r="H107" s="2"/>
      <c r="I107" s="2"/>
      <c r="J107" s="2"/>
    </row>
    <row r="108" spans="1:10" x14ac:dyDescent="0.75">
      <c r="A108" s="9"/>
      <c r="B108" s="204" t="str">
        <f t="shared" si="47"/>
        <v/>
      </c>
      <c r="C108" s="205"/>
      <c r="E108" s="2"/>
      <c r="F108" s="2"/>
      <c r="G108" s="2"/>
      <c r="H108" s="2"/>
      <c r="I108" s="2"/>
      <c r="J108" s="2"/>
    </row>
    <row r="109" spans="1:10" x14ac:dyDescent="0.75">
      <c r="A109" s="271"/>
      <c r="B109" s="204" t="str">
        <f t="shared" si="47"/>
        <v/>
      </c>
      <c r="C109" s="205"/>
      <c r="E109" s="2"/>
      <c r="F109" s="2"/>
      <c r="G109" s="2"/>
      <c r="H109" s="2"/>
      <c r="I109" s="2"/>
      <c r="J109" s="2"/>
    </row>
    <row r="110" spans="1:10" x14ac:dyDescent="0.75">
      <c r="A110" s="9"/>
      <c r="B110" s="204" t="str">
        <f t="shared" si="47"/>
        <v/>
      </c>
      <c r="C110" s="205"/>
      <c r="E110" s="2"/>
      <c r="F110" s="2"/>
      <c r="G110" s="2"/>
      <c r="H110" s="2"/>
      <c r="I110" s="2"/>
      <c r="J110" s="2"/>
    </row>
    <row r="111" spans="1:10" x14ac:dyDescent="0.75">
      <c r="A111" s="9"/>
      <c r="B111" s="204" t="str">
        <f t="shared" si="47"/>
        <v/>
      </c>
      <c r="C111" s="205"/>
      <c r="E111" s="2"/>
      <c r="F111" s="2"/>
      <c r="G111" s="2"/>
      <c r="H111" s="2"/>
      <c r="I111" s="2"/>
      <c r="J111" s="2"/>
    </row>
    <row r="112" spans="1:10" x14ac:dyDescent="0.75">
      <c r="A112" s="271"/>
      <c r="B112" s="204" t="str">
        <f t="shared" si="47"/>
        <v/>
      </c>
      <c r="C112" s="205"/>
      <c r="E112" s="2"/>
      <c r="F112" s="2"/>
      <c r="G112" s="2"/>
      <c r="H112" s="2"/>
      <c r="I112" s="2"/>
      <c r="J112" s="2"/>
    </row>
    <row r="113" spans="1:10" x14ac:dyDescent="0.75">
      <c r="A113" s="9"/>
      <c r="B113" s="204" t="str">
        <f t="shared" si="47"/>
        <v/>
      </c>
      <c r="C113" s="205"/>
      <c r="E113" s="2"/>
      <c r="F113" s="2"/>
      <c r="G113" s="2"/>
      <c r="H113" s="2"/>
      <c r="I113" s="2"/>
      <c r="J113" s="2"/>
    </row>
    <row r="114" spans="1:10" x14ac:dyDescent="0.75">
      <c r="A114" s="9"/>
      <c r="B114" s="204" t="str">
        <f t="shared" si="47"/>
        <v/>
      </c>
      <c r="C114" s="205"/>
      <c r="E114" s="2"/>
      <c r="F114" s="2"/>
      <c r="G114" s="2"/>
      <c r="H114" s="2"/>
      <c r="I114" s="2"/>
      <c r="J114" s="2"/>
    </row>
    <row r="115" spans="1:10" x14ac:dyDescent="0.75">
      <c r="A115" s="271"/>
      <c r="B115" s="204" t="str">
        <f t="shared" si="47"/>
        <v/>
      </c>
      <c r="C115" s="205"/>
      <c r="E115" s="2"/>
      <c r="F115" s="2"/>
      <c r="G115" s="2"/>
      <c r="H115" s="2"/>
      <c r="I115" s="2"/>
      <c r="J115" s="2"/>
    </row>
    <row r="116" spans="1:10" x14ac:dyDescent="0.75">
      <c r="A116" s="9"/>
      <c r="B116" s="204" t="str">
        <f t="shared" si="47"/>
        <v/>
      </c>
      <c r="C116" s="205"/>
      <c r="E116" s="2"/>
      <c r="F116" s="2"/>
      <c r="G116" s="2"/>
      <c r="H116" s="2"/>
      <c r="I116" s="2"/>
      <c r="J116" s="2"/>
    </row>
    <row r="117" spans="1:10" x14ac:dyDescent="0.75">
      <c r="A117" s="9"/>
      <c r="B117" s="204" t="str">
        <f t="shared" si="47"/>
        <v/>
      </c>
      <c r="C117" s="205"/>
      <c r="E117" s="2"/>
      <c r="F117" s="2"/>
      <c r="G117" s="2"/>
      <c r="H117" s="2"/>
      <c r="I117" s="2"/>
      <c r="J117" s="2"/>
    </row>
    <row r="118" spans="1:10" x14ac:dyDescent="0.75">
      <c r="A118" s="271"/>
      <c r="B118" s="204" t="str">
        <f t="shared" si="47"/>
        <v/>
      </c>
      <c r="C118" s="205"/>
      <c r="E118" s="2"/>
      <c r="F118" s="2"/>
      <c r="G118" s="2"/>
      <c r="H118" s="2"/>
      <c r="I118" s="2"/>
      <c r="J118" s="2"/>
    </row>
    <row r="119" spans="1:10" x14ac:dyDescent="0.75">
      <c r="A119" s="9"/>
      <c r="B119" s="204" t="str">
        <f t="shared" si="47"/>
        <v/>
      </c>
      <c r="C119" s="205"/>
      <c r="E119" s="2"/>
      <c r="F119" s="2"/>
      <c r="G119" s="2"/>
      <c r="H119" s="2"/>
      <c r="I119" s="2"/>
      <c r="J119" s="2"/>
    </row>
    <row r="120" spans="1:10" x14ac:dyDescent="0.75">
      <c r="A120" s="9"/>
      <c r="B120" s="204" t="str">
        <f t="shared" si="47"/>
        <v/>
      </c>
      <c r="C120" s="205"/>
      <c r="E120" s="2"/>
      <c r="F120" s="2"/>
      <c r="G120" s="2"/>
      <c r="H120" s="2"/>
      <c r="I120" s="2"/>
      <c r="J120" s="2"/>
    </row>
    <row r="121" spans="1:10" x14ac:dyDescent="0.75">
      <c r="A121" s="271"/>
      <c r="B121" s="204" t="str">
        <f t="shared" si="47"/>
        <v/>
      </c>
      <c r="C121" s="205"/>
      <c r="E121" s="2"/>
      <c r="F121" s="2"/>
      <c r="G121" s="2"/>
      <c r="H121" s="2"/>
      <c r="I121" s="2"/>
      <c r="J121" s="2"/>
    </row>
    <row r="122" spans="1:10" x14ac:dyDescent="0.75">
      <c r="A122" s="9"/>
      <c r="B122" s="204" t="str">
        <f t="shared" si="47"/>
        <v/>
      </c>
      <c r="C122" s="205"/>
      <c r="E122" s="2"/>
      <c r="F122" s="2"/>
      <c r="G122" s="2"/>
      <c r="H122" s="2"/>
      <c r="I122" s="2"/>
      <c r="J122" s="2"/>
    </row>
    <row r="123" spans="1:10" x14ac:dyDescent="0.75">
      <c r="A123" s="9"/>
      <c r="B123" s="204" t="str">
        <f t="shared" si="47"/>
        <v/>
      </c>
      <c r="C123" s="205"/>
      <c r="E123" s="2"/>
      <c r="F123" s="2"/>
      <c r="G123" s="2"/>
      <c r="H123" s="2"/>
      <c r="I123" s="2"/>
      <c r="J123" s="2"/>
    </row>
    <row r="124" spans="1:10" x14ac:dyDescent="0.75">
      <c r="A124" s="271"/>
      <c r="B124" s="204" t="str">
        <f t="shared" si="47"/>
        <v/>
      </c>
      <c r="C124" s="205"/>
      <c r="E124" s="2"/>
      <c r="F124" s="2"/>
      <c r="G124" s="2"/>
      <c r="H124" s="2"/>
      <c r="I124" s="2"/>
      <c r="J124" s="2"/>
    </row>
    <row r="125" spans="1:10" ht="15.5" thickBot="1" x14ac:dyDescent="0.9">
      <c r="A125" s="9"/>
      <c r="B125" s="1188" t="str">
        <f t="shared" si="47"/>
        <v/>
      </c>
      <c r="C125" s="1189"/>
      <c r="E125" s="2"/>
      <c r="F125" s="2"/>
      <c r="G125" s="2"/>
      <c r="H125" s="2"/>
      <c r="I125" s="2"/>
      <c r="J125" s="2"/>
    </row>
    <row r="127" spans="1:10" s="26" customFormat="1" ht="15.65" customHeight="1" x14ac:dyDescent="0.8">
      <c r="A127" s="209" t="s">
        <v>884</v>
      </c>
      <c r="B127" s="180" t="s">
        <v>1009</v>
      </c>
      <c r="C127" s="389"/>
      <c r="D127" s="206" t="s">
        <v>1868</v>
      </c>
      <c r="E127" s="780" t="s">
        <v>1442</v>
      </c>
    </row>
    <row r="128" spans="1:10" s="132" customFormat="1" ht="15.65" customHeight="1" thickBot="1" x14ac:dyDescent="0.9">
      <c r="C128" s="388"/>
    </row>
    <row r="129" spans="2:12" s="132" customFormat="1" ht="15.65" customHeight="1" thickBot="1" x14ac:dyDescent="0.9">
      <c r="B129" s="202" t="s">
        <v>691</v>
      </c>
      <c r="C129" s="392" t="s">
        <v>692</v>
      </c>
      <c r="E129" s="195" t="s">
        <v>1869</v>
      </c>
      <c r="I129" s="2"/>
    </row>
    <row r="130" spans="2:12" s="132" customFormat="1" ht="15.65" customHeight="1" x14ac:dyDescent="0.75">
      <c r="B130" s="203">
        <f>MIN('SIR Model Patient Calcs'!N:N)</f>
        <v>0</v>
      </c>
      <c r="C130" s="393">
        <f>INDEX('SIR Model Patient Calcs'!N:O,MATCH('Patient Calcs'!B130,'SIR Model Patient Calcs'!N:N,0),2)</f>
        <v>1</v>
      </c>
      <c r="I130" s="2"/>
    </row>
    <row r="131" spans="2:12" s="132" customFormat="1" ht="15.65" customHeight="1" x14ac:dyDescent="1">
      <c r="B131" s="204">
        <f>IFERROR(IF(B130+1&lt;=(MAX('SIR Model Patient Calcs'!N:N)),B130+1,""),"")</f>
        <v>1</v>
      </c>
      <c r="C131" s="393">
        <f>INDEX('SIR Model Patient Calcs'!N:O,MATCH('Patient Calcs'!B131,'SIR Model Patient Calcs'!N:N,0),2)</f>
        <v>3.9803873923966009</v>
      </c>
      <c r="D131" s="554"/>
      <c r="L131" s="15"/>
    </row>
    <row r="132" spans="2:12" s="132" customFormat="1" ht="15.65" customHeight="1" x14ac:dyDescent="1">
      <c r="B132" s="204">
        <f>IFERROR(IF(B131+1&lt;=(MAX('SIR Model Patient Calcs'!N:N)),B131+1,""),"")</f>
        <v>2</v>
      </c>
      <c r="C132" s="393">
        <f>INDEX('SIR Model Patient Calcs'!N:O,MATCH('Patient Calcs'!B132,'SIR Model Patient Calcs'!N:N,0),2)</f>
        <v>14.222512259072406</v>
      </c>
      <c r="D132" s="554"/>
      <c r="L132" s="15"/>
    </row>
    <row r="133" spans="2:12" s="132" customFormat="1" ht="15.65" customHeight="1" x14ac:dyDescent="1">
      <c r="B133" s="204">
        <f>IFERROR(IF(B132+1&lt;=(MAX('SIR Model Patient Calcs'!N:N)),B132+1,""),"")</f>
        <v>3</v>
      </c>
      <c r="C133" s="393">
        <f>INDEX('SIR Model Patient Calcs'!N:O,MATCH('Patient Calcs'!B133,'SIR Model Patient Calcs'!N:N,0),2)</f>
        <v>49.419309564720628</v>
      </c>
      <c r="D133" s="554"/>
      <c r="G133" s="142"/>
    </row>
    <row r="134" spans="2:12" s="132" customFormat="1" ht="15.65" customHeight="1" x14ac:dyDescent="1">
      <c r="B134" s="204">
        <f>IFERROR(IF(B133+1&lt;=(MAX('SIR Model Patient Calcs'!N:N)),B133+1,""),"")</f>
        <v>4</v>
      </c>
      <c r="C134" s="393">
        <f>INDEX('SIR Model Patient Calcs'!N:O,MATCH('Patient Calcs'!B134,'SIR Model Patient Calcs'!N:N,0),2)</f>
        <v>170.36810909212656</v>
      </c>
      <c r="D134" s="554"/>
      <c r="G134" s="142"/>
    </row>
    <row r="135" spans="2:12" s="132" customFormat="1" ht="15.65" customHeight="1" x14ac:dyDescent="1">
      <c r="B135" s="204">
        <f>IFERROR(IF(B134+1&lt;=(MAX('SIR Model Patient Calcs'!N:N)),B134+1,""),"")</f>
        <v>5</v>
      </c>
      <c r="C135" s="393">
        <f>INDEX('SIR Model Patient Calcs'!N:O,MATCH('Patient Calcs'!B135,'SIR Model Patient Calcs'!N:N,0),2)</f>
        <v>585.94326973752868</v>
      </c>
      <c r="D135" s="554"/>
      <c r="G135" s="142"/>
    </row>
    <row r="136" spans="2:12" s="132" customFormat="1" ht="15.65" customHeight="1" x14ac:dyDescent="1">
      <c r="B136" s="204">
        <f>IFERROR(IF(B135+1&lt;=(MAX('SIR Model Patient Calcs'!N:N)),B135+1,""),"")</f>
        <v>6</v>
      </c>
      <c r="C136" s="393">
        <f>INDEX('SIR Model Patient Calcs'!N:O,MATCH('Patient Calcs'!B136,'SIR Model Patient Calcs'!N:N,0),2)</f>
        <v>2013.2734870700883</v>
      </c>
      <c r="D136" s="554"/>
      <c r="G136" s="142"/>
    </row>
    <row r="137" spans="2:12" s="132" customFormat="1" ht="15.65" customHeight="1" x14ac:dyDescent="1">
      <c r="B137" s="204">
        <f>IFERROR(IF(B136+1&lt;=(MAX('SIR Model Patient Calcs'!N:N)),B136+1,""),"")</f>
        <v>7</v>
      </c>
      <c r="C137" s="393">
        <f>INDEX('SIR Model Patient Calcs'!N:O,MATCH('Patient Calcs'!B137,'SIR Model Patient Calcs'!N:N,0),2)</f>
        <v>6908.8616245857102</v>
      </c>
      <c r="D137" s="555"/>
      <c r="G137" s="2"/>
    </row>
    <row r="138" spans="2:12" s="132" customFormat="1" ht="15.65" customHeight="1" x14ac:dyDescent="1">
      <c r="B138" s="204">
        <f>IFERROR(IF(B137+1&lt;=(MAX('SIR Model Patient Calcs'!N:N)),B137+1,""),"")</f>
        <v>8</v>
      </c>
      <c r="C138" s="393">
        <f>INDEX('SIR Model Patient Calcs'!N:O,MATCH('Patient Calcs'!B138,'SIR Model Patient Calcs'!N:N,0),2)</f>
        <v>23621.641992419463</v>
      </c>
      <c r="D138" s="555"/>
      <c r="E138" s="2"/>
      <c r="F138" s="2"/>
      <c r="G138" s="551"/>
      <c r="H138" s="551"/>
      <c r="I138" s="551"/>
      <c r="L138" s="15"/>
    </row>
    <row r="139" spans="2:12" s="132" customFormat="1" ht="15.65" customHeight="1" x14ac:dyDescent="1">
      <c r="B139" s="204">
        <f>IFERROR(IF(B138+1&lt;=(MAX('SIR Model Patient Calcs'!N:N)),B138+1,""),"")</f>
        <v>9</v>
      </c>
      <c r="C139" s="393">
        <f>INDEX('SIR Model Patient Calcs'!N:O,MATCH('Patient Calcs'!B139,'SIR Model Patient Calcs'!N:N,0),2)</f>
        <v>79773.918576314318</v>
      </c>
      <c r="D139" s="555"/>
      <c r="F139" s="551"/>
      <c r="G139" s="551"/>
      <c r="H139" s="551"/>
      <c r="I139" s="551"/>
      <c r="L139" s="15"/>
    </row>
    <row r="140" spans="2:12" s="132" customFormat="1" ht="15.65" customHeight="1" x14ac:dyDescent="1">
      <c r="B140" s="204">
        <f>IFERROR(IF(B139+1&lt;=(MAX('SIR Model Patient Calcs'!N:N)),B139+1,""),"")</f>
        <v>10</v>
      </c>
      <c r="C140" s="393">
        <f>INDEX('SIR Model Patient Calcs'!N:O,MATCH('Patient Calcs'!B140,'SIR Model Patient Calcs'!N:N,0),2)</f>
        <v>258719.16778583336</v>
      </c>
      <c r="D140" s="555"/>
      <c r="E140" s="549"/>
      <c r="F140" s="753"/>
      <c r="G140" s="552"/>
      <c r="I140" s="552"/>
      <c r="J140" s="74"/>
      <c r="K140" s="74"/>
      <c r="L140" s="550"/>
    </row>
    <row r="141" spans="2:12" s="132" customFormat="1" ht="15.65" customHeight="1" x14ac:dyDescent="1">
      <c r="B141" s="204">
        <f>IFERROR(IF(B140+1&lt;=(MAX('SIR Model Patient Calcs'!N:N)),B140+1,""),"")</f>
        <v>11</v>
      </c>
      <c r="C141" s="393">
        <f>INDEX('SIR Model Patient Calcs'!N:O,MATCH('Patient Calcs'!B141,'SIR Model Patient Calcs'!N:N,0),2)</f>
        <v>743683.6192300187</v>
      </c>
      <c r="D141" s="555"/>
      <c r="E141" s="549"/>
      <c r="F141" s="753"/>
      <c r="G141" s="552"/>
      <c r="I141" s="552"/>
      <c r="J141" s="74"/>
      <c r="K141" s="74"/>
      <c r="L141" s="74"/>
    </row>
    <row r="142" spans="2:12" s="132" customFormat="1" ht="15.65" customHeight="1" x14ac:dyDescent="1">
      <c r="B142" s="204">
        <f>IFERROR(IF(B141+1&lt;=(MAX('SIR Model Patient Calcs'!N:N)),B141+1,""),"")</f>
        <v>12</v>
      </c>
      <c r="C142" s="393">
        <f>INDEX('SIR Model Patient Calcs'!N:O,MATCH('Patient Calcs'!B142,'SIR Model Patient Calcs'!N:N,0),2)</f>
        <v>1623815.1884616646</v>
      </c>
      <c r="D142" s="555"/>
      <c r="F142" s="551"/>
      <c r="G142" s="551"/>
      <c r="H142" s="551"/>
      <c r="I142" s="551"/>
    </row>
    <row r="143" spans="2:12" s="132" customFormat="1" ht="15.65" customHeight="1" x14ac:dyDescent="1">
      <c r="B143" s="204">
        <f>IFERROR(IF(B142+1&lt;=(MAX('SIR Model Patient Calcs'!N:N)),B142+1,""),"")</f>
        <v>13</v>
      </c>
      <c r="C143" s="393">
        <f>INDEX('SIR Model Patient Calcs'!N:O,MATCH('Patient Calcs'!B143,'SIR Model Patient Calcs'!N:N,0),2)</f>
        <v>2456760.2790556196</v>
      </c>
      <c r="D143" s="555"/>
      <c r="F143" s="2"/>
      <c r="G143" s="2"/>
      <c r="H143" s="2"/>
      <c r="I143" s="2"/>
    </row>
    <row r="144" spans="2:12" s="132" customFormat="1" ht="15.65" customHeight="1" x14ac:dyDescent="1">
      <c r="B144" s="204">
        <f>IFERROR(IF(B143+1&lt;=(MAX('SIR Model Patient Calcs'!N:N)),B143+1,""),"")</f>
        <v>14</v>
      </c>
      <c r="C144" s="393">
        <f>INDEX('SIR Model Patient Calcs'!N:O,MATCH('Patient Calcs'!B144,'SIR Model Patient Calcs'!N:N,0),2)</f>
        <v>2900307.4980630679</v>
      </c>
      <c r="D144" s="555"/>
      <c r="F144" s="2"/>
      <c r="G144" s="2"/>
      <c r="H144" s="2"/>
      <c r="I144" s="2"/>
    </row>
    <row r="145" spans="2:10" s="132" customFormat="1" ht="15.65" customHeight="1" x14ac:dyDescent="0.75">
      <c r="B145" s="204">
        <f>IFERROR(IF(B144+1&lt;=(MAX('SIR Model Patient Calcs'!N:N)),B144+1,""),"")</f>
        <v>15</v>
      </c>
      <c r="C145" s="393">
        <f>INDEX('SIR Model Patient Calcs'!N:O,MATCH('Patient Calcs'!B145,'SIR Model Patient Calcs'!N:N,0),2)</f>
        <v>3089454.2812629873</v>
      </c>
      <c r="D145" s="2"/>
      <c r="F145" s="2"/>
      <c r="G145" s="2"/>
      <c r="H145" s="2"/>
      <c r="I145" s="2"/>
    </row>
    <row r="146" spans="2:10" s="132" customFormat="1" ht="15.65" customHeight="1" x14ac:dyDescent="0.75">
      <c r="B146" s="204">
        <f>IFERROR(IF(B145+1&lt;=(MAX('SIR Model Patient Calcs'!N:N)),B145+1,""),"")</f>
        <v>16</v>
      </c>
      <c r="C146" s="393">
        <f>INDEX('SIR Model Patient Calcs'!N:O,MATCH('Patient Calcs'!B146,'SIR Model Patient Calcs'!N:N,0),2)</f>
        <v>3169898.3537163008</v>
      </c>
      <c r="D146" s="2"/>
      <c r="E146" s="2"/>
      <c r="F146" s="2"/>
      <c r="G146" s="551"/>
      <c r="H146" s="551"/>
      <c r="I146" s="2"/>
    </row>
    <row r="147" spans="2:10" s="132" customFormat="1" ht="15.65" customHeight="1" x14ac:dyDescent="0.75">
      <c r="B147" s="204">
        <f>IFERROR(IF(B146+1&lt;=(MAX('SIR Model Patient Calcs'!N:N)),B146+1,""),"")</f>
        <v>17</v>
      </c>
      <c r="C147" s="393">
        <f>INDEX('SIR Model Patient Calcs'!N:O,MATCH('Patient Calcs'!B147,'SIR Model Patient Calcs'!N:N,0),2)</f>
        <v>3205458.8497772124</v>
      </c>
      <c r="D147" s="2"/>
    </row>
    <row r="148" spans="2:10" s="132" customFormat="1" ht="15.65" customHeight="1" x14ac:dyDescent="0.75">
      <c r="B148" s="204">
        <f>IFERROR(IF(B147+1&lt;=(MAX('SIR Model Patient Calcs'!N:N)),B147+1,""),"")</f>
        <v>18</v>
      </c>
      <c r="C148" s="393">
        <f>INDEX('SIR Model Patient Calcs'!N:O,MATCH('Patient Calcs'!B148,'SIR Model Patient Calcs'!N:N,0),2)</f>
        <v>3221629.0514146048</v>
      </c>
      <c r="D148" s="2"/>
    </row>
    <row r="149" spans="2:10" s="132" customFormat="1" ht="15.65" customHeight="1" x14ac:dyDescent="0.75">
      <c r="B149" s="204">
        <f>IFERROR(IF(B148+1&lt;=(MAX('SIR Model Patient Calcs'!N:N)),B148+1,""),"")</f>
        <v>19</v>
      </c>
      <c r="C149" s="393">
        <f>INDEX('SIR Model Patient Calcs'!N:O,MATCH('Patient Calcs'!B149,'SIR Model Patient Calcs'!N:N,0),2)</f>
        <v>3229097.2111881669</v>
      </c>
      <c r="D149" s="2"/>
    </row>
    <row r="150" spans="2:10" s="132" customFormat="1" ht="15.65" customHeight="1" x14ac:dyDescent="0.75">
      <c r="B150" s="204">
        <f>IFERROR(IF(B149+1&lt;=(MAX('SIR Model Patient Calcs'!N:N)),B149+1,""),"")</f>
        <v>20</v>
      </c>
      <c r="C150" s="393">
        <f>INDEX('SIR Model Patient Calcs'!N:O,MATCH('Patient Calcs'!B150,'SIR Model Patient Calcs'!N:N,0),2)</f>
        <v>3232573.3421093212</v>
      </c>
      <c r="D150" s="2"/>
    </row>
    <row r="151" spans="2:10" s="132" customFormat="1" ht="15.65" customHeight="1" x14ac:dyDescent="0.75">
      <c r="B151" s="204">
        <f>IFERROR(IF(B150+1&lt;=(MAX('SIR Model Patient Calcs'!N:N)),B150+1,""),"")</f>
        <v>21</v>
      </c>
      <c r="C151" s="393">
        <f>INDEX('SIR Model Patient Calcs'!N:O,MATCH('Patient Calcs'!B151,'SIR Model Patient Calcs'!N:N,0),2)</f>
        <v>3234197.444774502</v>
      </c>
      <c r="D151" s="2"/>
    </row>
    <row r="152" spans="2:10" s="132" customFormat="1" ht="15.65" customHeight="1" x14ac:dyDescent="0.75">
      <c r="B152" s="204">
        <f>IFERROR(IF(B151+1&lt;=(MAX('SIR Model Patient Calcs'!N:N)),B151+1,""),"")</f>
        <v>22</v>
      </c>
      <c r="C152" s="393">
        <f>INDEX('SIR Model Patient Calcs'!N:O,MATCH('Patient Calcs'!B152,'SIR Model Patient Calcs'!N:N,0),2)</f>
        <v>3234957.6097095707</v>
      </c>
      <c r="D152" s="2"/>
    </row>
    <row r="153" spans="2:10" s="132" customFormat="1" ht="15.65" customHeight="1" x14ac:dyDescent="0.75">
      <c r="B153" s="204">
        <f>IFERROR(IF(B152+1&lt;=(MAX('SIR Model Patient Calcs'!N:N)),B152+1,""),"")</f>
        <v>23</v>
      </c>
      <c r="C153" s="393">
        <f>INDEX('SIR Model Patient Calcs'!N:O,MATCH('Patient Calcs'!B153,'SIR Model Patient Calcs'!N:N,0),2)</f>
        <v>3235313.707081846</v>
      </c>
      <c r="D153" s="2"/>
    </row>
    <row r="154" spans="2:10" s="132" customFormat="1" ht="15.65" customHeight="1" x14ac:dyDescent="0.75">
      <c r="B154" s="204">
        <f>IFERROR(IF(B153+1&lt;=(MAX('SIR Model Patient Calcs'!N:N)),B153+1,""),"")</f>
        <v>24</v>
      </c>
      <c r="C154" s="393">
        <f>INDEX('SIR Model Patient Calcs'!N:O,MATCH('Patient Calcs'!B154,'SIR Model Patient Calcs'!N:N,0),2)</f>
        <v>3235480.5862283297</v>
      </c>
      <c r="D154" s="2"/>
    </row>
    <row r="155" spans="2:10" s="132" customFormat="1" ht="15.65" customHeight="1" x14ac:dyDescent="0.75">
      <c r="B155" s="204">
        <f>IFERROR(IF(B154+1&lt;=(MAX('SIR Model Patient Calcs'!N:N)),B154+1,""),"")</f>
        <v>25</v>
      </c>
      <c r="C155" s="393">
        <f>INDEX('SIR Model Patient Calcs'!N:O,MATCH('Patient Calcs'!B155,'SIR Model Patient Calcs'!N:N,0),2)</f>
        <v>3235558.8059537867</v>
      </c>
      <c r="D155" s="2"/>
    </row>
    <row r="156" spans="2:10" s="132" customFormat="1" ht="15.65" customHeight="1" x14ac:dyDescent="0.75">
      <c r="B156" s="204">
        <f>IFERROR(IF(B155+1&lt;=(MAX('SIR Model Patient Calcs'!N:N)),B155+1,""),"")</f>
        <v>26</v>
      </c>
      <c r="C156" s="393">
        <f>INDEX('SIR Model Patient Calcs'!N:O,MATCH('Patient Calcs'!B156,'SIR Model Patient Calcs'!N:N,0),2)</f>
        <v>3235595.4723699107</v>
      </c>
      <c r="D156" s="2"/>
    </row>
    <row r="157" spans="2:10" s="132" customFormat="1" ht="15.65" customHeight="1" x14ac:dyDescent="0.75">
      <c r="B157" s="204">
        <f>IFERROR(IF(B156+1&lt;=(MAX('SIR Model Patient Calcs'!N:N)),B156+1,""),"")</f>
        <v>27</v>
      </c>
      <c r="C157" s="393">
        <f>INDEX('SIR Model Patient Calcs'!N:O,MATCH('Patient Calcs'!B157,'SIR Model Patient Calcs'!N:N,0),2)</f>
        <v>3235612.6608881238</v>
      </c>
      <c r="D157" s="2"/>
    </row>
    <row r="158" spans="2:10" s="132" customFormat="1" ht="15.65" customHeight="1" x14ac:dyDescent="0.75">
      <c r="B158" s="204">
        <f>IFERROR(IF(B157+1&lt;=(MAX('SIR Model Patient Calcs'!N:N)),B157+1,""),"")</f>
        <v>28</v>
      </c>
      <c r="C158" s="393">
        <f>INDEX('SIR Model Patient Calcs'!N:O,MATCH('Patient Calcs'!B158,'SIR Model Patient Calcs'!N:N,0),2)</f>
        <v>3235619.0001803455</v>
      </c>
      <c r="D158" s="2"/>
    </row>
    <row r="159" spans="2:10" s="132" customFormat="1" ht="15.65" customHeight="1" x14ac:dyDescent="0.75">
      <c r="B159" s="204" t="str">
        <f>IFERROR(IF(B158+1&lt;=(MAX('SIR Model Patient Calcs'!N:N)),B158+1,""),"")</f>
        <v/>
      </c>
      <c r="C159" s="393" t="str">
        <f>INDEX('SIR Model Patient Calcs'!N:O,MATCH('Patient Calcs'!B159,'SIR Model Patient Calcs'!N:N,0),2)</f>
        <v/>
      </c>
      <c r="D159" s="2"/>
      <c r="E159"/>
      <c r="F159"/>
      <c r="I159"/>
      <c r="J159"/>
    </row>
    <row r="160" spans="2:10" s="132" customFormat="1" ht="15.65" customHeight="1" x14ac:dyDescent="0.75">
      <c r="B160" s="204" t="str">
        <f>IFERROR(IF(B159+1&lt;=(MAX('SIR Model Patient Calcs'!N:N)),B159+1,""),"")</f>
        <v/>
      </c>
      <c r="C160" s="393" t="str">
        <f>INDEX('SIR Model Patient Calcs'!N:O,MATCH('Patient Calcs'!B160,'SIR Model Patient Calcs'!N:N,0),2)</f>
        <v/>
      </c>
      <c r="D160" s="2"/>
      <c r="E160"/>
      <c r="F160"/>
      <c r="I160"/>
      <c r="J160"/>
    </row>
    <row r="161" spans="2:14" s="132" customFormat="1" ht="15.65" customHeight="1" x14ac:dyDescent="0.75">
      <c r="B161" s="204" t="str">
        <f>IFERROR(IF(B160+1&lt;=(MAX('SIR Model Patient Calcs'!N:N)),B160+1,""),"")</f>
        <v/>
      </c>
      <c r="C161" s="393" t="str">
        <f>INDEX('SIR Model Patient Calcs'!N:O,MATCH('Patient Calcs'!B161,'SIR Model Patient Calcs'!N:N,0),2)</f>
        <v/>
      </c>
      <c r="D161" s="2"/>
      <c r="E161"/>
      <c r="F161"/>
      <c r="I161"/>
      <c r="J161"/>
      <c r="M161" s="74"/>
      <c r="N161" s="74"/>
    </row>
    <row r="162" spans="2:14" s="132" customFormat="1" x14ac:dyDescent="0.75">
      <c r="B162" s="204" t="str">
        <f>IFERROR(IF(B161+1&lt;=(MAX('SIR Model Patient Calcs'!N:N)),B161+1,""),"")</f>
        <v/>
      </c>
      <c r="C162" s="393" t="str">
        <f>INDEX('SIR Model Patient Calcs'!N:O,MATCH('Patient Calcs'!B162,'SIR Model Patient Calcs'!N:N,0),2)</f>
        <v/>
      </c>
      <c r="D162" s="2"/>
      <c r="E162"/>
      <c r="F162"/>
      <c r="I162"/>
      <c r="J162"/>
      <c r="M162" s="74"/>
      <c r="N162" s="74"/>
    </row>
    <row r="163" spans="2:14" s="132" customFormat="1" x14ac:dyDescent="0.75">
      <c r="B163" s="204" t="str">
        <f>IFERROR(IF(B162+1&lt;=(MAX('SIR Model Patient Calcs'!N:N)),B162+1,""),"")</f>
        <v/>
      </c>
      <c r="C163" s="393" t="str">
        <f>INDEX('SIR Model Patient Calcs'!N:O,MATCH('Patient Calcs'!B163,'SIR Model Patient Calcs'!N:N,0),2)</f>
        <v/>
      </c>
      <c r="D163" s="2"/>
      <c r="E163"/>
      <c r="F163"/>
      <c r="I163"/>
      <c r="J163"/>
    </row>
    <row r="164" spans="2:14" s="132" customFormat="1" x14ac:dyDescent="0.75">
      <c r="B164" s="204" t="str">
        <f>IFERROR(IF(B163+1&lt;=(MAX('SIR Model Patient Calcs'!N:N)),B163+1,""),"")</f>
        <v/>
      </c>
      <c r="C164" s="393" t="str">
        <f>INDEX('SIR Model Patient Calcs'!N:O,MATCH('Patient Calcs'!B164,'SIR Model Patient Calcs'!N:N,0),2)</f>
        <v/>
      </c>
      <c r="D164" s="2"/>
      <c r="E164"/>
      <c r="F164"/>
      <c r="I164"/>
      <c r="J164"/>
    </row>
    <row r="165" spans="2:14" s="132" customFormat="1" x14ac:dyDescent="0.75">
      <c r="B165" s="204" t="str">
        <f>IFERROR(IF(B164+1&lt;=(MAX('SIR Model Patient Calcs'!N:N)),B164+1,""),"")</f>
        <v/>
      </c>
      <c r="C165" s="393" t="str">
        <f>INDEX('SIR Model Patient Calcs'!N:O,MATCH('Patient Calcs'!B165,'SIR Model Patient Calcs'!N:N,0),2)</f>
        <v/>
      </c>
      <c r="D165" s="2"/>
      <c r="E165"/>
      <c r="F165"/>
      <c r="I165"/>
      <c r="J165"/>
    </row>
    <row r="166" spans="2:14" s="132" customFormat="1" x14ac:dyDescent="0.75">
      <c r="B166" s="204" t="str">
        <f>IFERROR(IF(B165+1&lt;=(MAX('SIR Model Patient Calcs'!N:N)),B165+1,""),"")</f>
        <v/>
      </c>
      <c r="C166" s="393" t="str">
        <f>INDEX('SIR Model Patient Calcs'!N:O,MATCH('Patient Calcs'!B166,'SIR Model Patient Calcs'!N:N,0),2)</f>
        <v/>
      </c>
      <c r="D166" s="2"/>
      <c r="E166"/>
      <c r="F166"/>
      <c r="I166"/>
      <c r="J166"/>
    </row>
    <row r="167" spans="2:14" s="132" customFormat="1" x14ac:dyDescent="0.75">
      <c r="B167" s="204" t="str">
        <f>IFERROR(IF(B166+1&lt;=(MAX('SIR Model Patient Calcs'!N:N)),B166+1,""),"")</f>
        <v/>
      </c>
      <c r="C167" s="393" t="str">
        <f>INDEX('SIR Model Patient Calcs'!N:O,MATCH('Patient Calcs'!B167,'SIR Model Patient Calcs'!N:N,0),2)</f>
        <v/>
      </c>
      <c r="D167" s="2"/>
      <c r="E167"/>
      <c r="F167"/>
      <c r="I167"/>
      <c r="J167"/>
    </row>
    <row r="168" spans="2:14" s="132" customFormat="1" x14ac:dyDescent="0.75">
      <c r="B168" s="204" t="str">
        <f>IFERROR(IF(B167+1&lt;=(MAX('SIR Model Patient Calcs'!N:N)),B167+1,""),"")</f>
        <v/>
      </c>
      <c r="C168" s="393" t="str">
        <f>INDEX('SIR Model Patient Calcs'!N:O,MATCH('Patient Calcs'!B168,'SIR Model Patient Calcs'!N:N,0),2)</f>
        <v/>
      </c>
      <c r="D168" s="2"/>
      <c r="E168"/>
      <c r="F168"/>
      <c r="I168"/>
      <c r="J168"/>
    </row>
    <row r="169" spans="2:14" s="132" customFormat="1" x14ac:dyDescent="0.75">
      <c r="B169" s="204" t="str">
        <f>IFERROR(IF(B168+1&lt;=(MAX('SIR Model Patient Calcs'!N:N)),B168+1,""),"")</f>
        <v/>
      </c>
      <c r="C169" s="393" t="str">
        <f>INDEX('SIR Model Patient Calcs'!N:O,MATCH('Patient Calcs'!B169,'SIR Model Patient Calcs'!N:N,0),2)</f>
        <v/>
      </c>
      <c r="D169" s="2"/>
      <c r="E169"/>
      <c r="F169"/>
      <c r="I169"/>
      <c r="J169"/>
    </row>
    <row r="170" spans="2:14" s="132" customFormat="1" x14ac:dyDescent="0.75">
      <c r="B170" s="204" t="str">
        <f>IFERROR(IF(B169+1&lt;=(MAX('SIR Model Patient Calcs'!N:N)),B169+1,""),"")</f>
        <v/>
      </c>
      <c r="C170" s="393" t="str">
        <f>INDEX('SIR Model Patient Calcs'!N:O,MATCH('Patient Calcs'!B170,'SIR Model Patient Calcs'!N:N,0),2)</f>
        <v/>
      </c>
      <c r="D170" s="2"/>
      <c r="E170"/>
      <c r="F170"/>
      <c r="I170"/>
      <c r="J170"/>
    </row>
    <row r="171" spans="2:14" s="132" customFormat="1" x14ac:dyDescent="0.75">
      <c r="B171" s="204" t="str">
        <f>IFERROR(IF(B170+1&lt;=(MAX('SIR Model Patient Calcs'!N:N)),B170+1,""),"")</f>
        <v/>
      </c>
      <c r="C171" s="393" t="str">
        <f>INDEX('SIR Model Patient Calcs'!N:O,MATCH('Patient Calcs'!B171,'SIR Model Patient Calcs'!N:N,0),2)</f>
        <v/>
      </c>
      <c r="D171" s="2"/>
      <c r="E171"/>
      <c r="F171"/>
      <c r="I171"/>
      <c r="J171"/>
    </row>
    <row r="172" spans="2:14" s="132" customFormat="1" x14ac:dyDescent="0.75">
      <c r="B172" s="204" t="str">
        <f>IFERROR(IF(B171+1&lt;=(MAX('SIR Model Patient Calcs'!N:N)),B171+1,""),"")</f>
        <v/>
      </c>
      <c r="C172" s="393" t="str">
        <f>INDEX('SIR Model Patient Calcs'!N:O,MATCH('Patient Calcs'!B172,'SIR Model Patient Calcs'!N:N,0),2)</f>
        <v/>
      </c>
      <c r="D172" s="2"/>
      <c r="E172"/>
      <c r="F172"/>
      <c r="I172"/>
      <c r="J172"/>
    </row>
    <row r="173" spans="2:14" s="132" customFormat="1" x14ac:dyDescent="0.75">
      <c r="B173" s="204" t="str">
        <f>IFERROR(IF(B172+1&lt;=(MAX('SIR Model Patient Calcs'!N:N)),B172+1,""),"")</f>
        <v/>
      </c>
      <c r="C173" s="393" t="str">
        <f>INDEX('SIR Model Patient Calcs'!N:O,MATCH('Patient Calcs'!B173,'SIR Model Patient Calcs'!N:N,0),2)</f>
        <v/>
      </c>
      <c r="D173" s="2"/>
      <c r="E173"/>
      <c r="F173"/>
      <c r="I173"/>
      <c r="J173"/>
    </row>
    <row r="174" spans="2:14" s="132" customFormat="1" x14ac:dyDescent="0.75">
      <c r="B174" s="204" t="str">
        <f>IFERROR(IF(B173+1&lt;=(MAX('SIR Model Patient Calcs'!N:N)),B173+1,""),"")</f>
        <v/>
      </c>
      <c r="C174" s="393" t="str">
        <f>INDEX('SIR Model Patient Calcs'!N:O,MATCH('Patient Calcs'!B174,'SIR Model Patient Calcs'!N:N,0),2)</f>
        <v/>
      </c>
      <c r="D174" s="2"/>
      <c r="E174"/>
      <c r="F174"/>
      <c r="I174"/>
      <c r="J174"/>
    </row>
    <row r="175" spans="2:14" s="132" customFormat="1" x14ac:dyDescent="0.75">
      <c r="B175" s="204" t="str">
        <f>IFERROR(IF(B174+1&lt;=(MAX('SIR Model Patient Calcs'!N:N)),B174+1,""),"")</f>
        <v/>
      </c>
      <c r="C175" s="393" t="str">
        <f>INDEX('SIR Model Patient Calcs'!N:O,MATCH('Patient Calcs'!B175,'SIR Model Patient Calcs'!N:N,0),2)</f>
        <v/>
      </c>
      <c r="D175" s="2"/>
      <c r="E175"/>
      <c r="F175"/>
      <c r="I175"/>
      <c r="J175"/>
    </row>
    <row r="176" spans="2:14" s="132" customFormat="1" x14ac:dyDescent="0.75">
      <c r="B176" s="204" t="str">
        <f>IFERROR(IF(B175+1&lt;=(MAX('SIR Model Patient Calcs'!N:N)),B175+1,""),"")</f>
        <v/>
      </c>
      <c r="C176" s="393" t="str">
        <f>INDEX('SIR Model Patient Calcs'!N:O,MATCH('Patient Calcs'!B176,'SIR Model Patient Calcs'!N:N,0),2)</f>
        <v/>
      </c>
      <c r="D176" s="2"/>
      <c r="E176"/>
      <c r="F176"/>
      <c r="I176"/>
      <c r="J176"/>
    </row>
    <row r="177" spans="1:14" s="132" customFormat="1" x14ac:dyDescent="0.75">
      <c r="B177" s="204" t="str">
        <f>IFERROR(IF(B176+1&lt;=(MAX('SIR Model Patient Calcs'!N:N)),B176+1,""),"")</f>
        <v/>
      </c>
      <c r="C177" s="393" t="str">
        <f>INDEX('SIR Model Patient Calcs'!N:O,MATCH('Patient Calcs'!B177,'SIR Model Patient Calcs'!N:N,0),2)</f>
        <v/>
      </c>
      <c r="D177" s="2"/>
      <c r="E177"/>
      <c r="F177"/>
      <c r="I177"/>
      <c r="J177"/>
      <c r="K177"/>
      <c r="L177"/>
    </row>
    <row r="178" spans="1:14" s="132" customFormat="1" x14ac:dyDescent="0.75">
      <c r="B178" s="204" t="str">
        <f>IFERROR(IF(B177+1&lt;=(MAX('SIR Model Patient Calcs'!N:N)),B177+1,""),"")</f>
        <v/>
      </c>
      <c r="C178" s="393" t="str">
        <f>INDEX('SIR Model Patient Calcs'!N:O,MATCH('Patient Calcs'!B178,'SIR Model Patient Calcs'!N:N,0),2)</f>
        <v/>
      </c>
      <c r="D178" s="2"/>
      <c r="E178"/>
      <c r="F178"/>
      <c r="I178"/>
      <c r="J178"/>
      <c r="K178"/>
      <c r="L178"/>
    </row>
    <row r="179" spans="1:14" s="132" customFormat="1" x14ac:dyDescent="0.75">
      <c r="B179" s="204" t="str">
        <f>IFERROR(IF(B178+1&lt;=(MAX('SIR Model Patient Calcs'!N:N)),B178+1,""),"")</f>
        <v/>
      </c>
      <c r="C179" s="393" t="str">
        <f>INDEX('SIR Model Patient Calcs'!N:O,MATCH('Patient Calcs'!B179,'SIR Model Patient Calcs'!N:N,0),2)</f>
        <v/>
      </c>
      <c r="D179" s="2"/>
      <c r="E179"/>
      <c r="F179"/>
      <c r="I179"/>
      <c r="J179"/>
      <c r="K179"/>
      <c r="L179"/>
    </row>
    <row r="180" spans="1:14" s="132" customFormat="1" x14ac:dyDescent="0.75">
      <c r="B180" s="204" t="str">
        <f>IFERROR(IF(B179+1&lt;=(MAX('SIR Model Patient Calcs'!N:N)),B179+1,""),"")</f>
        <v/>
      </c>
      <c r="C180" s="393" t="str">
        <f>INDEX('SIR Model Patient Calcs'!N:O,MATCH('Patient Calcs'!B180,'SIR Model Patient Calcs'!N:N,0),2)</f>
        <v/>
      </c>
      <c r="D180" s="2"/>
      <c r="E180"/>
      <c r="F180"/>
      <c r="I180"/>
      <c r="J180"/>
      <c r="K180"/>
      <c r="L180"/>
    </row>
    <row r="181" spans="1:14" s="132" customFormat="1" x14ac:dyDescent="0.75">
      <c r="B181" s="204" t="str">
        <f>IFERROR(IF(B180+1&lt;=(MAX('SIR Model Patient Calcs'!N:N)),B180+1,""),"")</f>
        <v/>
      </c>
      <c r="C181" s="393" t="str">
        <f>INDEX('SIR Model Patient Calcs'!N:O,MATCH('Patient Calcs'!B181,'SIR Model Patient Calcs'!N:N,0),2)</f>
        <v/>
      </c>
      <c r="D181" s="2"/>
      <c r="E181"/>
      <c r="F181"/>
      <c r="I181"/>
      <c r="J181"/>
      <c r="K181"/>
      <c r="L181"/>
    </row>
    <row r="182" spans="1:14" s="132" customFormat="1" ht="15.5" thickBot="1" x14ac:dyDescent="0.9">
      <c r="B182" s="1188" t="str">
        <f>IFERROR(IF(B181+1&lt;=(MAX('SIR Model Patient Calcs'!N:N)),B181+1,""),"")</f>
        <v/>
      </c>
      <c r="C182" s="1331" t="str">
        <f>INDEX('SIR Model Patient Calcs'!N:O,MATCH('Patient Calcs'!B182,'SIR Model Patient Calcs'!N:N,0),2)</f>
        <v/>
      </c>
      <c r="D182" s="2"/>
      <c r="E182"/>
      <c r="F182"/>
      <c r="I182"/>
      <c r="J182"/>
      <c r="K182"/>
      <c r="L182"/>
    </row>
    <row r="183" spans="1:14" x14ac:dyDescent="0.75">
      <c r="M183" s="132"/>
      <c r="N183" s="132"/>
    </row>
    <row r="184" spans="1:14" s="26" customFormat="1" ht="15.65" customHeight="1" x14ac:dyDescent="0.8">
      <c r="A184" s="209" t="s">
        <v>884</v>
      </c>
      <c r="B184" s="180" t="s">
        <v>1580</v>
      </c>
      <c r="C184" s="389"/>
      <c r="D184" s="206" t="s">
        <v>1868</v>
      </c>
      <c r="E184" s="780" t="s">
        <v>1442</v>
      </c>
    </row>
    <row r="185" spans="1:14" s="804" customFormat="1" ht="15.65" customHeight="1" thickBot="1" x14ac:dyDescent="0.9">
      <c r="C185" s="388"/>
    </row>
    <row r="186" spans="1:14" s="804" customFormat="1" ht="15.65" customHeight="1" thickBot="1" x14ac:dyDescent="0.9">
      <c r="B186" s="202" t="s">
        <v>691</v>
      </c>
      <c r="C186" s="202" t="s">
        <v>1581</v>
      </c>
      <c r="D186" s="392" t="s">
        <v>692</v>
      </c>
      <c r="H186" s="2"/>
    </row>
    <row r="187" spans="1:14" s="804" customFormat="1" ht="15.65" customHeight="1" x14ac:dyDescent="0.75">
      <c r="B187" s="203">
        <v>0</v>
      </c>
      <c r="C187" s="203">
        <v>0</v>
      </c>
      <c r="D187" s="393">
        <f>IF(C187="","",IF(('Back Calculations'!C$110*IF(Doubling_rate_modelled="Combined",
IF(C187&lt;='Back Calculations'!$J$94,
2^(C187/('Back Calculations'!$F$94/7)),
(2^((C187-'Back Calculations'!$J$94)/('Back Calculations'!$H$94/7)))*(2^('Back Calculations'!$J$94/('Back Calculations'!$F$94/7)))),
2^(C187/(VLOOKUP(Doubling_rate_modelled,'Back Calculations'!$B$89:$C$99,2,FALSE)/7))))&gt;='Back Calculations'!$C$111,'Back Calculations'!$C$111,
'Back Calculations'!C$110*IF(Doubling_rate_modelled="Combined",
IF(C187&lt;='Back Calculations'!$J$94,
2^(C187/('Back Calculations'!$F$94/7)),
(2^((C187-'Back Calculations'!$J$94)/('Back Calculations'!$H$94/7)))*(2^('Back Calculations'!$J$94/('Back Calculations'!$F$94/7)))),
2^(C187/(VLOOKUP(Doubling_rate_modelled,'Back Calculations'!$B$89:$C$99,2,FALSE)/7)))))</f>
        <v>1</v>
      </c>
      <c r="E187" s="2"/>
      <c r="H187" s="2"/>
    </row>
    <row r="188" spans="1:14" s="804" customFormat="1" ht="15.65" customHeight="1" x14ac:dyDescent="0.75">
      <c r="B188" s="203">
        <f t="shared" ref="B188:B219" si="48">IFERROR(IF(B187+1&lt;=WeekSuppliedUntil,B187+1,""),"")</f>
        <v>1</v>
      </c>
      <c r="C188" s="203">
        <v>1</v>
      </c>
      <c r="D188" s="393">
        <f>IF(C188="","",IF(('Back Calculations'!C$110*IF(Doubling_rate_modelled="Combined",
IF(C188&lt;='Back Calculations'!$J$94,
2^(C188/('Back Calculations'!$F$94/7)),
(2^((C188-'Back Calculations'!$J$94)/('Back Calculations'!$H$94/7)))*(2^('Back Calculations'!$J$94/('Back Calculations'!$F$94/7)))),
2^(C188/(VLOOKUP(Doubling_rate_modelled,'Back Calculations'!$B$89:$C$99,2,FALSE)/7))))&gt;='Back Calculations'!$C$111,'Back Calculations'!$C$111,
'Back Calculations'!C$110*IF(Doubling_rate_modelled="Combined",
IF(C188&lt;='Back Calculations'!$J$94,
2^(C188/('Back Calculations'!$F$94/7)),
(2^((C188-'Back Calculations'!$J$94)/('Back Calculations'!$H$94/7)))*(2^('Back Calculations'!$J$94/('Back Calculations'!$F$94/7)))),
2^(C188/(VLOOKUP(Doubling_rate_modelled,'Back Calculations'!$B$89:$C$99,2,FALSE)/7)))))</f>
        <v>3.363585661014858</v>
      </c>
      <c r="E188" s="2"/>
      <c r="K188" s="15"/>
    </row>
    <row r="189" spans="1:14" s="804" customFormat="1" ht="15.65" customHeight="1" x14ac:dyDescent="0.75">
      <c r="B189" s="203">
        <f t="shared" si="48"/>
        <v>2</v>
      </c>
      <c r="C189" s="203">
        <v>2</v>
      </c>
      <c r="D189" s="393">
        <f>IF(C189="","",IF(('Back Calculations'!C$110*IF(Doubling_rate_modelled="Combined",
IF(C189&lt;='Back Calculations'!$J$94,
2^(C189/('Back Calculations'!$F$94/7)),
(2^((C189-'Back Calculations'!$J$94)/('Back Calculations'!$H$94/7)))*(2^('Back Calculations'!$J$94/('Back Calculations'!$F$94/7)))),
2^(C189/(VLOOKUP(Doubling_rate_modelled,'Back Calculations'!$B$89:$C$99,2,FALSE)/7))))&gt;='Back Calculations'!$C$111,'Back Calculations'!$C$111,
'Back Calculations'!C$110*IF(Doubling_rate_modelled="Combined",
IF(C189&lt;='Back Calculations'!$J$94,
2^(C189/('Back Calculations'!$F$94/7)),
(2^((C189-'Back Calculations'!$J$94)/('Back Calculations'!$H$94/7)))*(2^('Back Calculations'!$J$94/('Back Calculations'!$F$94/7)))),
2^(C189/(VLOOKUP(Doubling_rate_modelled,'Back Calculations'!$B$89:$C$99,2,FALSE)/7)))))</f>
        <v>11.313708498984759</v>
      </c>
      <c r="E189" s="2"/>
      <c r="K189" s="15"/>
    </row>
    <row r="190" spans="1:14" s="804" customFormat="1" ht="15.65" customHeight="1" x14ac:dyDescent="0.75">
      <c r="B190" s="203">
        <f t="shared" si="48"/>
        <v>3</v>
      </c>
      <c r="C190" s="203">
        <v>3</v>
      </c>
      <c r="D190" s="393">
        <f>IF(C190="","",IF(('Back Calculations'!C$110*IF(Doubling_rate_modelled="Combined",
IF(C190&lt;='Back Calculations'!$J$94,
2^(C190/('Back Calculations'!$F$94/7)),
(2^((C190-'Back Calculations'!$J$94)/('Back Calculations'!$H$94/7)))*(2^('Back Calculations'!$J$94/('Back Calculations'!$F$94/7)))),
2^(C190/(VLOOKUP(Doubling_rate_modelled,'Back Calculations'!$B$89:$C$99,2,FALSE)/7))))&gt;='Back Calculations'!$C$111,'Back Calculations'!$C$111,
'Back Calculations'!C$110*IF(Doubling_rate_modelled="Combined",
IF(C190&lt;='Back Calculations'!$J$94,
2^(C190/('Back Calculations'!$F$94/7)),
(2^((C190-'Back Calculations'!$J$94)/('Back Calculations'!$H$94/7)))*(2^('Back Calculations'!$J$94/('Back Calculations'!$F$94/7)))),
2^(C190/(VLOOKUP(Doubling_rate_modelled,'Back Calculations'!$B$89:$C$99,2,FALSE)/7)))))</f>
        <v>38.054627680087073</v>
      </c>
      <c r="E190" s="2"/>
      <c r="F190" s="142"/>
    </row>
    <row r="191" spans="1:14" s="804" customFormat="1" ht="15.65" customHeight="1" x14ac:dyDescent="0.75">
      <c r="B191" s="203">
        <f t="shared" si="48"/>
        <v>4</v>
      </c>
      <c r="C191" s="203">
        <v>4</v>
      </c>
      <c r="D191" s="393">
        <f>IF(C191="","",IF(('Back Calculations'!C$110*IF(Doubling_rate_modelled="Combined",
IF(C191&lt;='Back Calculations'!$J$94,
2^(C191/('Back Calculations'!$F$94/7)),
(2^((C191-'Back Calculations'!$J$94)/('Back Calculations'!$H$94/7)))*(2^('Back Calculations'!$J$94/('Back Calculations'!$F$94/7)))),
2^(C191/(VLOOKUP(Doubling_rate_modelled,'Back Calculations'!$B$89:$C$99,2,FALSE)/7))))&gt;='Back Calculations'!$C$111,'Back Calculations'!$C$111,
'Back Calculations'!C$110*IF(Doubling_rate_modelled="Combined",
IF(C191&lt;='Back Calculations'!$J$94,
2^(C191/('Back Calculations'!$F$94/7)),
(2^((C191-'Back Calculations'!$J$94)/('Back Calculations'!$H$94/7)))*(2^('Back Calculations'!$J$94/('Back Calculations'!$F$94/7)))),
2^(C191/(VLOOKUP(Doubling_rate_modelled,'Back Calculations'!$B$89:$C$99,2,FALSE)/7)))))</f>
        <v>128</v>
      </c>
      <c r="E191" s="2"/>
      <c r="F191" s="142"/>
    </row>
    <row r="192" spans="1:14" s="804" customFormat="1" ht="15.65" customHeight="1" x14ac:dyDescent="0.75">
      <c r="B192" s="203">
        <f t="shared" si="48"/>
        <v>5</v>
      </c>
      <c r="C192" s="203">
        <v>5</v>
      </c>
      <c r="D192" s="393">
        <f>IF(C192="","",IF(('Back Calculations'!C$110*IF(Doubling_rate_modelled="Combined",
IF(C192&lt;='Back Calculations'!$J$94,
2^(C192/('Back Calculations'!$F$94/7)),
(2^((C192-'Back Calculations'!$J$94)/('Back Calculations'!$H$94/7)))*(2^('Back Calculations'!$J$94/('Back Calculations'!$F$94/7)))),
2^(C192/(VLOOKUP(Doubling_rate_modelled,'Back Calculations'!$B$89:$C$99,2,FALSE)/7))))&gt;='Back Calculations'!$C$111,'Back Calculations'!$C$111,
'Back Calculations'!C$110*IF(Doubling_rate_modelled="Combined",
IF(C192&lt;='Back Calculations'!$J$94,
2^(C192/('Back Calculations'!$F$94/7)),
(2^((C192-'Back Calculations'!$J$94)/('Back Calculations'!$H$94/7)))*(2^('Back Calculations'!$J$94/('Back Calculations'!$F$94/7)))),
2^(C192/(VLOOKUP(Doubling_rate_modelled,'Back Calculations'!$B$89:$C$99,2,FALSE)/7)))))</f>
        <v>430.5389646099016</v>
      </c>
      <c r="E192" s="2"/>
      <c r="F192" s="142"/>
    </row>
    <row r="193" spans="2:11" s="804" customFormat="1" ht="15.65" customHeight="1" x14ac:dyDescent="0.75">
      <c r="B193" s="203">
        <f t="shared" si="48"/>
        <v>6</v>
      </c>
      <c r="C193" s="203">
        <v>6</v>
      </c>
      <c r="D193" s="393">
        <f>IF(C193="","",IF(('Back Calculations'!C$110*IF(Doubling_rate_modelled="Combined",
IF(C193&lt;='Back Calculations'!$J$94,
2^(C193/('Back Calculations'!$F$94/7)),
(2^((C193-'Back Calculations'!$J$94)/('Back Calculations'!$H$94/7)))*(2^('Back Calculations'!$J$94/('Back Calculations'!$F$94/7)))),
2^(C193/(VLOOKUP(Doubling_rate_modelled,'Back Calculations'!$B$89:$C$99,2,FALSE)/7))))&gt;='Back Calculations'!$C$111,'Back Calculations'!$C$111,
'Back Calculations'!C$110*IF(Doubling_rate_modelled="Combined",
IF(C193&lt;='Back Calculations'!$J$94,
2^(C193/('Back Calculations'!$F$94/7)),
(2^((C193-'Back Calculations'!$J$94)/('Back Calculations'!$H$94/7)))*(2^('Back Calculations'!$J$94/('Back Calculations'!$F$94/7)))),
2^(C193/(VLOOKUP(Doubling_rate_modelled,'Back Calculations'!$B$89:$C$99,2,FALSE)/7)))))</f>
        <v>1448.1546878700494</v>
      </c>
      <c r="E193" s="2"/>
      <c r="F193" s="142"/>
    </row>
    <row r="194" spans="2:11" s="804" customFormat="1" ht="15.65" customHeight="1" x14ac:dyDescent="0.75">
      <c r="B194" s="203">
        <f t="shared" si="48"/>
        <v>7</v>
      </c>
      <c r="C194" s="203">
        <v>7</v>
      </c>
      <c r="D194" s="393">
        <f>IF(C194="","",IF(('Back Calculations'!C$110*IF(Doubling_rate_modelled="Combined",
IF(C194&lt;='Back Calculations'!$J$94,
2^(C194/('Back Calculations'!$F$94/7)),
(2^((C194-'Back Calculations'!$J$94)/('Back Calculations'!$H$94/7)))*(2^('Back Calculations'!$J$94/('Back Calculations'!$F$94/7)))),
2^(C194/(VLOOKUP(Doubling_rate_modelled,'Back Calculations'!$B$89:$C$99,2,FALSE)/7))))&gt;='Back Calculations'!$C$111,'Back Calculations'!$C$111,
'Back Calculations'!C$110*IF(Doubling_rate_modelled="Combined",
IF(C194&lt;='Back Calculations'!$J$94,
2^(C194/('Back Calculations'!$F$94/7)),
(2^((C194-'Back Calculations'!$J$94)/('Back Calculations'!$H$94/7)))*(2^('Back Calculations'!$J$94/('Back Calculations'!$F$94/7)))),
2^(C194/(VLOOKUP(Doubling_rate_modelled,'Back Calculations'!$B$89:$C$99,2,FALSE)/7)))))</f>
        <v>4870.9923430511444</v>
      </c>
      <c r="E194" s="2"/>
      <c r="F194" s="2"/>
    </row>
    <row r="195" spans="2:11" s="804" customFormat="1" ht="15.65" customHeight="1" x14ac:dyDescent="0.75">
      <c r="B195" s="203">
        <f t="shared" si="48"/>
        <v>8</v>
      </c>
      <c r="C195" s="203">
        <v>8</v>
      </c>
      <c r="D195" s="393">
        <f>IF(C195="","",IF(('Back Calculations'!C$110*IF(Doubling_rate_modelled="Combined",
IF(C195&lt;='Back Calculations'!$J$94,
2^(C195/('Back Calculations'!$F$94/7)),
(2^((C195-'Back Calculations'!$J$94)/('Back Calculations'!$H$94/7)))*(2^('Back Calculations'!$J$94/('Back Calculations'!$F$94/7)))),
2^(C195/(VLOOKUP(Doubling_rate_modelled,'Back Calculations'!$B$89:$C$99,2,FALSE)/7))))&gt;='Back Calculations'!$C$111,'Back Calculations'!$C$111,
'Back Calculations'!C$110*IF(Doubling_rate_modelled="Combined",
IF(C195&lt;='Back Calculations'!$J$94,
2^(C195/('Back Calculations'!$F$94/7)),
(2^((C195-'Back Calculations'!$J$94)/('Back Calculations'!$H$94/7)))*(2^('Back Calculations'!$J$94/('Back Calculations'!$F$94/7)))),
2^(C195/(VLOOKUP(Doubling_rate_modelled,'Back Calculations'!$B$89:$C$99,2,FALSE)/7)))))</f>
        <v>16384</v>
      </c>
      <c r="E195" s="2"/>
      <c r="F195" s="551"/>
      <c r="G195" s="551"/>
      <c r="H195" s="551"/>
      <c r="K195" s="15"/>
    </row>
    <row r="196" spans="2:11" s="804" customFormat="1" ht="15.65" customHeight="1" x14ac:dyDescent="0.75">
      <c r="B196" s="203">
        <f t="shared" si="48"/>
        <v>9</v>
      </c>
      <c r="C196" s="203">
        <v>9</v>
      </c>
      <c r="D196" s="393">
        <f>IF(C196="","",IF(('Back Calculations'!C$110*IF(Doubling_rate_modelled="Combined",
IF(C196&lt;='Back Calculations'!$J$94,
2^(C196/('Back Calculations'!$F$94/7)),
(2^((C196-'Back Calculations'!$J$94)/('Back Calculations'!$H$94/7)))*(2^('Back Calculations'!$J$94/('Back Calculations'!$F$94/7)))),
2^(C196/(VLOOKUP(Doubling_rate_modelled,'Back Calculations'!$B$89:$C$99,2,FALSE)/7))))&gt;='Back Calculations'!$C$111,'Back Calculations'!$C$111,
'Back Calculations'!C$110*IF(Doubling_rate_modelled="Combined",
IF(C196&lt;='Back Calculations'!$J$94,
2^(C196/('Back Calculations'!$F$94/7)),
(2^((C196-'Back Calculations'!$J$94)/('Back Calculations'!$H$94/7)))*(2^('Back Calculations'!$J$94/('Back Calculations'!$F$94/7)))),
2^(C196/(VLOOKUP(Doubling_rate_modelled,'Back Calculations'!$B$89:$C$99,2,FALSE)/7)))))</f>
        <v>55108.98747006739</v>
      </c>
      <c r="E196" s="2"/>
      <c r="F196" s="551"/>
      <c r="G196" s="551"/>
      <c r="H196" s="551"/>
      <c r="K196" s="15"/>
    </row>
    <row r="197" spans="2:11" s="804" customFormat="1" ht="15.65" customHeight="1" x14ac:dyDescent="0.75">
      <c r="B197" s="203">
        <f t="shared" si="48"/>
        <v>10</v>
      </c>
      <c r="C197" s="203">
        <v>10</v>
      </c>
      <c r="D197" s="393">
        <f>IF(C197="","",IF(('Back Calculations'!C$110*IF(Doubling_rate_modelled="Combined",
IF(C197&lt;='Back Calculations'!$J$94,
2^(C197/('Back Calculations'!$F$94/7)),
(2^((C197-'Back Calculations'!$J$94)/('Back Calculations'!$H$94/7)))*(2^('Back Calculations'!$J$94/('Back Calculations'!$F$94/7)))),
2^(C197/(VLOOKUP(Doubling_rate_modelled,'Back Calculations'!$B$89:$C$99,2,FALSE)/7))))&gt;='Back Calculations'!$C$111,'Back Calculations'!$C$111,
'Back Calculations'!C$110*IF(Doubling_rate_modelled="Combined",
IF(C197&lt;='Back Calculations'!$J$94,
2^(C197/('Back Calculations'!$F$94/7)),
(2^((C197-'Back Calculations'!$J$94)/('Back Calculations'!$H$94/7)))*(2^('Back Calculations'!$J$94/('Back Calculations'!$F$94/7)))),
2^(C197/(VLOOKUP(Doubling_rate_modelled,'Back Calculations'!$B$89:$C$99,2,FALSE)/7)))))</f>
        <v>185363.80004736609</v>
      </c>
      <c r="E197" s="2"/>
      <c r="F197" s="552"/>
      <c r="H197" s="552"/>
      <c r="I197" s="74"/>
      <c r="J197" s="74"/>
      <c r="K197" s="550"/>
    </row>
    <row r="198" spans="2:11" s="804" customFormat="1" ht="15.65" customHeight="1" x14ac:dyDescent="0.75">
      <c r="B198" s="203">
        <f t="shared" si="48"/>
        <v>11</v>
      </c>
      <c r="C198" s="203">
        <v>11</v>
      </c>
      <c r="D198" s="393">
        <f>IF(C198="","",IF(('Back Calculations'!C$110*IF(Doubling_rate_modelled="Combined",
IF(C198&lt;='Back Calculations'!$J$94,
2^(C198/('Back Calculations'!$F$94/7)),
(2^((C198-'Back Calculations'!$J$94)/('Back Calculations'!$H$94/7)))*(2^('Back Calculations'!$J$94/('Back Calculations'!$F$94/7)))),
2^(C198/(VLOOKUP(Doubling_rate_modelled,'Back Calculations'!$B$89:$C$99,2,FALSE)/7))))&gt;='Back Calculations'!$C$111,'Back Calculations'!$C$111,
'Back Calculations'!C$110*IF(Doubling_rate_modelled="Combined",
IF(C198&lt;='Back Calculations'!$J$94,
2^(C198/('Back Calculations'!$F$94/7)),
(2^((C198-'Back Calculations'!$J$94)/('Back Calculations'!$H$94/7)))*(2^('Back Calculations'!$J$94/('Back Calculations'!$F$94/7)))),
2^(C198/(VLOOKUP(Doubling_rate_modelled,'Back Calculations'!$B$89:$C$99,2,FALSE)/7)))))</f>
        <v>623487.01991054683</v>
      </c>
      <c r="E198" s="2"/>
      <c r="F198" s="552"/>
      <c r="H198" s="552"/>
      <c r="I198" s="74"/>
      <c r="J198" s="74"/>
      <c r="K198" s="74"/>
    </row>
    <row r="199" spans="2:11" s="804" customFormat="1" ht="15.65" customHeight="1" x14ac:dyDescent="0.75">
      <c r="B199" s="203">
        <f t="shared" si="48"/>
        <v>12</v>
      </c>
      <c r="C199" s="203">
        <v>12</v>
      </c>
      <c r="D199" s="393">
        <f>IF(C199="","",IF(('Back Calculations'!C$110*IF(Doubling_rate_modelled="Combined",
IF(C199&lt;='Back Calculations'!$J$94,
2^(C199/('Back Calculations'!$F$94/7)),
(2^((C199-'Back Calculations'!$J$94)/('Back Calculations'!$H$94/7)))*(2^('Back Calculations'!$J$94/('Back Calculations'!$F$94/7)))),
2^(C199/(VLOOKUP(Doubling_rate_modelled,'Back Calculations'!$B$89:$C$99,2,FALSE)/7))))&gt;='Back Calculations'!$C$111,'Back Calculations'!$C$111,
'Back Calculations'!C$110*IF(Doubling_rate_modelled="Combined",
IF(C199&lt;='Back Calculations'!$J$94,
2^(C199/('Back Calculations'!$F$94/7)),
(2^((C199-'Back Calculations'!$J$94)/('Back Calculations'!$H$94/7)))*(2^('Back Calculations'!$J$94/('Back Calculations'!$F$94/7)))),
2^(C199/(VLOOKUP(Doubling_rate_modelled,'Back Calculations'!$B$89:$C$99,2,FALSE)/7)))))</f>
        <v>2097152</v>
      </c>
      <c r="E199" s="2"/>
      <c r="F199" s="551"/>
      <c r="G199" s="551"/>
      <c r="H199" s="551"/>
    </row>
    <row r="200" spans="2:11" s="804" customFormat="1" ht="15.65" customHeight="1" x14ac:dyDescent="0.75">
      <c r="B200" s="203" t="str">
        <f t="shared" si="48"/>
        <v/>
      </c>
      <c r="C200" s="203">
        <v>13</v>
      </c>
      <c r="D200" s="393">
        <f>IF(C200="","",IF(('Back Calculations'!C$110*IF(Doubling_rate_modelled="Combined",
IF(C200&lt;='Back Calculations'!$J$94,
2^(C200/('Back Calculations'!$F$94/7)),
(2^((C200-'Back Calculations'!$J$94)/('Back Calculations'!$H$94/7)))*(2^('Back Calculations'!$J$94/('Back Calculations'!$F$94/7)))),
2^(C200/(VLOOKUP(Doubling_rate_modelled,'Back Calculations'!$B$89:$C$99,2,FALSE)/7))))&gt;='Back Calculations'!$C$111,'Back Calculations'!$C$111,
'Back Calculations'!C$110*IF(Doubling_rate_modelled="Combined",
IF(C200&lt;='Back Calculations'!$J$94,
2^(C200/('Back Calculations'!$F$94/7)),
(2^((C200-'Back Calculations'!$J$94)/('Back Calculations'!$H$94/7)))*(2^('Back Calculations'!$J$94/('Back Calculations'!$F$94/7)))),
2^(C200/(VLOOKUP(Doubling_rate_modelled,'Back Calculations'!$B$89:$C$99,2,FALSE)/7)))))</f>
        <v>3676800</v>
      </c>
      <c r="E200" s="2"/>
      <c r="F200" s="2"/>
      <c r="G200" s="2"/>
      <c r="H200" s="2"/>
    </row>
    <row r="201" spans="2:11" s="804" customFormat="1" ht="15.65" customHeight="1" x14ac:dyDescent="0.75">
      <c r="B201" s="203" t="str">
        <f t="shared" si="48"/>
        <v/>
      </c>
      <c r="C201" s="203">
        <v>14</v>
      </c>
      <c r="D201" s="393">
        <f>IF(C201="","",IF(('Back Calculations'!C$110*IF(Doubling_rate_modelled="Combined",
IF(C201&lt;='Back Calculations'!$J$94,
2^(C201/('Back Calculations'!$F$94/7)),
(2^((C201-'Back Calculations'!$J$94)/('Back Calculations'!$H$94/7)))*(2^('Back Calculations'!$J$94/('Back Calculations'!$F$94/7)))),
2^(C201/(VLOOKUP(Doubling_rate_modelled,'Back Calculations'!$B$89:$C$99,2,FALSE)/7))))&gt;='Back Calculations'!$C$111,'Back Calculations'!$C$111,
'Back Calculations'!C$110*IF(Doubling_rate_modelled="Combined",
IF(C201&lt;='Back Calculations'!$J$94,
2^(C201/('Back Calculations'!$F$94/7)),
(2^((C201-'Back Calculations'!$J$94)/('Back Calculations'!$H$94/7)))*(2^('Back Calculations'!$J$94/('Back Calculations'!$F$94/7)))),
2^(C201/(VLOOKUP(Doubling_rate_modelled,'Back Calculations'!$B$89:$C$99,2,FALSE)/7)))))</f>
        <v>3676800</v>
      </c>
      <c r="E201" s="2"/>
      <c r="F201" s="2"/>
      <c r="G201" s="2"/>
      <c r="H201" s="2"/>
    </row>
    <row r="202" spans="2:11" s="804" customFormat="1" ht="15.65" customHeight="1" x14ac:dyDescent="0.75">
      <c r="B202" s="203" t="str">
        <f t="shared" si="48"/>
        <v/>
      </c>
      <c r="C202" s="203">
        <v>15</v>
      </c>
      <c r="D202" s="393">
        <f>IF(C202="","",IF(('Back Calculations'!C$110*IF(Doubling_rate_modelled="Combined",
IF(C202&lt;='Back Calculations'!$J$94,
2^(C202/('Back Calculations'!$F$94/7)),
(2^((C202-'Back Calculations'!$J$94)/('Back Calculations'!$H$94/7)))*(2^('Back Calculations'!$J$94/('Back Calculations'!$F$94/7)))),
2^(C202/(VLOOKUP(Doubling_rate_modelled,'Back Calculations'!$B$89:$C$99,2,FALSE)/7))))&gt;='Back Calculations'!$C$111,'Back Calculations'!$C$111,
'Back Calculations'!C$110*IF(Doubling_rate_modelled="Combined",
IF(C202&lt;='Back Calculations'!$J$94,
2^(C202/('Back Calculations'!$F$94/7)),
(2^((C202-'Back Calculations'!$J$94)/('Back Calculations'!$H$94/7)))*(2^('Back Calculations'!$J$94/('Back Calculations'!$F$94/7)))),
2^(C202/(VLOOKUP(Doubling_rate_modelled,'Back Calculations'!$B$89:$C$99,2,FALSE)/7)))))</f>
        <v>3676800</v>
      </c>
      <c r="E202" s="2"/>
      <c r="F202" s="2"/>
      <c r="G202" s="2"/>
      <c r="H202" s="2"/>
    </row>
    <row r="203" spans="2:11" s="804" customFormat="1" ht="15.65" customHeight="1" x14ac:dyDescent="0.75">
      <c r="B203" s="203" t="str">
        <f t="shared" si="48"/>
        <v/>
      </c>
      <c r="C203" s="203">
        <v>16</v>
      </c>
      <c r="D203" s="393">
        <f>IF(C203="","",IF(('Back Calculations'!C$110*IF(Doubling_rate_modelled="Combined",
IF(C203&lt;='Back Calculations'!$J$94,
2^(C203/('Back Calculations'!$F$94/7)),
(2^((C203-'Back Calculations'!$J$94)/('Back Calculations'!$H$94/7)))*(2^('Back Calculations'!$J$94/('Back Calculations'!$F$94/7)))),
2^(C203/(VLOOKUP(Doubling_rate_modelled,'Back Calculations'!$B$89:$C$99,2,FALSE)/7))))&gt;='Back Calculations'!$C$111,'Back Calculations'!$C$111,
'Back Calculations'!C$110*IF(Doubling_rate_modelled="Combined",
IF(C203&lt;='Back Calculations'!$J$94,
2^(C203/('Back Calculations'!$F$94/7)),
(2^((C203-'Back Calculations'!$J$94)/('Back Calculations'!$H$94/7)))*(2^('Back Calculations'!$J$94/('Back Calculations'!$F$94/7)))),
2^(C203/(VLOOKUP(Doubling_rate_modelled,'Back Calculations'!$B$89:$C$99,2,FALSE)/7)))))</f>
        <v>3676800</v>
      </c>
      <c r="E203" s="2"/>
      <c r="F203" s="551"/>
      <c r="G203" s="551"/>
      <c r="H203" s="2"/>
    </row>
    <row r="204" spans="2:11" s="804" customFormat="1" ht="15.65" customHeight="1" x14ac:dyDescent="0.75">
      <c r="B204" s="203" t="str">
        <f t="shared" si="48"/>
        <v/>
      </c>
      <c r="C204" s="203">
        <v>17</v>
      </c>
      <c r="D204" s="393">
        <f>IF(C204="","",IF(('Back Calculations'!C$110*IF(Doubling_rate_modelled="Combined",
IF(C204&lt;='Back Calculations'!$J$94,
2^(C204/('Back Calculations'!$F$94/7)),
(2^((C204-'Back Calculations'!$J$94)/('Back Calculations'!$H$94/7)))*(2^('Back Calculations'!$J$94/('Back Calculations'!$F$94/7)))),
2^(C204/(VLOOKUP(Doubling_rate_modelled,'Back Calculations'!$B$89:$C$99,2,FALSE)/7))))&gt;='Back Calculations'!$C$111,'Back Calculations'!$C$111,
'Back Calculations'!C$110*IF(Doubling_rate_modelled="Combined",
IF(C204&lt;='Back Calculations'!$J$94,
2^(C204/('Back Calculations'!$F$94/7)),
(2^((C204-'Back Calculations'!$J$94)/('Back Calculations'!$H$94/7)))*(2^('Back Calculations'!$J$94/('Back Calculations'!$F$94/7)))),
2^(C204/(VLOOKUP(Doubling_rate_modelled,'Back Calculations'!$B$89:$C$99,2,FALSE)/7)))))</f>
        <v>3676800</v>
      </c>
      <c r="E204" s="2"/>
    </row>
    <row r="205" spans="2:11" s="804" customFormat="1" ht="15.65" customHeight="1" x14ac:dyDescent="0.75">
      <c r="B205" s="203" t="str">
        <f t="shared" si="48"/>
        <v/>
      </c>
      <c r="C205" s="203">
        <v>18</v>
      </c>
      <c r="D205" s="393">
        <f>IF(C205="","",IF(('Back Calculations'!C$110*IF(Doubling_rate_modelled="Combined",
IF(C205&lt;='Back Calculations'!$J$94,
2^(C205/('Back Calculations'!$F$94/7)),
(2^((C205-'Back Calculations'!$J$94)/('Back Calculations'!$H$94/7)))*(2^('Back Calculations'!$J$94/('Back Calculations'!$F$94/7)))),
2^(C205/(VLOOKUP(Doubling_rate_modelled,'Back Calculations'!$B$89:$C$99,2,FALSE)/7))))&gt;='Back Calculations'!$C$111,'Back Calculations'!$C$111,
'Back Calculations'!C$110*IF(Doubling_rate_modelled="Combined",
IF(C205&lt;='Back Calculations'!$J$94,
2^(C205/('Back Calculations'!$F$94/7)),
(2^((C205-'Back Calculations'!$J$94)/('Back Calculations'!$H$94/7)))*(2^('Back Calculations'!$J$94/('Back Calculations'!$F$94/7)))),
2^(C205/(VLOOKUP(Doubling_rate_modelled,'Back Calculations'!$B$89:$C$99,2,FALSE)/7)))))</f>
        <v>3676800</v>
      </c>
      <c r="E205" s="2"/>
    </row>
    <row r="206" spans="2:11" s="804" customFormat="1" ht="15.65" customHeight="1" x14ac:dyDescent="0.75">
      <c r="B206" s="203" t="str">
        <f t="shared" si="48"/>
        <v/>
      </c>
      <c r="C206" s="203">
        <v>19</v>
      </c>
      <c r="D206" s="393">
        <f>IF(C206="","",IF(('Back Calculations'!C$110*IF(Doubling_rate_modelled="Combined",
IF(C206&lt;='Back Calculations'!$J$94,
2^(C206/('Back Calculations'!$F$94/7)),
(2^((C206-'Back Calculations'!$J$94)/('Back Calculations'!$H$94/7)))*(2^('Back Calculations'!$J$94/('Back Calculations'!$F$94/7)))),
2^(C206/(VLOOKUP(Doubling_rate_modelled,'Back Calculations'!$B$89:$C$99,2,FALSE)/7))))&gt;='Back Calculations'!$C$111,'Back Calculations'!$C$111,
'Back Calculations'!C$110*IF(Doubling_rate_modelled="Combined",
IF(C206&lt;='Back Calculations'!$J$94,
2^(C206/('Back Calculations'!$F$94/7)),
(2^((C206-'Back Calculations'!$J$94)/('Back Calculations'!$H$94/7)))*(2^('Back Calculations'!$J$94/('Back Calculations'!$F$94/7)))),
2^(C206/(VLOOKUP(Doubling_rate_modelled,'Back Calculations'!$B$89:$C$99,2,FALSE)/7)))))</f>
        <v>3676800</v>
      </c>
      <c r="E206" s="2"/>
    </row>
    <row r="207" spans="2:11" s="804" customFormat="1" ht="15.65" customHeight="1" x14ac:dyDescent="0.75">
      <c r="B207" s="203" t="str">
        <f t="shared" si="48"/>
        <v/>
      </c>
      <c r="C207" s="203">
        <v>20</v>
      </c>
      <c r="D207" s="393">
        <f>IF(C207="","",IF(('Back Calculations'!C$110*IF(Doubling_rate_modelled="Combined",
IF(C207&lt;='Back Calculations'!$J$94,
2^(C207/('Back Calculations'!$F$94/7)),
(2^((C207-'Back Calculations'!$J$94)/('Back Calculations'!$H$94/7)))*(2^('Back Calculations'!$J$94/('Back Calculations'!$F$94/7)))),
2^(C207/(VLOOKUP(Doubling_rate_modelled,'Back Calculations'!$B$89:$C$99,2,FALSE)/7))))&gt;='Back Calculations'!$C$111,'Back Calculations'!$C$111,
'Back Calculations'!C$110*IF(Doubling_rate_modelled="Combined",
IF(C207&lt;='Back Calculations'!$J$94,
2^(C207/('Back Calculations'!$F$94/7)),
(2^((C207-'Back Calculations'!$J$94)/('Back Calculations'!$H$94/7)))*(2^('Back Calculations'!$J$94/('Back Calculations'!$F$94/7)))),
2^(C207/(VLOOKUP(Doubling_rate_modelled,'Back Calculations'!$B$89:$C$99,2,FALSE)/7)))))</f>
        <v>3676800</v>
      </c>
      <c r="E207" s="2"/>
    </row>
    <row r="208" spans="2:11" s="804" customFormat="1" ht="15.65" customHeight="1" x14ac:dyDescent="0.75">
      <c r="B208" s="203" t="str">
        <f t="shared" si="48"/>
        <v/>
      </c>
      <c r="C208" s="203">
        <v>21</v>
      </c>
      <c r="D208" s="393">
        <f>IF(C208="","",IF(('Back Calculations'!C$110*IF(Doubling_rate_modelled="Combined",
IF(C208&lt;='Back Calculations'!$J$94,
2^(C208/('Back Calculations'!$F$94/7)),
(2^((C208-'Back Calculations'!$J$94)/('Back Calculations'!$H$94/7)))*(2^('Back Calculations'!$J$94/('Back Calculations'!$F$94/7)))),
2^(C208/(VLOOKUP(Doubling_rate_modelled,'Back Calculations'!$B$89:$C$99,2,FALSE)/7))))&gt;='Back Calculations'!$C$111,'Back Calculations'!$C$111,
'Back Calculations'!C$110*IF(Doubling_rate_modelled="Combined",
IF(C208&lt;='Back Calculations'!$J$94,
2^(C208/('Back Calculations'!$F$94/7)),
(2^((C208-'Back Calculations'!$J$94)/('Back Calculations'!$H$94/7)))*(2^('Back Calculations'!$J$94/('Back Calculations'!$F$94/7)))),
2^(C208/(VLOOKUP(Doubling_rate_modelled,'Back Calculations'!$B$89:$C$99,2,FALSE)/7)))))</f>
        <v>3676800</v>
      </c>
      <c r="E208" s="2"/>
    </row>
    <row r="209" spans="2:13" s="804" customFormat="1" ht="15.65" customHeight="1" x14ac:dyDescent="0.75">
      <c r="B209" s="203" t="str">
        <f t="shared" si="48"/>
        <v/>
      </c>
      <c r="C209" s="203">
        <v>22</v>
      </c>
      <c r="D209" s="393">
        <f>IF(C209="","",IF(('Back Calculations'!C$110*IF(Doubling_rate_modelled="Combined",
IF(C209&lt;='Back Calculations'!$J$94,
2^(C209/('Back Calculations'!$F$94/7)),
(2^((C209-'Back Calculations'!$J$94)/('Back Calculations'!$H$94/7)))*(2^('Back Calculations'!$J$94/('Back Calculations'!$F$94/7)))),
2^(C209/(VLOOKUP(Doubling_rate_modelled,'Back Calculations'!$B$89:$C$99,2,FALSE)/7))))&gt;='Back Calculations'!$C$111,'Back Calculations'!$C$111,
'Back Calculations'!C$110*IF(Doubling_rate_modelled="Combined",
IF(C209&lt;='Back Calculations'!$J$94,
2^(C209/('Back Calculations'!$F$94/7)),
(2^((C209-'Back Calculations'!$J$94)/('Back Calculations'!$H$94/7)))*(2^('Back Calculations'!$J$94/('Back Calculations'!$F$94/7)))),
2^(C209/(VLOOKUP(Doubling_rate_modelled,'Back Calculations'!$B$89:$C$99,2,FALSE)/7)))))</f>
        <v>3676800</v>
      </c>
      <c r="E209" s="2"/>
    </row>
    <row r="210" spans="2:13" s="804" customFormat="1" ht="15.65" customHeight="1" x14ac:dyDescent="0.75">
      <c r="B210" s="203" t="str">
        <f t="shared" si="48"/>
        <v/>
      </c>
      <c r="C210" s="203">
        <v>23</v>
      </c>
      <c r="D210" s="393">
        <f>IF(C210="","",IF(('Back Calculations'!C$110*IF(Doubling_rate_modelled="Combined",
IF(C210&lt;='Back Calculations'!$J$94,
2^(C210/('Back Calculations'!$F$94/7)),
(2^((C210-'Back Calculations'!$J$94)/('Back Calculations'!$H$94/7)))*(2^('Back Calculations'!$J$94/('Back Calculations'!$F$94/7)))),
2^(C210/(VLOOKUP(Doubling_rate_modelled,'Back Calculations'!$B$89:$C$99,2,FALSE)/7))))&gt;='Back Calculations'!$C$111,'Back Calculations'!$C$111,
'Back Calculations'!C$110*IF(Doubling_rate_modelled="Combined",
IF(C210&lt;='Back Calculations'!$J$94,
2^(C210/('Back Calculations'!$F$94/7)),
(2^((C210-'Back Calculations'!$J$94)/('Back Calculations'!$H$94/7)))*(2^('Back Calculations'!$J$94/('Back Calculations'!$F$94/7)))),
2^(C210/(VLOOKUP(Doubling_rate_modelled,'Back Calculations'!$B$89:$C$99,2,FALSE)/7)))))</f>
        <v>3676800</v>
      </c>
      <c r="E210" s="2"/>
    </row>
    <row r="211" spans="2:13" s="804" customFormat="1" ht="15.65" customHeight="1" x14ac:dyDescent="0.75">
      <c r="B211" s="203" t="str">
        <f t="shared" si="48"/>
        <v/>
      </c>
      <c r="C211" s="203">
        <v>24</v>
      </c>
      <c r="D211" s="393">
        <f>IF(C211="","",IF(('Back Calculations'!C$110*IF(Doubling_rate_modelled="Combined",
IF(C211&lt;='Back Calculations'!$J$94,
2^(C211/('Back Calculations'!$F$94/7)),
(2^((C211-'Back Calculations'!$J$94)/('Back Calculations'!$H$94/7)))*(2^('Back Calculations'!$J$94/('Back Calculations'!$F$94/7)))),
2^(C211/(VLOOKUP(Doubling_rate_modelled,'Back Calculations'!$B$89:$C$99,2,FALSE)/7))))&gt;='Back Calculations'!$C$111,'Back Calculations'!$C$111,
'Back Calculations'!C$110*IF(Doubling_rate_modelled="Combined",
IF(C211&lt;='Back Calculations'!$J$94,
2^(C211/('Back Calculations'!$F$94/7)),
(2^((C211-'Back Calculations'!$J$94)/('Back Calculations'!$H$94/7)))*(2^('Back Calculations'!$J$94/('Back Calculations'!$F$94/7)))),
2^(C211/(VLOOKUP(Doubling_rate_modelled,'Back Calculations'!$B$89:$C$99,2,FALSE)/7)))))</f>
        <v>3676800</v>
      </c>
      <c r="E211" s="2"/>
    </row>
    <row r="212" spans="2:13" s="804" customFormat="1" ht="15.65" customHeight="1" x14ac:dyDescent="0.75">
      <c r="B212" s="203" t="str">
        <f t="shared" si="48"/>
        <v/>
      </c>
      <c r="C212" s="203">
        <v>25</v>
      </c>
      <c r="D212" s="393">
        <f>IF(C212="","",IF(('Back Calculations'!C$110*IF(Doubling_rate_modelled="Combined",
IF(C212&lt;='Back Calculations'!$J$94,
2^(C212/('Back Calculations'!$F$94/7)),
(2^((C212-'Back Calculations'!$J$94)/('Back Calculations'!$H$94/7)))*(2^('Back Calculations'!$J$94/('Back Calculations'!$F$94/7)))),
2^(C212/(VLOOKUP(Doubling_rate_modelled,'Back Calculations'!$B$89:$C$99,2,FALSE)/7))))&gt;='Back Calculations'!$C$111,'Back Calculations'!$C$111,
'Back Calculations'!C$110*IF(Doubling_rate_modelled="Combined",
IF(C212&lt;='Back Calculations'!$J$94,
2^(C212/('Back Calculations'!$F$94/7)),
(2^((C212-'Back Calculations'!$J$94)/('Back Calculations'!$H$94/7)))*(2^('Back Calculations'!$J$94/('Back Calculations'!$F$94/7)))),
2^(C212/(VLOOKUP(Doubling_rate_modelled,'Back Calculations'!$B$89:$C$99,2,FALSE)/7)))))</f>
        <v>3676800</v>
      </c>
      <c r="E212" s="2"/>
    </row>
    <row r="213" spans="2:13" s="804" customFormat="1" ht="15.65" customHeight="1" x14ac:dyDescent="0.75">
      <c r="B213" s="203" t="str">
        <f t="shared" si="48"/>
        <v/>
      </c>
      <c r="C213" s="203">
        <v>26</v>
      </c>
      <c r="D213" s="393">
        <f>IF(C213="","",IF(('Back Calculations'!C$110*IF(Doubling_rate_modelled="Combined",
IF(C213&lt;='Back Calculations'!$J$94,
2^(C213/('Back Calculations'!$F$94/7)),
(2^((C213-'Back Calculations'!$J$94)/('Back Calculations'!$H$94/7)))*(2^('Back Calculations'!$J$94/('Back Calculations'!$F$94/7)))),
2^(C213/(VLOOKUP(Doubling_rate_modelled,'Back Calculations'!$B$89:$C$99,2,FALSE)/7))))&gt;='Back Calculations'!$C$111,'Back Calculations'!$C$111,
'Back Calculations'!C$110*IF(Doubling_rate_modelled="Combined",
IF(C213&lt;='Back Calculations'!$J$94,
2^(C213/('Back Calculations'!$F$94/7)),
(2^((C213-'Back Calculations'!$J$94)/('Back Calculations'!$H$94/7)))*(2^('Back Calculations'!$J$94/('Back Calculations'!$F$94/7)))),
2^(C213/(VLOOKUP(Doubling_rate_modelled,'Back Calculations'!$B$89:$C$99,2,FALSE)/7)))))</f>
        <v>3676800</v>
      </c>
      <c r="E213" s="2"/>
    </row>
    <row r="214" spans="2:13" s="804" customFormat="1" ht="15.65" customHeight="1" x14ac:dyDescent="0.75">
      <c r="B214" s="203" t="str">
        <f t="shared" si="48"/>
        <v/>
      </c>
      <c r="C214" s="203">
        <v>27</v>
      </c>
      <c r="D214" s="393">
        <f>IF(C214="","",IF(('Back Calculations'!C$110*IF(Doubling_rate_modelled="Combined",
IF(C214&lt;='Back Calculations'!$J$94,
2^(C214/('Back Calculations'!$F$94/7)),
(2^((C214-'Back Calculations'!$J$94)/('Back Calculations'!$H$94/7)))*(2^('Back Calculations'!$J$94/('Back Calculations'!$F$94/7)))),
2^(C214/(VLOOKUP(Doubling_rate_modelled,'Back Calculations'!$B$89:$C$99,2,FALSE)/7))))&gt;='Back Calculations'!$C$111,'Back Calculations'!$C$111,
'Back Calculations'!C$110*IF(Doubling_rate_modelled="Combined",
IF(C214&lt;='Back Calculations'!$J$94,
2^(C214/('Back Calculations'!$F$94/7)),
(2^((C214-'Back Calculations'!$J$94)/('Back Calculations'!$H$94/7)))*(2^('Back Calculations'!$J$94/('Back Calculations'!$F$94/7)))),
2^(C214/(VLOOKUP(Doubling_rate_modelled,'Back Calculations'!$B$89:$C$99,2,FALSE)/7)))))</f>
        <v>3676800</v>
      </c>
      <c r="E214" s="2"/>
    </row>
    <row r="215" spans="2:13" s="804" customFormat="1" ht="15.65" customHeight="1" x14ac:dyDescent="0.75">
      <c r="B215" s="203" t="str">
        <f t="shared" si="48"/>
        <v/>
      </c>
      <c r="C215" s="203">
        <v>28</v>
      </c>
      <c r="D215" s="393">
        <f>IF(C215="","",IF(('Back Calculations'!C$110*IF(Doubling_rate_modelled="Combined",
IF(C215&lt;='Back Calculations'!$J$94,
2^(C215/('Back Calculations'!$F$94/7)),
(2^((C215-'Back Calculations'!$J$94)/('Back Calculations'!$H$94/7)))*(2^('Back Calculations'!$J$94/('Back Calculations'!$F$94/7)))),
2^(C215/(VLOOKUP(Doubling_rate_modelled,'Back Calculations'!$B$89:$C$99,2,FALSE)/7))))&gt;='Back Calculations'!$C$111,'Back Calculations'!$C$111,
'Back Calculations'!C$110*IF(Doubling_rate_modelled="Combined",
IF(C215&lt;='Back Calculations'!$J$94,
2^(C215/('Back Calculations'!$F$94/7)),
(2^((C215-'Back Calculations'!$J$94)/('Back Calculations'!$H$94/7)))*(2^('Back Calculations'!$J$94/('Back Calculations'!$F$94/7)))),
2^(C215/(VLOOKUP(Doubling_rate_modelled,'Back Calculations'!$B$89:$C$99,2,FALSE)/7)))))</f>
        <v>3676800</v>
      </c>
      <c r="E215" s="2"/>
    </row>
    <row r="216" spans="2:13" s="804" customFormat="1" ht="15.65" customHeight="1" x14ac:dyDescent="0.75">
      <c r="B216" s="203" t="str">
        <f t="shared" si="48"/>
        <v/>
      </c>
      <c r="C216" s="203">
        <v>29</v>
      </c>
      <c r="D216" s="393">
        <f>IF(C216="","",IF(('Back Calculations'!C$110*IF(Doubling_rate_modelled="Combined",
IF(C216&lt;='Back Calculations'!$J$94,
2^(C216/('Back Calculations'!$F$94/7)),
(2^((C216-'Back Calculations'!$J$94)/('Back Calculations'!$H$94/7)))*(2^('Back Calculations'!$J$94/('Back Calculations'!$F$94/7)))),
2^(C216/(VLOOKUP(Doubling_rate_modelled,'Back Calculations'!$B$89:$C$99,2,FALSE)/7))))&gt;='Back Calculations'!$C$111,'Back Calculations'!$C$111,
'Back Calculations'!C$110*IF(Doubling_rate_modelled="Combined",
IF(C216&lt;='Back Calculations'!$J$94,
2^(C216/('Back Calculations'!$F$94/7)),
(2^((C216-'Back Calculations'!$J$94)/('Back Calculations'!$H$94/7)))*(2^('Back Calculations'!$J$94/('Back Calculations'!$F$94/7)))),
2^(C216/(VLOOKUP(Doubling_rate_modelled,'Back Calculations'!$B$89:$C$99,2,FALSE)/7)))))</f>
        <v>3676800</v>
      </c>
      <c r="E216" s="2"/>
    </row>
    <row r="217" spans="2:13" s="804" customFormat="1" ht="15.65" customHeight="1" x14ac:dyDescent="0.75">
      <c r="B217" s="203" t="str">
        <f t="shared" si="48"/>
        <v/>
      </c>
      <c r="C217" s="203">
        <v>30</v>
      </c>
      <c r="D217" s="393">
        <f>IF(C217="","",IF(('Back Calculations'!C$110*IF(Doubling_rate_modelled="Combined",
IF(C217&lt;='Back Calculations'!$J$94,
2^(C217/('Back Calculations'!$F$94/7)),
(2^((C217-'Back Calculations'!$J$94)/('Back Calculations'!$H$94/7)))*(2^('Back Calculations'!$J$94/('Back Calculations'!$F$94/7)))),
2^(C217/(VLOOKUP(Doubling_rate_modelled,'Back Calculations'!$B$89:$C$99,2,FALSE)/7))))&gt;='Back Calculations'!$C$111,'Back Calculations'!$C$111,
'Back Calculations'!C$110*IF(Doubling_rate_modelled="Combined",
IF(C217&lt;='Back Calculations'!$J$94,
2^(C217/('Back Calculations'!$F$94/7)),
(2^((C217-'Back Calculations'!$J$94)/('Back Calculations'!$H$94/7)))*(2^('Back Calculations'!$J$94/('Back Calculations'!$F$94/7)))),
2^(C217/(VLOOKUP(Doubling_rate_modelled,'Back Calculations'!$B$89:$C$99,2,FALSE)/7)))))</f>
        <v>3676800</v>
      </c>
      <c r="E217" s="2"/>
    </row>
    <row r="218" spans="2:13" s="804" customFormat="1" ht="15.65" customHeight="1" x14ac:dyDescent="0.75">
      <c r="B218" s="203" t="str">
        <f t="shared" si="48"/>
        <v/>
      </c>
      <c r="C218" s="203">
        <v>31</v>
      </c>
      <c r="D218" s="393">
        <f>IF(C218="","",IF(('Back Calculations'!C$110*IF(Doubling_rate_modelled="Combined",
IF(C218&lt;='Back Calculations'!$J$94,
2^(C218/('Back Calculations'!$F$94/7)),
(2^((C218-'Back Calculations'!$J$94)/('Back Calculations'!$H$94/7)))*(2^('Back Calculations'!$J$94/('Back Calculations'!$F$94/7)))),
2^(C218/(VLOOKUP(Doubling_rate_modelled,'Back Calculations'!$B$89:$C$99,2,FALSE)/7))))&gt;='Back Calculations'!$C$111,'Back Calculations'!$C$111,
'Back Calculations'!C$110*IF(Doubling_rate_modelled="Combined",
IF(C218&lt;='Back Calculations'!$J$94,
2^(C218/('Back Calculations'!$F$94/7)),
(2^((C218-'Back Calculations'!$J$94)/('Back Calculations'!$H$94/7)))*(2^('Back Calculations'!$J$94/('Back Calculations'!$F$94/7)))),
2^(C218/(VLOOKUP(Doubling_rate_modelled,'Back Calculations'!$B$89:$C$99,2,FALSE)/7)))))</f>
        <v>3676800</v>
      </c>
      <c r="E218" s="2"/>
      <c r="L218" s="74"/>
      <c r="M218" s="74"/>
    </row>
    <row r="219" spans="2:13" s="804" customFormat="1" x14ac:dyDescent="0.75">
      <c r="B219" s="203" t="str">
        <f t="shared" si="48"/>
        <v/>
      </c>
      <c r="C219" s="203">
        <v>32</v>
      </c>
      <c r="D219" s="393">
        <f>IF(C219="","",IF(('Back Calculations'!C$110*IF(Doubling_rate_modelled="Combined",
IF(C219&lt;='Back Calculations'!$J$94,
2^(C219/('Back Calculations'!$F$94/7)),
(2^((C219-'Back Calculations'!$J$94)/('Back Calculations'!$H$94/7)))*(2^('Back Calculations'!$J$94/('Back Calculations'!$F$94/7)))),
2^(C219/(VLOOKUP(Doubling_rate_modelled,'Back Calculations'!$B$89:$C$99,2,FALSE)/7))))&gt;='Back Calculations'!$C$111,'Back Calculations'!$C$111,
'Back Calculations'!C$110*IF(Doubling_rate_modelled="Combined",
IF(C219&lt;='Back Calculations'!$J$94,
2^(C219/('Back Calculations'!$F$94/7)),
(2^((C219-'Back Calculations'!$J$94)/('Back Calculations'!$H$94/7)))*(2^('Back Calculations'!$J$94/('Back Calculations'!$F$94/7)))),
2^(C219/(VLOOKUP(Doubling_rate_modelled,'Back Calculations'!$B$89:$C$99,2,FALSE)/7)))))</f>
        <v>3676800</v>
      </c>
      <c r="E219" s="2"/>
      <c r="L219" s="74"/>
      <c r="M219" s="74"/>
    </row>
    <row r="220" spans="2:13" s="804" customFormat="1" x14ac:dyDescent="0.75">
      <c r="B220" s="203" t="str">
        <f t="shared" ref="B220:B240" si="49">IFERROR(IF(B219+1&lt;=WeekSuppliedUntil,B219+1,""),"")</f>
        <v/>
      </c>
      <c r="C220" s="203">
        <v>33</v>
      </c>
      <c r="D220" s="393">
        <f>IF(C220="","",IF(('Back Calculations'!C$110*IF(Doubling_rate_modelled="Combined",
IF(C220&lt;='Back Calculations'!$J$94,
2^(C220/('Back Calculations'!$F$94/7)),
(2^((C220-'Back Calculations'!$J$94)/('Back Calculations'!$H$94/7)))*(2^('Back Calculations'!$J$94/('Back Calculations'!$F$94/7)))),
2^(C220/(VLOOKUP(Doubling_rate_modelled,'Back Calculations'!$B$89:$C$99,2,FALSE)/7))))&gt;='Back Calculations'!$C$111,'Back Calculations'!$C$111,
'Back Calculations'!C$110*IF(Doubling_rate_modelled="Combined",
IF(C220&lt;='Back Calculations'!$J$94,
2^(C220/('Back Calculations'!$F$94/7)),
(2^((C220-'Back Calculations'!$J$94)/('Back Calculations'!$H$94/7)))*(2^('Back Calculations'!$J$94/('Back Calculations'!$F$94/7)))),
2^(C220/(VLOOKUP(Doubling_rate_modelled,'Back Calculations'!$B$89:$C$99,2,FALSE)/7)))))</f>
        <v>3676800</v>
      </c>
      <c r="E220" s="2"/>
    </row>
    <row r="221" spans="2:13" s="804" customFormat="1" x14ac:dyDescent="0.75">
      <c r="B221" s="203" t="str">
        <f t="shared" si="49"/>
        <v/>
      </c>
      <c r="C221" s="203">
        <v>34</v>
      </c>
      <c r="D221" s="393">
        <f>IF(C221="","",IF(('Back Calculations'!C$110*IF(Doubling_rate_modelled="Combined",
IF(C221&lt;='Back Calculations'!$J$94,
2^(C221/('Back Calculations'!$F$94/7)),
(2^((C221-'Back Calculations'!$J$94)/('Back Calculations'!$H$94/7)))*(2^('Back Calculations'!$J$94/('Back Calculations'!$F$94/7)))),
2^(C221/(VLOOKUP(Doubling_rate_modelled,'Back Calculations'!$B$89:$C$99,2,FALSE)/7))))&gt;='Back Calculations'!$C$111,'Back Calculations'!$C$111,
'Back Calculations'!C$110*IF(Doubling_rate_modelled="Combined",
IF(C221&lt;='Back Calculations'!$J$94,
2^(C221/('Back Calculations'!$F$94/7)),
(2^((C221-'Back Calculations'!$J$94)/('Back Calculations'!$H$94/7)))*(2^('Back Calculations'!$J$94/('Back Calculations'!$F$94/7)))),
2^(C221/(VLOOKUP(Doubling_rate_modelled,'Back Calculations'!$B$89:$C$99,2,FALSE)/7)))))</f>
        <v>3676800</v>
      </c>
      <c r="E221" s="2"/>
    </row>
    <row r="222" spans="2:13" s="804" customFormat="1" x14ac:dyDescent="0.75">
      <c r="B222" s="203" t="str">
        <f t="shared" si="49"/>
        <v/>
      </c>
      <c r="C222" s="203">
        <v>35</v>
      </c>
      <c r="D222" s="393">
        <f>IF(C222="","",IF(('Back Calculations'!C$110*IF(Doubling_rate_modelled="Combined",
IF(C222&lt;='Back Calculations'!$J$94,
2^(C222/('Back Calculations'!$F$94/7)),
(2^((C222-'Back Calculations'!$J$94)/('Back Calculations'!$H$94/7)))*(2^('Back Calculations'!$J$94/('Back Calculations'!$F$94/7)))),
2^(C222/(VLOOKUP(Doubling_rate_modelled,'Back Calculations'!$B$89:$C$99,2,FALSE)/7))))&gt;='Back Calculations'!$C$111,'Back Calculations'!$C$111,
'Back Calculations'!C$110*IF(Doubling_rate_modelled="Combined",
IF(C222&lt;='Back Calculations'!$J$94,
2^(C222/('Back Calculations'!$F$94/7)),
(2^((C222-'Back Calculations'!$J$94)/('Back Calculations'!$H$94/7)))*(2^('Back Calculations'!$J$94/('Back Calculations'!$F$94/7)))),
2^(C222/(VLOOKUP(Doubling_rate_modelled,'Back Calculations'!$B$89:$C$99,2,FALSE)/7)))))</f>
        <v>3676800</v>
      </c>
      <c r="E222" s="2"/>
    </row>
    <row r="223" spans="2:13" s="804" customFormat="1" x14ac:dyDescent="0.75">
      <c r="B223" s="203" t="str">
        <f t="shared" si="49"/>
        <v/>
      </c>
      <c r="C223" s="203">
        <v>36</v>
      </c>
      <c r="D223" s="393">
        <f>IF(C223="","",IF(('Back Calculations'!C$110*IF(Doubling_rate_modelled="Combined",
IF(C223&lt;='Back Calculations'!$J$94,
2^(C223/('Back Calculations'!$F$94/7)),
(2^((C223-'Back Calculations'!$J$94)/('Back Calculations'!$H$94/7)))*(2^('Back Calculations'!$J$94/('Back Calculations'!$F$94/7)))),
2^(C223/(VLOOKUP(Doubling_rate_modelled,'Back Calculations'!$B$89:$C$99,2,FALSE)/7))))&gt;='Back Calculations'!$C$111,'Back Calculations'!$C$111,
'Back Calculations'!C$110*IF(Doubling_rate_modelled="Combined",
IF(C223&lt;='Back Calculations'!$J$94,
2^(C223/('Back Calculations'!$F$94/7)),
(2^((C223-'Back Calculations'!$J$94)/('Back Calculations'!$H$94/7)))*(2^('Back Calculations'!$J$94/('Back Calculations'!$F$94/7)))),
2^(C223/(VLOOKUP(Doubling_rate_modelled,'Back Calculations'!$B$89:$C$99,2,FALSE)/7)))))</f>
        <v>3676800</v>
      </c>
      <c r="E223" s="2"/>
    </row>
    <row r="224" spans="2:13" s="804" customFormat="1" x14ac:dyDescent="0.75">
      <c r="B224" s="203" t="str">
        <f t="shared" si="49"/>
        <v/>
      </c>
      <c r="C224" s="203">
        <v>37</v>
      </c>
      <c r="D224" s="393">
        <f>IF(C224="","",IF(('Back Calculations'!C$110*IF(Doubling_rate_modelled="Combined",
IF(C224&lt;='Back Calculations'!$J$94,
2^(C224/('Back Calculations'!$F$94/7)),
(2^((C224-'Back Calculations'!$J$94)/('Back Calculations'!$H$94/7)))*(2^('Back Calculations'!$J$94/('Back Calculations'!$F$94/7)))),
2^(C224/(VLOOKUP(Doubling_rate_modelled,'Back Calculations'!$B$89:$C$99,2,FALSE)/7))))&gt;='Back Calculations'!$C$111,'Back Calculations'!$C$111,
'Back Calculations'!C$110*IF(Doubling_rate_modelled="Combined",
IF(C224&lt;='Back Calculations'!$J$94,
2^(C224/('Back Calculations'!$F$94/7)),
(2^((C224-'Back Calculations'!$J$94)/('Back Calculations'!$H$94/7)))*(2^('Back Calculations'!$J$94/('Back Calculations'!$F$94/7)))),
2^(C224/(VLOOKUP(Doubling_rate_modelled,'Back Calculations'!$B$89:$C$99,2,FALSE)/7)))))</f>
        <v>3676800</v>
      </c>
      <c r="E224" s="2"/>
    </row>
    <row r="225" spans="2:22" s="804" customFormat="1" x14ac:dyDescent="0.75">
      <c r="B225" s="203" t="str">
        <f t="shared" si="49"/>
        <v/>
      </c>
      <c r="C225" s="203">
        <v>38</v>
      </c>
      <c r="D225" s="393">
        <f>IF(C225="","",IF(('Back Calculations'!C$110*IF(Doubling_rate_modelled="Combined",
IF(C225&lt;='Back Calculations'!$J$94,
2^(C225/('Back Calculations'!$F$94/7)),
(2^((C225-'Back Calculations'!$J$94)/('Back Calculations'!$H$94/7)))*(2^('Back Calculations'!$J$94/('Back Calculations'!$F$94/7)))),
2^(C225/(VLOOKUP(Doubling_rate_modelled,'Back Calculations'!$B$89:$C$99,2,FALSE)/7))))&gt;='Back Calculations'!$C$111,'Back Calculations'!$C$111,
'Back Calculations'!C$110*IF(Doubling_rate_modelled="Combined",
IF(C225&lt;='Back Calculations'!$J$94,
2^(C225/('Back Calculations'!$F$94/7)),
(2^((C225-'Back Calculations'!$J$94)/('Back Calculations'!$H$94/7)))*(2^('Back Calculations'!$J$94/('Back Calculations'!$F$94/7)))),
2^(C225/(VLOOKUP(Doubling_rate_modelled,'Back Calculations'!$B$89:$C$99,2,FALSE)/7)))))</f>
        <v>3676800</v>
      </c>
      <c r="E225" s="2"/>
    </row>
    <row r="226" spans="2:22" s="804" customFormat="1" x14ac:dyDescent="0.75">
      <c r="B226" s="203" t="str">
        <f t="shared" si="49"/>
        <v/>
      </c>
      <c r="C226" s="203">
        <v>39</v>
      </c>
      <c r="D226" s="393">
        <f>IF(C226="","",IF(('Back Calculations'!C$110*IF(Doubling_rate_modelled="Combined",
IF(C226&lt;='Back Calculations'!$J$94,
2^(C226/('Back Calculations'!$F$94/7)),
(2^((C226-'Back Calculations'!$J$94)/('Back Calculations'!$H$94/7)))*(2^('Back Calculations'!$J$94/('Back Calculations'!$F$94/7)))),
2^(C226/(VLOOKUP(Doubling_rate_modelled,'Back Calculations'!$B$89:$C$99,2,FALSE)/7))))&gt;='Back Calculations'!$C$111,'Back Calculations'!$C$111,
'Back Calculations'!C$110*IF(Doubling_rate_modelled="Combined",
IF(C226&lt;='Back Calculations'!$J$94,
2^(C226/('Back Calculations'!$F$94/7)),
(2^((C226-'Back Calculations'!$J$94)/('Back Calculations'!$H$94/7)))*(2^('Back Calculations'!$J$94/('Back Calculations'!$F$94/7)))),
2^(C226/(VLOOKUP(Doubling_rate_modelled,'Back Calculations'!$B$89:$C$99,2,FALSE)/7)))))</f>
        <v>3676800</v>
      </c>
      <c r="E226" s="2"/>
    </row>
    <row r="227" spans="2:22" s="804" customFormat="1" x14ac:dyDescent="0.75">
      <c r="B227" s="203" t="str">
        <f t="shared" si="49"/>
        <v/>
      </c>
      <c r="C227" s="203">
        <v>40</v>
      </c>
      <c r="D227" s="393">
        <f>IF(C227="","",IF(('Back Calculations'!C$110*IF(Doubling_rate_modelled="Combined",
IF(C227&lt;='Back Calculations'!$J$94,
2^(C227/('Back Calculations'!$F$94/7)),
(2^((C227-'Back Calculations'!$J$94)/('Back Calculations'!$H$94/7)))*(2^('Back Calculations'!$J$94/('Back Calculations'!$F$94/7)))),
2^(C227/(VLOOKUP(Doubling_rate_modelled,'Back Calculations'!$B$89:$C$99,2,FALSE)/7))))&gt;='Back Calculations'!$C$111,'Back Calculations'!$C$111,
'Back Calculations'!C$110*IF(Doubling_rate_modelled="Combined",
IF(C227&lt;='Back Calculations'!$J$94,
2^(C227/('Back Calculations'!$F$94/7)),
(2^((C227-'Back Calculations'!$J$94)/('Back Calculations'!$H$94/7)))*(2^('Back Calculations'!$J$94/('Back Calculations'!$F$94/7)))),
2^(C227/(VLOOKUP(Doubling_rate_modelled,'Back Calculations'!$B$89:$C$99,2,FALSE)/7)))))</f>
        <v>3676800</v>
      </c>
      <c r="E227" s="2"/>
    </row>
    <row r="228" spans="2:22" s="804" customFormat="1" x14ac:dyDescent="0.75">
      <c r="B228" s="203" t="str">
        <f t="shared" si="49"/>
        <v/>
      </c>
      <c r="C228" s="203">
        <v>41</v>
      </c>
      <c r="D228" s="393">
        <f>IF(C228="","",IF(('Back Calculations'!C$110*IF(Doubling_rate_modelled="Combined",
IF(C228&lt;='Back Calculations'!$J$94,
2^(C228/('Back Calculations'!$F$94/7)),
(2^((C228-'Back Calculations'!$J$94)/('Back Calculations'!$H$94/7)))*(2^('Back Calculations'!$J$94/('Back Calculations'!$F$94/7)))),
2^(C228/(VLOOKUP(Doubling_rate_modelled,'Back Calculations'!$B$89:$C$99,2,FALSE)/7))))&gt;='Back Calculations'!$C$111,'Back Calculations'!$C$111,
'Back Calculations'!C$110*IF(Doubling_rate_modelled="Combined",
IF(C228&lt;='Back Calculations'!$J$94,
2^(C228/('Back Calculations'!$F$94/7)),
(2^((C228-'Back Calculations'!$J$94)/('Back Calculations'!$H$94/7)))*(2^('Back Calculations'!$J$94/('Back Calculations'!$F$94/7)))),
2^(C228/(VLOOKUP(Doubling_rate_modelled,'Back Calculations'!$B$89:$C$99,2,FALSE)/7)))))</f>
        <v>3676800</v>
      </c>
      <c r="E228" s="2"/>
    </row>
    <row r="229" spans="2:22" s="804" customFormat="1" x14ac:dyDescent="0.75">
      <c r="B229" s="203" t="str">
        <f t="shared" si="49"/>
        <v/>
      </c>
      <c r="C229" s="203">
        <v>42</v>
      </c>
      <c r="D229" s="393">
        <f>IF(C229="","",IF(('Back Calculations'!C$110*IF(Doubling_rate_modelled="Combined",
IF(C229&lt;='Back Calculations'!$J$94,
2^(C229/('Back Calculations'!$F$94/7)),
(2^((C229-'Back Calculations'!$J$94)/('Back Calculations'!$H$94/7)))*(2^('Back Calculations'!$J$94/('Back Calculations'!$F$94/7)))),
2^(C229/(VLOOKUP(Doubling_rate_modelled,'Back Calculations'!$B$89:$C$99,2,FALSE)/7))))&gt;='Back Calculations'!$C$111,'Back Calculations'!$C$111,
'Back Calculations'!C$110*IF(Doubling_rate_modelled="Combined",
IF(C229&lt;='Back Calculations'!$J$94,
2^(C229/('Back Calculations'!$F$94/7)),
(2^((C229-'Back Calculations'!$J$94)/('Back Calculations'!$H$94/7)))*(2^('Back Calculations'!$J$94/('Back Calculations'!$F$94/7)))),
2^(C229/(VLOOKUP(Doubling_rate_modelled,'Back Calculations'!$B$89:$C$99,2,FALSE)/7)))))</f>
        <v>3676800</v>
      </c>
      <c r="E229" s="2"/>
    </row>
    <row r="230" spans="2:22" s="804" customFormat="1" x14ac:dyDescent="0.75">
      <c r="B230" s="203" t="str">
        <f t="shared" si="49"/>
        <v/>
      </c>
      <c r="C230" s="203">
        <v>43</v>
      </c>
      <c r="D230" s="393">
        <f>IF(C230="","",IF(('Back Calculations'!C$110*IF(Doubling_rate_modelled="Combined",
IF(C230&lt;='Back Calculations'!$J$94,
2^(C230/('Back Calculations'!$F$94/7)),
(2^((C230-'Back Calculations'!$J$94)/('Back Calculations'!$H$94/7)))*(2^('Back Calculations'!$J$94/('Back Calculations'!$F$94/7)))),
2^(C230/(VLOOKUP(Doubling_rate_modelled,'Back Calculations'!$B$89:$C$99,2,FALSE)/7))))&gt;='Back Calculations'!$C$111,'Back Calculations'!$C$111,
'Back Calculations'!C$110*IF(Doubling_rate_modelled="Combined",
IF(C230&lt;='Back Calculations'!$J$94,
2^(C230/('Back Calculations'!$F$94/7)),
(2^((C230-'Back Calculations'!$J$94)/('Back Calculations'!$H$94/7)))*(2^('Back Calculations'!$J$94/('Back Calculations'!$F$94/7)))),
2^(C230/(VLOOKUP(Doubling_rate_modelled,'Back Calculations'!$B$89:$C$99,2,FALSE)/7)))))</f>
        <v>3676800</v>
      </c>
      <c r="E230" s="2"/>
    </row>
    <row r="231" spans="2:22" s="804" customFormat="1" x14ac:dyDescent="0.75">
      <c r="B231" s="203" t="str">
        <f t="shared" si="49"/>
        <v/>
      </c>
      <c r="C231" s="203">
        <v>44</v>
      </c>
      <c r="D231" s="393">
        <f>IF(C231="","",IF(('Back Calculations'!C$110*IF(Doubling_rate_modelled="Combined",
IF(C231&lt;='Back Calculations'!$J$94,
2^(C231/('Back Calculations'!$F$94/7)),
(2^((C231-'Back Calculations'!$J$94)/('Back Calculations'!$H$94/7)))*(2^('Back Calculations'!$J$94/('Back Calculations'!$F$94/7)))),
2^(C231/(VLOOKUP(Doubling_rate_modelled,'Back Calculations'!$B$89:$C$99,2,FALSE)/7))))&gt;='Back Calculations'!$C$111,'Back Calculations'!$C$111,
'Back Calculations'!C$110*IF(Doubling_rate_modelled="Combined",
IF(C231&lt;='Back Calculations'!$J$94,
2^(C231/('Back Calculations'!$F$94/7)),
(2^((C231-'Back Calculations'!$J$94)/('Back Calculations'!$H$94/7)))*(2^('Back Calculations'!$J$94/('Back Calculations'!$F$94/7)))),
2^(C231/(VLOOKUP(Doubling_rate_modelled,'Back Calculations'!$B$89:$C$99,2,FALSE)/7)))))</f>
        <v>3676800</v>
      </c>
      <c r="E231" s="2"/>
    </row>
    <row r="232" spans="2:22" s="804" customFormat="1" x14ac:dyDescent="0.75">
      <c r="B232" s="203" t="str">
        <f t="shared" si="49"/>
        <v/>
      </c>
      <c r="C232" s="203">
        <v>45</v>
      </c>
      <c r="D232" s="393">
        <f>IF(C232="","",IF(('Back Calculations'!C$110*IF(Doubling_rate_modelled="Combined",
IF(C232&lt;='Back Calculations'!$J$94,
2^(C232/('Back Calculations'!$F$94/7)),
(2^((C232-'Back Calculations'!$J$94)/('Back Calculations'!$H$94/7)))*(2^('Back Calculations'!$J$94/('Back Calculations'!$F$94/7)))),
2^(C232/(VLOOKUP(Doubling_rate_modelled,'Back Calculations'!$B$89:$C$99,2,FALSE)/7))))&gt;='Back Calculations'!$C$111,'Back Calculations'!$C$111,
'Back Calculations'!C$110*IF(Doubling_rate_modelled="Combined",
IF(C232&lt;='Back Calculations'!$J$94,
2^(C232/('Back Calculations'!$F$94/7)),
(2^((C232-'Back Calculations'!$J$94)/('Back Calculations'!$H$94/7)))*(2^('Back Calculations'!$J$94/('Back Calculations'!$F$94/7)))),
2^(C232/(VLOOKUP(Doubling_rate_modelled,'Back Calculations'!$B$89:$C$99,2,FALSE)/7)))))</f>
        <v>3676800</v>
      </c>
      <c r="E232" s="2"/>
    </row>
    <row r="233" spans="2:22" s="804" customFormat="1" x14ac:dyDescent="0.75">
      <c r="B233" s="203" t="str">
        <f t="shared" si="49"/>
        <v/>
      </c>
      <c r="C233" s="203">
        <v>46</v>
      </c>
      <c r="D233" s="393">
        <f>IF(C233="","",IF(('Back Calculations'!C$110*IF(Doubling_rate_modelled="Combined",
IF(C233&lt;='Back Calculations'!$J$94,
2^(C233/('Back Calculations'!$F$94/7)),
(2^((C233-'Back Calculations'!$J$94)/('Back Calculations'!$H$94/7)))*(2^('Back Calculations'!$J$94/('Back Calculations'!$F$94/7)))),
2^(C233/(VLOOKUP(Doubling_rate_modelled,'Back Calculations'!$B$89:$C$99,2,FALSE)/7))))&gt;='Back Calculations'!$C$111,'Back Calculations'!$C$111,
'Back Calculations'!C$110*IF(Doubling_rate_modelled="Combined",
IF(C233&lt;='Back Calculations'!$J$94,
2^(C233/('Back Calculations'!$F$94/7)),
(2^((C233-'Back Calculations'!$J$94)/('Back Calculations'!$H$94/7)))*(2^('Back Calculations'!$J$94/('Back Calculations'!$F$94/7)))),
2^(C233/(VLOOKUP(Doubling_rate_modelled,'Back Calculations'!$B$89:$C$99,2,FALSE)/7)))))</f>
        <v>3676800</v>
      </c>
      <c r="E233" s="2"/>
    </row>
    <row r="234" spans="2:22" s="804" customFormat="1" x14ac:dyDescent="0.75">
      <c r="B234" s="203" t="str">
        <f t="shared" si="49"/>
        <v/>
      </c>
      <c r="C234" s="203">
        <v>47</v>
      </c>
      <c r="D234" s="393">
        <f>IF(C234="","",IF(('Back Calculations'!C$110*IF(Doubling_rate_modelled="Combined",
IF(C234&lt;='Back Calculations'!$J$94,
2^(C234/('Back Calculations'!$F$94/7)),
(2^((C234-'Back Calculations'!$J$94)/('Back Calculations'!$H$94/7)))*(2^('Back Calculations'!$J$94/('Back Calculations'!$F$94/7)))),
2^(C234/(VLOOKUP(Doubling_rate_modelled,'Back Calculations'!$B$89:$C$99,2,FALSE)/7))))&gt;='Back Calculations'!$C$111,'Back Calculations'!$C$111,
'Back Calculations'!C$110*IF(Doubling_rate_modelled="Combined",
IF(C234&lt;='Back Calculations'!$J$94,
2^(C234/('Back Calculations'!$F$94/7)),
(2^((C234-'Back Calculations'!$J$94)/('Back Calculations'!$H$94/7)))*(2^('Back Calculations'!$J$94/('Back Calculations'!$F$94/7)))),
2^(C234/(VLOOKUP(Doubling_rate_modelled,'Back Calculations'!$B$89:$C$99,2,FALSE)/7)))))</f>
        <v>3676800</v>
      </c>
      <c r="E234" s="2"/>
    </row>
    <row r="235" spans="2:22" s="804" customFormat="1" x14ac:dyDescent="0.75">
      <c r="B235" s="203" t="str">
        <f t="shared" si="49"/>
        <v/>
      </c>
      <c r="C235" s="203">
        <v>48</v>
      </c>
      <c r="D235" s="393">
        <f>IF(C235="","",IF(('Back Calculations'!C$110*IF(Doubling_rate_modelled="Combined",
IF(C235&lt;='Back Calculations'!$J$94,
2^(C235/('Back Calculations'!$F$94/7)),
(2^((C235-'Back Calculations'!$J$94)/('Back Calculations'!$H$94/7)))*(2^('Back Calculations'!$J$94/('Back Calculations'!$F$94/7)))),
2^(C235/(VLOOKUP(Doubling_rate_modelled,'Back Calculations'!$B$89:$C$99,2,FALSE)/7))))&gt;='Back Calculations'!$C$111,'Back Calculations'!$C$111,
'Back Calculations'!C$110*IF(Doubling_rate_modelled="Combined",
IF(C235&lt;='Back Calculations'!$J$94,
2^(C235/('Back Calculations'!$F$94/7)),
(2^((C235-'Back Calculations'!$J$94)/('Back Calculations'!$H$94/7)))*(2^('Back Calculations'!$J$94/('Back Calculations'!$F$94/7)))),
2^(C235/(VLOOKUP(Doubling_rate_modelled,'Back Calculations'!$B$89:$C$99,2,FALSE)/7)))))</f>
        <v>3676800</v>
      </c>
      <c r="E235" s="2"/>
    </row>
    <row r="236" spans="2:22" s="804" customFormat="1" x14ac:dyDescent="0.75">
      <c r="B236" s="203" t="str">
        <f t="shared" si="49"/>
        <v/>
      </c>
      <c r="C236" s="203">
        <v>49</v>
      </c>
      <c r="D236" s="393">
        <f>IF(C236="","",IF(('Back Calculations'!C$110*IF(Doubling_rate_modelled="Combined",
IF(C236&lt;='Back Calculations'!$J$94,
2^(C236/('Back Calculations'!$F$94/7)),
(2^((C236-'Back Calculations'!$J$94)/('Back Calculations'!$H$94/7)))*(2^('Back Calculations'!$J$94/('Back Calculations'!$F$94/7)))),
2^(C236/(VLOOKUP(Doubling_rate_modelled,'Back Calculations'!$B$89:$C$99,2,FALSE)/7))))&gt;='Back Calculations'!$C$111,'Back Calculations'!$C$111,
'Back Calculations'!C$110*IF(Doubling_rate_modelled="Combined",
IF(C236&lt;='Back Calculations'!$J$94,
2^(C236/('Back Calculations'!$F$94/7)),
(2^((C236-'Back Calculations'!$J$94)/('Back Calculations'!$H$94/7)))*(2^('Back Calculations'!$J$94/('Back Calculations'!$F$94/7)))),
2^(C236/(VLOOKUP(Doubling_rate_modelled,'Back Calculations'!$B$89:$C$99,2,FALSE)/7)))))</f>
        <v>3676800</v>
      </c>
      <c r="E236" s="2"/>
    </row>
    <row r="237" spans="2:22" s="804" customFormat="1" x14ac:dyDescent="0.75">
      <c r="B237" s="203" t="str">
        <f t="shared" si="49"/>
        <v/>
      </c>
      <c r="C237" s="203">
        <v>50</v>
      </c>
      <c r="D237" s="393">
        <f>IF(C237="","",IF(('Back Calculations'!C$110*IF(Doubling_rate_modelled="Combined",
IF(C237&lt;='Back Calculations'!$J$94,
2^(C237/('Back Calculations'!$F$94/7)),
(2^((C237-'Back Calculations'!$J$94)/('Back Calculations'!$H$94/7)))*(2^('Back Calculations'!$J$94/('Back Calculations'!$F$94/7)))),
2^(C237/(VLOOKUP(Doubling_rate_modelled,'Back Calculations'!$B$89:$C$99,2,FALSE)/7))))&gt;='Back Calculations'!$C$111,'Back Calculations'!$C$111,
'Back Calculations'!C$110*IF(Doubling_rate_modelled="Combined",
IF(C237&lt;='Back Calculations'!$J$94,
2^(C237/('Back Calculations'!$F$94/7)),
(2^((C237-'Back Calculations'!$J$94)/('Back Calculations'!$H$94/7)))*(2^('Back Calculations'!$J$94/('Back Calculations'!$F$94/7)))),
2^(C237/(VLOOKUP(Doubling_rate_modelled,'Back Calculations'!$B$89:$C$99,2,FALSE)/7)))))</f>
        <v>3676800</v>
      </c>
      <c r="E237" s="2"/>
    </row>
    <row r="238" spans="2:22" s="804" customFormat="1" x14ac:dyDescent="0.75">
      <c r="B238" s="203" t="str">
        <f t="shared" si="49"/>
        <v/>
      </c>
      <c r="C238" s="203">
        <v>51</v>
      </c>
      <c r="D238" s="393">
        <f>IF(C238="","",IF(('Back Calculations'!C$110*IF(Doubling_rate_modelled="Combined",
IF(C238&lt;='Back Calculations'!$J$94,
2^(C238/('Back Calculations'!$F$94/7)),
(2^((C238-'Back Calculations'!$J$94)/('Back Calculations'!$H$94/7)))*(2^('Back Calculations'!$J$94/('Back Calculations'!$F$94/7)))),
2^(C238/(VLOOKUP(Doubling_rate_modelled,'Back Calculations'!$B$89:$C$99,2,FALSE)/7))))&gt;='Back Calculations'!$C$111,'Back Calculations'!$C$111,
'Back Calculations'!C$110*IF(Doubling_rate_modelled="Combined",
IF(C238&lt;='Back Calculations'!$J$94,
2^(C238/('Back Calculations'!$F$94/7)),
(2^((C238-'Back Calculations'!$J$94)/('Back Calculations'!$H$94/7)))*(2^('Back Calculations'!$J$94/('Back Calculations'!$F$94/7)))),
2^(C238/(VLOOKUP(Doubling_rate_modelled,'Back Calculations'!$B$89:$C$99,2,FALSE)/7)))))</f>
        <v>3676800</v>
      </c>
      <c r="E238" s="2"/>
    </row>
    <row r="239" spans="2:22" s="804" customFormat="1" x14ac:dyDescent="0.75">
      <c r="B239" s="203" t="str">
        <f t="shared" si="49"/>
        <v/>
      </c>
      <c r="C239" s="203">
        <v>52</v>
      </c>
      <c r="D239" s="393">
        <f>IF(C239="","",IF(('Back Calculations'!C$110*IF(Doubling_rate_modelled="Combined",
IF(C239&lt;='Back Calculations'!$J$94,
2^(C239/('Back Calculations'!$F$94/7)),
(2^((C239-'Back Calculations'!$J$94)/('Back Calculations'!$H$94/7)))*(2^('Back Calculations'!$J$94/('Back Calculations'!$F$94/7)))),
2^(C239/(VLOOKUP(Doubling_rate_modelled,'Back Calculations'!$B$89:$C$99,2,FALSE)/7))))&gt;='Back Calculations'!$C$111,'Back Calculations'!$C$111,
'Back Calculations'!C$110*IF(Doubling_rate_modelled="Combined",
IF(C239&lt;='Back Calculations'!$J$94,
2^(C239/('Back Calculations'!$F$94/7)),
(2^((C239-'Back Calculations'!$J$94)/('Back Calculations'!$H$94/7)))*(2^('Back Calculations'!$J$94/('Back Calculations'!$F$94/7)))),
2^(C239/(VLOOKUP(Doubling_rate_modelled,'Back Calculations'!$B$89:$C$99,2,FALSE)/7)))))</f>
        <v>3676800</v>
      </c>
      <c r="E239" s="2"/>
    </row>
    <row r="240" spans="2:22" ht="15.5" thickBot="1" x14ac:dyDescent="0.9">
      <c r="B240" s="1332" t="str">
        <f t="shared" si="49"/>
        <v/>
      </c>
      <c r="C240" s="1332">
        <v>53</v>
      </c>
      <c r="D240" s="1331">
        <f>IF(C240="","",IF(('Back Calculations'!C$110*IF(Doubling_rate_modelled="Combined",
IF(C240&lt;='Back Calculations'!$J$94,
2^(C240/('Back Calculations'!$F$94/7)),
(2^((C240-'Back Calculations'!$J$94)/('Back Calculations'!$H$94/7)))*(2^('Back Calculations'!$J$94/('Back Calculations'!$F$94/7)))),
2^(C240/(VLOOKUP(Doubling_rate_modelled,'Back Calculations'!$B$89:$C$99,2,FALSE)/7))))&gt;='Back Calculations'!$C$111,'Back Calculations'!$C$111,
'Back Calculations'!C$110*IF(Doubling_rate_modelled="Combined",
IF(C240&lt;='Back Calculations'!$J$94,
2^(C240/('Back Calculations'!$F$94/7)),
(2^((C240-'Back Calculations'!$J$94)/('Back Calculations'!$H$94/7)))*(2^('Back Calculations'!$J$94/('Back Calculations'!$F$94/7)))),
2^(C240/(VLOOKUP(Doubling_rate_modelled,'Back Calculations'!$B$89:$C$99,2,FALSE)/7)))))</f>
        <v>3676800</v>
      </c>
      <c r="E240" s="2"/>
      <c r="F240" s="132"/>
      <c r="H240"/>
      <c r="N240" s="132"/>
      <c r="P240"/>
      <c r="U240" s="132"/>
      <c r="V240"/>
    </row>
  </sheetData>
  <sheetProtection algorithmName="SHA-512" hashValue="x50l+zu6I/+mKP5Jvz3xOrQzq4AiO95dVz2oG6CfjZeYBUMe9QFidvQiYAuwX/qZkqxvoNQvToX3YYoCh5Wdhw==" saltValue="6J+4atQIFKJJnMstNyADNg==" spinCount="100000" sheet="1" objects="1" scenarios="1"/>
  <mergeCells count="11">
    <mergeCell ref="C11:D11"/>
    <mergeCell ref="E11:F11"/>
    <mergeCell ref="I11:J11"/>
    <mergeCell ref="K11:L11"/>
    <mergeCell ref="M11:N11"/>
    <mergeCell ref="G11:H11"/>
    <mergeCell ref="O11:P11"/>
    <mergeCell ref="Q11:R11"/>
    <mergeCell ref="S11:T11"/>
    <mergeCell ref="U11:X11"/>
    <mergeCell ref="Y11:Z11"/>
  </mergeCells>
  <hyperlinks>
    <hyperlink ref="D67" location="'User Dashboard'!A12" display="Go Back to Dashboard" xr:uid="{00000000-0004-0000-0C00-000000000000}"/>
    <hyperlink ref="F6" location="'Patient Calcs'!B71" display="Manual Entry" xr:uid="{00000000-0004-0000-0C00-000001000000}"/>
    <hyperlink ref="D127" location="'User Dashboard'!A12" display="Go Back to Dashboard" xr:uid="{00000000-0004-0000-0C00-000002000000}"/>
    <hyperlink ref="F7" location="'Patient Calcs'!B126" display="SIR Model" xr:uid="{00000000-0004-0000-0C00-000003000000}"/>
    <hyperlink ref="E127" location="'Patient Calcs'!A1" display="Go to top of sheet" xr:uid="{00000000-0004-0000-0C00-000004000000}"/>
    <hyperlink ref="E67" location="'Patient Calcs'!A1" display="Go to top of sheet" xr:uid="{00000000-0004-0000-0C00-000005000000}"/>
    <hyperlink ref="F5" location="'User Dashboard'!A1" display="Back to User Dashboard" xr:uid="{00000000-0004-0000-0C00-000006000000}"/>
    <hyperlink ref="D184" location="'User Dashboard'!A12" display="Go Back to Dashboard" xr:uid="{00000000-0004-0000-0C00-000007000000}"/>
    <hyperlink ref="E184" location="'Patient Calcs'!A1" display="Go to top of sheet" xr:uid="{00000000-0004-0000-0C00-000008000000}"/>
    <hyperlink ref="E129" location="'SIR Model Patient Calcs'!A1" display="Click here for more details on SIR model calculations" xr:uid="{00000000-0004-0000-0C00-000009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theme="5" tint="0.39997558519241921"/>
  </sheetPr>
  <dimension ref="A1:O372"/>
  <sheetViews>
    <sheetView showGridLines="0" zoomScale="70" zoomScaleNormal="70" workbookViewId="0"/>
  </sheetViews>
  <sheetFormatPr defaultColWidth="9.40625" defaultRowHeight="14.75" x14ac:dyDescent="0.75"/>
  <cols>
    <col min="1" max="1" width="10.40625" style="735" customWidth="1"/>
    <col min="2" max="2" width="9.40625" style="310"/>
    <col min="3" max="3" width="20.40625" style="746" customWidth="1"/>
    <col min="4" max="4" width="21.40625" style="747" customWidth="1"/>
    <col min="5" max="5" width="22" style="739" customWidth="1"/>
    <col min="6" max="6" width="23.40625" style="739" bestFit="1" customWidth="1"/>
    <col min="7" max="7" width="23.40625" style="749" customWidth="1"/>
    <col min="8" max="8" width="28.40625" style="385" customWidth="1"/>
    <col min="9" max="9" width="33.40625" style="751" customWidth="1"/>
    <col min="10" max="10" width="27.40625" style="752" customWidth="1"/>
    <col min="11" max="11" width="18.40625" style="385" customWidth="1"/>
    <col min="12" max="12" width="16.40625" style="752" customWidth="1"/>
    <col min="13" max="13" width="3.40625" style="732" customWidth="1"/>
    <col min="14" max="14" width="9.40625" style="309"/>
    <col min="15" max="15" width="21.40625" style="752" customWidth="1"/>
    <col min="16" max="16384" width="9.40625" style="132"/>
  </cols>
  <sheetData>
    <row r="1" spans="1:15" customFormat="1" x14ac:dyDescent="0.75"/>
    <row r="2" spans="1:15" s="24" customFormat="1" ht="18.5" x14ac:dyDescent="0.9">
      <c r="B2" s="24" t="s">
        <v>1423</v>
      </c>
      <c r="C2" s="387"/>
      <c r="E2" s="25"/>
      <c r="F2" s="25"/>
      <c r="G2" s="25"/>
      <c r="H2" s="25"/>
      <c r="I2" s="25"/>
    </row>
    <row r="3" spans="1:15" customFormat="1" x14ac:dyDescent="0.75"/>
    <row r="4" spans="1:15" customFormat="1" x14ac:dyDescent="0.75">
      <c r="B4" t="s">
        <v>1424</v>
      </c>
      <c r="G4" s="1122" t="s">
        <v>1446</v>
      </c>
    </row>
    <row r="5" spans="1:15" customFormat="1" ht="15.5" thickBot="1" x14ac:dyDescent="0.9"/>
    <row r="6" spans="1:15" s="731" customFormat="1" ht="157.9" customHeight="1" thickBot="1" x14ac:dyDescent="0.9">
      <c r="A6" s="733" t="s">
        <v>1010</v>
      </c>
      <c r="B6" s="734" t="s">
        <v>1011</v>
      </c>
      <c r="C6" s="736" t="s">
        <v>1410</v>
      </c>
      <c r="D6" s="737" t="s">
        <v>1411</v>
      </c>
      <c r="E6" s="738" t="s">
        <v>1417</v>
      </c>
      <c r="F6" s="738" t="s">
        <v>1418</v>
      </c>
      <c r="G6" s="748" t="s">
        <v>1416</v>
      </c>
      <c r="H6" s="740" t="s">
        <v>1412</v>
      </c>
      <c r="I6" s="741" t="s">
        <v>1413</v>
      </c>
      <c r="J6" s="742" t="s">
        <v>1414</v>
      </c>
      <c r="K6" s="743" t="s">
        <v>1012</v>
      </c>
      <c r="L6" s="750" t="s">
        <v>1013</v>
      </c>
      <c r="M6" s="1127"/>
      <c r="N6" s="744" t="s">
        <v>306</v>
      </c>
      <c r="O6" s="745" t="s">
        <v>1012</v>
      </c>
    </row>
    <row r="7" spans="1:15" x14ac:dyDescent="0.75">
      <c r="A7" s="309">
        <f t="shared" ref="A7" si="0">IF(AND(IF(L7&lt;=1,0,1)*ROUNDUP(B7/7,0)=0,B7&lt;&gt;0),"",IF(L7&lt;=1,0,1)*ROUNDUP(B7/7,0))</f>
        <v>0</v>
      </c>
      <c r="B7" s="310">
        <v>0</v>
      </c>
      <c r="C7" s="746">
        <f>IF('User Dashboard'!Z$12=5,
IF('SIR Model Patient Calcs'!B7&lt;'User Dashboard'!AJ$15,'User Dashboard'!AN$14,
IF('SIR Model Patient Calcs'!B7&lt;'User Dashboard'!AJ$16,'User Dashboard'!AN$15,
IF('SIR Model Patient Calcs'!B7&lt;'User Dashboard'!AJ$17,'User Dashboard'!AN$16,
IF('SIR Model Patient Calcs'!B7&lt;'User Dashboard'!AJ$18,'User Dashboard'!AN$17,
'User Dashboard'!AN$18)))),
IF('User Dashboard'!Z$12=4,
IF('SIR Model Patient Calcs'!B7&lt;'User Dashboard'!AJ$15,'User Dashboard'!AN$14,
IF('SIR Model Patient Calcs'!B7&lt;'User Dashboard'!AJ$16,'User Dashboard'!AN$15,
IF('SIR Model Patient Calcs'!B7&lt;'User Dashboard'!AJ$17,'User Dashboard'!AN$16,
'User Dashboard'!AN$17))),
IF('User Dashboard'!Z$12=3,
IF('SIR Model Patient Calcs'!B7&lt;'User Dashboard'!AJ$15,'User Dashboard'!AN$14,
IF('SIR Model Patient Calcs'!B7&lt;'User Dashboard'!AJ$16,'User Dashboard'!AN$15,
'User Dashboard'!AN$16)),
IF('User Dashboard'!Z$12=2,
IF('SIR Model Patient Calcs'!B7&lt;'User Dashboard'!AJ$15,'User Dashboard'!AN$14,
'User Dashboard'!AN$15),
IF('User Dashboard'!Z$12=1,
'User Dashboard'!AN$14)))))</f>
        <v>15.209356603107825</v>
      </c>
      <c r="D7" s="747">
        <f>'User Dashboard'!X$15</f>
        <v>2.2072878851804097E-2</v>
      </c>
      <c r="E7" s="739">
        <f t="shared" ref="E7:E70" si="1">(C7*D7)/SUM(H7:J7)</f>
        <v>9.1306104687305725E-8</v>
      </c>
      <c r="F7" s="739">
        <f>E7</f>
        <v>9.1306104687305725E-8</v>
      </c>
      <c r="G7" s="749">
        <f>1/'User Dashboard'!X$12</f>
        <v>0.14285714285714285</v>
      </c>
      <c r="H7" s="385">
        <f>'Back Calculations'!C111-'Back Calculations'!C110</f>
        <v>3676799</v>
      </c>
      <c r="I7" s="751">
        <f>'Back Calculations'!C110-'User Dashboard'!X13</f>
        <v>0.7026982212493198</v>
      </c>
      <c r="J7" s="752">
        <f>'User Dashboard'!X$13</f>
        <v>0.29730177875068026</v>
      </c>
      <c r="K7" s="385">
        <f>(I7+J7)</f>
        <v>1</v>
      </c>
      <c r="L7" s="752">
        <v>0</v>
      </c>
      <c r="N7" s="59">
        <f>MAX(A:A)</f>
        <v>28</v>
      </c>
      <c r="O7" s="752">
        <f t="array" ref="O7">IF(N7="","",MAX(IF(A:A=N7,K:K)))</f>
        <v>3235619.0001803455</v>
      </c>
    </row>
    <row r="8" spans="1:15" x14ac:dyDescent="0.75">
      <c r="A8" s="309">
        <f>IF(AND(IF(L8&lt;1,0,1)*ROUNDUP(B8/7,0)=0,B8&lt;&gt;0),"",IF(L8&lt;1,0,1)*ROUNDUP(B8/7,0))</f>
        <v>1</v>
      </c>
      <c r="B8" s="310">
        <v>1</v>
      </c>
      <c r="C8" s="746">
        <f>IF('User Dashboard'!Z$12=5,
IF('SIR Model Patient Calcs'!B8&lt;'User Dashboard'!AJ$15,'User Dashboard'!AN$14,
IF('SIR Model Patient Calcs'!B8&lt;'User Dashboard'!AJ$16,'User Dashboard'!AN$15,
IF('SIR Model Patient Calcs'!B8&lt;'User Dashboard'!AJ$17,'User Dashboard'!AN$16,
IF('SIR Model Patient Calcs'!B8&lt;'User Dashboard'!AJ$18,'User Dashboard'!AN$17,
'User Dashboard'!AN$18)))),
IF('User Dashboard'!Z$12=4,
IF('SIR Model Patient Calcs'!B8&lt;'User Dashboard'!AJ$15,'User Dashboard'!AN$14,
IF('SIR Model Patient Calcs'!B8&lt;'User Dashboard'!AJ$16,'User Dashboard'!AN$15,
IF('SIR Model Patient Calcs'!B8&lt;'User Dashboard'!AJ$17,'User Dashboard'!AN$16,
'User Dashboard'!AN$17))),
IF('User Dashboard'!Z$12=3,
IF('SIR Model Patient Calcs'!B8&lt;'User Dashboard'!AJ$15,'User Dashboard'!AN$14,
IF('SIR Model Patient Calcs'!B8&lt;'User Dashboard'!AJ$16,'User Dashboard'!AN$15,
'User Dashboard'!AN$16)),
IF('User Dashboard'!Z$12=2,
IF('SIR Model Patient Calcs'!B8&lt;'User Dashboard'!AJ$15,'User Dashboard'!AN$14,
'User Dashboard'!AN$15),
IF('User Dashboard'!Z$12=1,
'User Dashboard'!AN$14)))))</f>
        <v>15.209356603107825</v>
      </c>
      <c r="D8" s="747">
        <f>'User Dashboard'!X$15</f>
        <v>2.2072878851804097E-2</v>
      </c>
      <c r="E8" s="739">
        <f t="shared" si="1"/>
        <v>9.1306104687305725E-8</v>
      </c>
      <c r="F8" s="739">
        <f>AVERAGE(E7:E8)</f>
        <v>9.1306104687305725E-8</v>
      </c>
      <c r="G8" s="749">
        <f>1/'User Dashboard'!X$12</f>
        <v>0.14285714285714285</v>
      </c>
      <c r="H8" s="385">
        <f t="shared" ref="H8:H71" si="2">-MIN(F7*I7,1)*H7+H7</f>
        <v>3676798.7640942326</v>
      </c>
      <c r="I8" s="751">
        <f>(MIN(F7*I7,1)*H7)-(G7*I7)+I7</f>
        <v>0.83821852832962263</v>
      </c>
      <c r="J8" s="752">
        <f t="shared" ref="J8:J71" si="3">G7*I7+J7</f>
        <v>0.39768723892915447</v>
      </c>
      <c r="K8" s="385">
        <f>(I8+J8)</f>
        <v>1.2359057672587772</v>
      </c>
      <c r="L8" s="752">
        <f>ROUNDUP((K8-K7),0)</f>
        <v>1</v>
      </c>
      <c r="N8" s="309">
        <f>IF(OR(N7=0,N7=""),"",N7-1)</f>
        <v>27</v>
      </c>
      <c r="O8" s="752">
        <f t="array" ref="O8">IF(N8="","",MAX(IF(A:A=N8,K:K)))</f>
        <v>3235612.6608881238</v>
      </c>
    </row>
    <row r="9" spans="1:15" x14ac:dyDescent="0.75">
      <c r="A9" s="309">
        <f t="shared" ref="A9:A72" si="4">IF(AND(IF(L9&lt;1,0,1)*ROUNDUP(B9/7,0)=0,B9&lt;&gt;0),"",IF(L9&lt;1,0,1)*ROUNDUP(B9/7,0))</f>
        <v>1</v>
      </c>
      <c r="B9" s="310">
        <v>2</v>
      </c>
      <c r="C9" s="746">
        <f>IF('User Dashboard'!Z$12=5,
IF('SIR Model Patient Calcs'!B9&lt;'User Dashboard'!AJ$15,'User Dashboard'!AN$14,
IF('SIR Model Patient Calcs'!B9&lt;'User Dashboard'!AJ$16,'User Dashboard'!AN$15,
IF('SIR Model Patient Calcs'!B9&lt;'User Dashboard'!AJ$17,'User Dashboard'!AN$16,
IF('SIR Model Patient Calcs'!B9&lt;'User Dashboard'!AJ$18,'User Dashboard'!AN$17,
'User Dashboard'!AN$18)))),
IF('User Dashboard'!Z$12=4,
IF('SIR Model Patient Calcs'!B9&lt;'User Dashboard'!AJ$15,'User Dashboard'!AN$14,
IF('SIR Model Patient Calcs'!B9&lt;'User Dashboard'!AJ$16,'User Dashboard'!AN$15,
IF('SIR Model Patient Calcs'!B9&lt;'User Dashboard'!AJ$17,'User Dashboard'!AN$16,
'User Dashboard'!AN$17))),
IF('User Dashboard'!Z$12=3,
IF('SIR Model Patient Calcs'!B9&lt;'User Dashboard'!AJ$15,'User Dashboard'!AN$14,
IF('SIR Model Patient Calcs'!B9&lt;'User Dashboard'!AJ$16,'User Dashboard'!AN$15,
'User Dashboard'!AN$16)),
IF('User Dashboard'!Z$12=2,
IF('SIR Model Patient Calcs'!B9&lt;'User Dashboard'!AJ$15,'User Dashboard'!AN$14,
'User Dashboard'!AN$15),
IF('User Dashboard'!Z$12=1,
'User Dashboard'!AN$14)))))</f>
        <v>15.209356603107825</v>
      </c>
      <c r="D9" s="747">
        <f>'User Dashboard'!X$15</f>
        <v>2.2072878851804097E-2</v>
      </c>
      <c r="E9" s="739">
        <f t="shared" si="1"/>
        <v>9.1306104687305738E-8</v>
      </c>
      <c r="F9" s="739">
        <f>AVERAGE(E7:E9)</f>
        <v>9.1306104687305725E-8</v>
      </c>
      <c r="G9" s="749">
        <f>1/'User Dashboard'!X$12</f>
        <v>0.14285714285714285</v>
      </c>
      <c r="H9" s="385">
        <f t="shared" si="2"/>
        <v>3676798.4826923925</v>
      </c>
      <c r="I9" s="751">
        <f t="shared" ref="I9:I72" si="5">MIN(F8*I8,1)*H8-G8*I8+I8</f>
        <v>0.99987486420380134</v>
      </c>
      <c r="J9" s="752">
        <f t="shared" si="3"/>
        <v>0.51743274297624342</v>
      </c>
      <c r="K9" s="385">
        <f t="shared" ref="K9:K72" si="6">(I9+J9)</f>
        <v>1.5173076071800446</v>
      </c>
      <c r="L9" s="752">
        <f t="shared" ref="L9:L28" si="7">ROUNDUP((K9-K8),0)</f>
        <v>1</v>
      </c>
      <c r="N9" s="309">
        <f>IF(OR(N8=0,N8=""),"",N8-1)</f>
        <v>26</v>
      </c>
      <c r="O9" s="752">
        <f t="array" ref="O9">IF(N9="","",MAX(IF(A:A=N9,K:K)))</f>
        <v>3235595.4723699107</v>
      </c>
    </row>
    <row r="10" spans="1:15" x14ac:dyDescent="0.75">
      <c r="A10" s="309">
        <f t="shared" si="4"/>
        <v>1</v>
      </c>
      <c r="B10" s="310">
        <v>3</v>
      </c>
      <c r="C10" s="746">
        <f>IF('User Dashboard'!Z$12=5,
IF('SIR Model Patient Calcs'!B10&lt;'User Dashboard'!AJ$15,'User Dashboard'!AN$14,
IF('SIR Model Patient Calcs'!B10&lt;'User Dashboard'!AJ$16,'User Dashboard'!AN$15,
IF('SIR Model Patient Calcs'!B10&lt;'User Dashboard'!AJ$17,'User Dashboard'!AN$16,
IF('SIR Model Patient Calcs'!B10&lt;'User Dashboard'!AJ$18,'User Dashboard'!AN$17,
'User Dashboard'!AN$18)))),
IF('User Dashboard'!Z$12=4,
IF('SIR Model Patient Calcs'!B10&lt;'User Dashboard'!AJ$15,'User Dashboard'!AN$14,
IF('SIR Model Patient Calcs'!B10&lt;'User Dashboard'!AJ$16,'User Dashboard'!AN$15,
IF('SIR Model Patient Calcs'!B10&lt;'User Dashboard'!AJ$17,'User Dashboard'!AN$16,
'User Dashboard'!AN$17))),
IF('User Dashboard'!Z$12=3,
IF('SIR Model Patient Calcs'!B10&lt;'User Dashboard'!AJ$15,'User Dashboard'!AN$14,
IF('SIR Model Patient Calcs'!B10&lt;'User Dashboard'!AJ$16,'User Dashboard'!AN$15,
'User Dashboard'!AN$16)),
IF('User Dashboard'!Z$12=2,
IF('SIR Model Patient Calcs'!B10&lt;'User Dashboard'!AJ$15,'User Dashboard'!AN$14,
'User Dashboard'!AN$15),
IF('User Dashboard'!Z$12=1,
'User Dashboard'!AN$14)))))</f>
        <v>15.209356603107825</v>
      </c>
      <c r="D10" s="747">
        <f>'User Dashboard'!X$15</f>
        <v>2.2072878851804097E-2</v>
      </c>
      <c r="E10" s="739">
        <f t="shared" si="1"/>
        <v>9.1306104687305738E-8</v>
      </c>
      <c r="F10" s="739">
        <f>AVERAGE(E7:E10)</f>
        <v>9.1306104687305738E-8</v>
      </c>
      <c r="G10" s="749">
        <f>1/'User Dashboard'!X$12</f>
        <v>0.14285714285714285</v>
      </c>
      <c r="H10" s="385">
        <f t="shared" si="2"/>
        <v>3676798.1470202552</v>
      </c>
      <c r="I10" s="751">
        <f t="shared" si="5"/>
        <v>1.192707735206709</v>
      </c>
      <c r="J10" s="752">
        <f t="shared" si="3"/>
        <v>0.66027200929107221</v>
      </c>
      <c r="K10" s="385">
        <f t="shared" si="6"/>
        <v>1.8529797444977811</v>
      </c>
      <c r="L10" s="752">
        <f t="shared" si="7"/>
        <v>1</v>
      </c>
      <c r="N10" s="309">
        <f>IF(OR(N9=0,N9=""),"",N9-1)</f>
        <v>25</v>
      </c>
      <c r="O10" s="752">
        <f t="array" ref="O10">IF(N10="","",MAX(IF(A:A=N10,K:K)))</f>
        <v>3235558.8059537867</v>
      </c>
    </row>
    <row r="11" spans="1:15" x14ac:dyDescent="0.75">
      <c r="A11" s="309">
        <f t="shared" si="4"/>
        <v>1</v>
      </c>
      <c r="B11" s="310">
        <v>4</v>
      </c>
      <c r="C11" s="746">
        <f>IF('User Dashboard'!Z$12=5,
IF('SIR Model Patient Calcs'!B11&lt;'User Dashboard'!AJ$15,'User Dashboard'!AN$14,
IF('SIR Model Patient Calcs'!B11&lt;'User Dashboard'!AJ$16,'User Dashboard'!AN$15,
IF('SIR Model Patient Calcs'!B11&lt;'User Dashboard'!AJ$17,'User Dashboard'!AN$16,
IF('SIR Model Patient Calcs'!B11&lt;'User Dashboard'!AJ$18,'User Dashboard'!AN$17,
'User Dashboard'!AN$18)))),
IF('User Dashboard'!Z$12=4,
IF('SIR Model Patient Calcs'!B11&lt;'User Dashboard'!AJ$15,'User Dashboard'!AN$14,
IF('SIR Model Patient Calcs'!B11&lt;'User Dashboard'!AJ$16,'User Dashboard'!AN$15,
IF('SIR Model Patient Calcs'!B11&lt;'User Dashboard'!AJ$17,'User Dashboard'!AN$16,
'User Dashboard'!AN$17))),
IF('User Dashboard'!Z$12=3,
IF('SIR Model Patient Calcs'!B11&lt;'User Dashboard'!AJ$15,'User Dashboard'!AN$14,
IF('SIR Model Patient Calcs'!B11&lt;'User Dashboard'!AJ$16,'User Dashboard'!AN$15,
'User Dashboard'!AN$16)),
IF('User Dashboard'!Z$12=2,
IF('SIR Model Patient Calcs'!B11&lt;'User Dashboard'!AJ$15,'User Dashboard'!AN$14,
'User Dashboard'!AN$15),
IF('User Dashboard'!Z$12=1,
'User Dashboard'!AN$14)))))</f>
        <v>15.209356603107825</v>
      </c>
      <c r="D11" s="747">
        <f>'User Dashboard'!X$15</f>
        <v>2.2072878851804097E-2</v>
      </c>
      <c r="E11" s="739">
        <f t="shared" si="1"/>
        <v>9.1306104687305738E-8</v>
      </c>
      <c r="F11" s="739">
        <f>AVERAGE(E7:E11)</f>
        <v>9.1306104687305738E-8</v>
      </c>
      <c r="G11" s="749">
        <f>1/'User Dashboard'!X$12</f>
        <v>0.14285714285714285</v>
      </c>
      <c r="H11" s="385">
        <f t="shared" si="2"/>
        <v>3676797.7466114317</v>
      </c>
      <c r="I11" s="751">
        <f t="shared" si="5"/>
        <v>1.42272973949002</v>
      </c>
      <c r="J11" s="752">
        <f t="shared" si="3"/>
        <v>0.83065882860631635</v>
      </c>
      <c r="K11" s="385">
        <f t="shared" si="6"/>
        <v>2.2533885680963364</v>
      </c>
      <c r="L11" s="752">
        <f t="shared" si="7"/>
        <v>1</v>
      </c>
      <c r="N11" s="309">
        <f>IF(OR(N10=0,N10=""),"",N10-1)</f>
        <v>24</v>
      </c>
      <c r="O11" s="752">
        <f t="array" ref="O11">IF(N11="","",MAX(IF(A:A=N11,K:K)))</f>
        <v>3235480.5862283297</v>
      </c>
    </row>
    <row r="12" spans="1:15" x14ac:dyDescent="0.75">
      <c r="A12" s="309">
        <f t="shared" si="4"/>
        <v>1</v>
      </c>
      <c r="B12" s="310">
        <v>5</v>
      </c>
      <c r="C12" s="746">
        <f>IF('User Dashboard'!Z$12=5,
IF('SIR Model Patient Calcs'!B12&lt;'User Dashboard'!AJ$15,'User Dashboard'!AN$14,
IF('SIR Model Patient Calcs'!B12&lt;'User Dashboard'!AJ$16,'User Dashboard'!AN$15,
IF('SIR Model Patient Calcs'!B12&lt;'User Dashboard'!AJ$17,'User Dashboard'!AN$16,
IF('SIR Model Patient Calcs'!B12&lt;'User Dashboard'!AJ$18,'User Dashboard'!AN$17,
'User Dashboard'!AN$18)))),
IF('User Dashboard'!Z$12=4,
IF('SIR Model Patient Calcs'!B12&lt;'User Dashboard'!AJ$15,'User Dashboard'!AN$14,
IF('SIR Model Patient Calcs'!B12&lt;'User Dashboard'!AJ$16,'User Dashboard'!AN$15,
IF('SIR Model Patient Calcs'!B12&lt;'User Dashboard'!AJ$17,'User Dashboard'!AN$16,
'User Dashboard'!AN$17))),
IF('User Dashboard'!Z$12=3,
IF('SIR Model Patient Calcs'!B12&lt;'User Dashboard'!AJ$15,'User Dashboard'!AN$14,
IF('SIR Model Patient Calcs'!B12&lt;'User Dashboard'!AJ$16,'User Dashboard'!AN$15,
'User Dashboard'!AN$16)),
IF('User Dashboard'!Z$12=2,
IF('SIR Model Patient Calcs'!B12&lt;'User Dashboard'!AJ$15,'User Dashboard'!AN$14,
'User Dashboard'!AN$15),
IF('User Dashboard'!Z$12=1,
'User Dashboard'!AN$14)))))</f>
        <v>15.209356603107825</v>
      </c>
      <c r="D12" s="747">
        <f>'User Dashboard'!X$15</f>
        <v>2.2072878851804097E-2</v>
      </c>
      <c r="E12" s="739">
        <f t="shared" si="1"/>
        <v>9.1306104687305738E-8</v>
      </c>
      <c r="F12" s="739">
        <f>AVERAGE(E7:E12)</f>
        <v>9.1306104687305725E-8</v>
      </c>
      <c r="G12" s="749">
        <f>1/'User Dashboard'!X$12</f>
        <v>0.14285714285714285</v>
      </c>
      <c r="H12" s="385">
        <f t="shared" si="2"/>
        <v>3676797.268981026</v>
      </c>
      <c r="I12" s="751">
        <f t="shared" si="5"/>
        <v>1.6971130393819656</v>
      </c>
      <c r="J12" s="752">
        <f t="shared" si="3"/>
        <v>1.0339059342477477</v>
      </c>
      <c r="K12" s="385">
        <f t="shared" si="6"/>
        <v>2.7310189736297135</v>
      </c>
      <c r="L12" s="752">
        <f t="shared" si="7"/>
        <v>1</v>
      </c>
      <c r="N12" s="309">
        <f t="shared" ref="N12:N43" si="8">IF(OR(N11=0,N11=""),"",N11-1)</f>
        <v>23</v>
      </c>
      <c r="O12" s="752">
        <f t="array" ref="O12">IF(N12="","",MAX(IF(A:A=N12,K:K)))</f>
        <v>3235313.707081846</v>
      </c>
    </row>
    <row r="13" spans="1:15" x14ac:dyDescent="0.75">
      <c r="A13" s="309">
        <f t="shared" si="4"/>
        <v>1</v>
      </c>
      <c r="B13" s="310">
        <v>6</v>
      </c>
      <c r="C13" s="746">
        <f>IF('User Dashboard'!Z$12=5,
IF('SIR Model Patient Calcs'!B13&lt;'User Dashboard'!AJ$15,'User Dashboard'!AN$14,
IF('SIR Model Patient Calcs'!B13&lt;'User Dashboard'!AJ$16,'User Dashboard'!AN$15,
IF('SIR Model Patient Calcs'!B13&lt;'User Dashboard'!AJ$17,'User Dashboard'!AN$16,
IF('SIR Model Patient Calcs'!B13&lt;'User Dashboard'!AJ$18,'User Dashboard'!AN$17,
'User Dashboard'!AN$18)))),
IF('User Dashboard'!Z$12=4,
IF('SIR Model Patient Calcs'!B13&lt;'User Dashboard'!AJ$15,'User Dashboard'!AN$14,
IF('SIR Model Patient Calcs'!B13&lt;'User Dashboard'!AJ$16,'User Dashboard'!AN$15,
IF('SIR Model Patient Calcs'!B13&lt;'User Dashboard'!AJ$17,'User Dashboard'!AN$16,
'User Dashboard'!AN$17))),
IF('User Dashboard'!Z$12=3,
IF('SIR Model Patient Calcs'!B13&lt;'User Dashboard'!AJ$15,'User Dashboard'!AN$14,
IF('SIR Model Patient Calcs'!B13&lt;'User Dashboard'!AJ$16,'User Dashboard'!AN$15,
'User Dashboard'!AN$16)),
IF('User Dashboard'!Z$12=2,
IF('SIR Model Patient Calcs'!B13&lt;'User Dashboard'!AJ$15,'User Dashboard'!AN$14,
'User Dashboard'!AN$15),
IF('User Dashboard'!Z$12=1,
'User Dashboard'!AN$14)))))</f>
        <v>15.209356603107825</v>
      </c>
      <c r="D13" s="747">
        <f>'User Dashboard'!X$15</f>
        <v>2.2072878851804097E-2</v>
      </c>
      <c r="E13" s="739">
        <f t="shared" si="1"/>
        <v>9.1306104687305725E-8</v>
      </c>
      <c r="F13" s="739">
        <f>AVERAGE(E7:E13)</f>
        <v>9.1306104687305725E-8</v>
      </c>
      <c r="G13" s="749">
        <f>1/'User Dashboard'!X$12</f>
        <v>0.14285714285714285</v>
      </c>
      <c r="H13" s="385">
        <f t="shared" si="2"/>
        <v>3676796.6992363576</v>
      </c>
      <c r="I13" s="751">
        <f t="shared" si="5"/>
        <v>2.0244129880728643</v>
      </c>
      <c r="J13" s="752">
        <f t="shared" si="3"/>
        <v>1.2763506541594571</v>
      </c>
      <c r="K13" s="385">
        <f t="shared" si="6"/>
        <v>3.3007636422323214</v>
      </c>
      <c r="L13" s="752">
        <f t="shared" si="7"/>
        <v>1</v>
      </c>
      <c r="N13" s="309">
        <f t="shared" si="8"/>
        <v>22</v>
      </c>
      <c r="O13" s="752">
        <f t="array" ref="O13">IF(N13="","",MAX(IF(A:A=N13,K:K)))</f>
        <v>3234957.6097095707</v>
      </c>
    </row>
    <row r="14" spans="1:15" x14ac:dyDescent="0.75">
      <c r="A14" s="309">
        <f t="shared" si="4"/>
        <v>1</v>
      </c>
      <c r="B14" s="310">
        <v>7</v>
      </c>
      <c r="C14" s="746">
        <f>IF('User Dashboard'!Z$12=5,
IF('SIR Model Patient Calcs'!B14&lt;'User Dashboard'!AJ$15,'User Dashboard'!AN$14,
IF('SIR Model Patient Calcs'!B14&lt;'User Dashboard'!AJ$16,'User Dashboard'!AN$15,
IF('SIR Model Patient Calcs'!B14&lt;'User Dashboard'!AJ$17,'User Dashboard'!AN$16,
IF('SIR Model Patient Calcs'!B14&lt;'User Dashboard'!AJ$18,'User Dashboard'!AN$17,
'User Dashboard'!AN$18)))),
IF('User Dashboard'!Z$12=4,
IF('SIR Model Patient Calcs'!B14&lt;'User Dashboard'!AJ$15,'User Dashboard'!AN$14,
IF('SIR Model Patient Calcs'!B14&lt;'User Dashboard'!AJ$16,'User Dashboard'!AN$15,
IF('SIR Model Patient Calcs'!B14&lt;'User Dashboard'!AJ$17,'User Dashboard'!AN$16,
'User Dashboard'!AN$17))),
IF('User Dashboard'!Z$12=3,
IF('SIR Model Patient Calcs'!B14&lt;'User Dashboard'!AJ$15,'User Dashboard'!AN$14,
IF('SIR Model Patient Calcs'!B14&lt;'User Dashboard'!AJ$16,'User Dashboard'!AN$15,
'User Dashboard'!AN$16)),
IF('User Dashboard'!Z$12=2,
IF('SIR Model Patient Calcs'!B14&lt;'User Dashboard'!AJ$15,'User Dashboard'!AN$14,
'User Dashboard'!AN$15),
IF('User Dashboard'!Z$12=1,
'User Dashboard'!AN$14)))))</f>
        <v>15.209356603107825</v>
      </c>
      <c r="D14" s="747">
        <f>'User Dashboard'!X$15</f>
        <v>2.2072878851804097E-2</v>
      </c>
      <c r="E14" s="739">
        <f t="shared" si="1"/>
        <v>9.1306104687305738E-8</v>
      </c>
      <c r="F14" s="739">
        <f>AVERAGE(E7:E14)</f>
        <v>9.1306104687305725E-8</v>
      </c>
      <c r="G14" s="749">
        <f>1/'User Dashboard'!X$12</f>
        <v>0.14285714285714285</v>
      </c>
      <c r="H14" s="385">
        <f t="shared" si="2"/>
        <v>3676796.0196126075</v>
      </c>
      <c r="I14" s="751">
        <f t="shared" si="5"/>
        <v>2.4148348827981634</v>
      </c>
      <c r="J14" s="752">
        <f t="shared" si="3"/>
        <v>1.5655525095984377</v>
      </c>
      <c r="K14" s="385">
        <f t="shared" si="6"/>
        <v>3.9803873923966009</v>
      </c>
      <c r="L14" s="752">
        <f t="shared" si="7"/>
        <v>1</v>
      </c>
      <c r="N14" s="309">
        <f t="shared" si="8"/>
        <v>21</v>
      </c>
      <c r="O14" s="752">
        <f t="array" ref="O14">IF(N14="","",MAX(IF(A:A=N14,K:K)))</f>
        <v>3234197.444774502</v>
      </c>
    </row>
    <row r="15" spans="1:15" x14ac:dyDescent="0.75">
      <c r="A15" s="309">
        <f t="shared" si="4"/>
        <v>2</v>
      </c>
      <c r="B15" s="310">
        <v>8</v>
      </c>
      <c r="C15" s="746">
        <f>IF('User Dashboard'!Z$12=5,
IF('SIR Model Patient Calcs'!B15&lt;'User Dashboard'!AJ$15,'User Dashboard'!AN$14,
IF('SIR Model Patient Calcs'!B15&lt;'User Dashboard'!AJ$16,'User Dashboard'!AN$15,
IF('SIR Model Patient Calcs'!B15&lt;'User Dashboard'!AJ$17,'User Dashboard'!AN$16,
IF('SIR Model Patient Calcs'!B15&lt;'User Dashboard'!AJ$18,'User Dashboard'!AN$17,
'User Dashboard'!AN$18)))),
IF('User Dashboard'!Z$12=4,
IF('SIR Model Patient Calcs'!B15&lt;'User Dashboard'!AJ$15,'User Dashboard'!AN$14,
IF('SIR Model Patient Calcs'!B15&lt;'User Dashboard'!AJ$16,'User Dashboard'!AN$15,
IF('SIR Model Patient Calcs'!B15&lt;'User Dashboard'!AJ$17,'User Dashboard'!AN$16,
'User Dashboard'!AN$17))),
IF('User Dashboard'!Z$12=3,
IF('SIR Model Patient Calcs'!B15&lt;'User Dashboard'!AJ$15,'User Dashboard'!AN$14,
IF('SIR Model Patient Calcs'!B15&lt;'User Dashboard'!AJ$16,'User Dashboard'!AN$15,
'User Dashboard'!AN$16)),
IF('User Dashboard'!Z$12=2,
IF('SIR Model Patient Calcs'!B15&lt;'User Dashboard'!AJ$15,'User Dashboard'!AN$14,
'User Dashboard'!AN$15),
IF('User Dashboard'!Z$12=1,
'User Dashboard'!AN$14)))))</f>
        <v>15.209356603107825</v>
      </c>
      <c r="D15" s="747">
        <f>'User Dashboard'!X$15</f>
        <v>2.2072878851804097E-2</v>
      </c>
      <c r="E15" s="739">
        <f t="shared" si="1"/>
        <v>9.1306104687305725E-8</v>
      </c>
      <c r="F15" s="739">
        <f>AVERAGE(E7:E15)</f>
        <v>9.1306104687305725E-8</v>
      </c>
      <c r="G15" s="749">
        <f>1/'User Dashboard'!X$12</f>
        <v>0.14285714285714285</v>
      </c>
      <c r="H15" s="385">
        <f t="shared" si="2"/>
        <v>3676795.2089189175</v>
      </c>
      <c r="I15" s="751">
        <f t="shared" si="5"/>
        <v>2.8805521611340819</v>
      </c>
      <c r="J15" s="752">
        <f t="shared" si="3"/>
        <v>1.9105289214267467</v>
      </c>
      <c r="K15" s="385">
        <f t="shared" si="6"/>
        <v>4.7910810825608285</v>
      </c>
      <c r="L15" s="752">
        <f t="shared" si="7"/>
        <v>1</v>
      </c>
      <c r="N15" s="309">
        <f t="shared" si="8"/>
        <v>20</v>
      </c>
      <c r="O15" s="752">
        <f t="array" ref="O15">IF(N15="","",MAX(IF(A:A=N15,K:K)))</f>
        <v>3232573.3421093212</v>
      </c>
    </row>
    <row r="16" spans="1:15" x14ac:dyDescent="0.75">
      <c r="A16" s="309">
        <f t="shared" si="4"/>
        <v>2</v>
      </c>
      <c r="B16" s="310">
        <v>9</v>
      </c>
      <c r="C16" s="746">
        <f>IF('User Dashboard'!Z$12=5,
IF('SIR Model Patient Calcs'!B16&lt;'User Dashboard'!AJ$15,'User Dashboard'!AN$14,
IF('SIR Model Patient Calcs'!B16&lt;'User Dashboard'!AJ$16,'User Dashboard'!AN$15,
IF('SIR Model Patient Calcs'!B16&lt;'User Dashboard'!AJ$17,'User Dashboard'!AN$16,
IF('SIR Model Patient Calcs'!B16&lt;'User Dashboard'!AJ$18,'User Dashboard'!AN$17,
'User Dashboard'!AN$18)))),
IF('User Dashboard'!Z$12=4,
IF('SIR Model Patient Calcs'!B16&lt;'User Dashboard'!AJ$15,'User Dashboard'!AN$14,
IF('SIR Model Patient Calcs'!B16&lt;'User Dashboard'!AJ$16,'User Dashboard'!AN$15,
IF('SIR Model Patient Calcs'!B16&lt;'User Dashboard'!AJ$17,'User Dashboard'!AN$16,
'User Dashboard'!AN$17))),
IF('User Dashboard'!Z$12=3,
IF('SIR Model Patient Calcs'!B16&lt;'User Dashboard'!AJ$15,'User Dashboard'!AN$14,
IF('SIR Model Patient Calcs'!B16&lt;'User Dashboard'!AJ$16,'User Dashboard'!AN$15,
'User Dashboard'!AN$16)),
IF('User Dashboard'!Z$12=2,
IF('SIR Model Patient Calcs'!B16&lt;'User Dashboard'!AJ$15,'User Dashboard'!AN$14,
'User Dashboard'!AN$15),
IF('User Dashboard'!Z$12=1,
'User Dashboard'!AN$14)))))</f>
        <v>15.209356603107825</v>
      </c>
      <c r="D16" s="747">
        <f>'User Dashboard'!X$15</f>
        <v>2.2072878851804097E-2</v>
      </c>
      <c r="E16" s="739">
        <f t="shared" si="1"/>
        <v>9.1306104687305725E-8</v>
      </c>
      <c r="F16" s="739">
        <f t="shared" ref="F16:F79" si="9">AVERAGE(E7:E16)</f>
        <v>9.1306104687305725E-8</v>
      </c>
      <c r="G16" s="749">
        <f>1/'User Dashboard'!X$12</f>
        <v>0.14285714285714285</v>
      </c>
      <c r="H16" s="385">
        <f t="shared" si="2"/>
        <v>3676794.2418776662</v>
      </c>
      <c r="I16" s="751">
        <f t="shared" si="5"/>
        <v>3.4360859606695646</v>
      </c>
      <c r="J16" s="752">
        <f t="shared" si="3"/>
        <v>2.3220363730173297</v>
      </c>
      <c r="K16" s="385">
        <f t="shared" si="6"/>
        <v>5.7581223336868943</v>
      </c>
      <c r="L16" s="752">
        <f t="shared" si="7"/>
        <v>1</v>
      </c>
      <c r="N16" s="309">
        <f t="shared" si="8"/>
        <v>19</v>
      </c>
      <c r="O16" s="752">
        <f t="array" ref="O16">IF(N16="","",MAX(IF(A:A=N16,K:K)))</f>
        <v>3229097.2111881669</v>
      </c>
    </row>
    <row r="17" spans="1:15" x14ac:dyDescent="0.75">
      <c r="A17" s="309">
        <f t="shared" si="4"/>
        <v>2</v>
      </c>
      <c r="B17" s="310">
        <v>10</v>
      </c>
      <c r="C17" s="746">
        <f>IF('User Dashboard'!Z$12=5,
IF('SIR Model Patient Calcs'!B17&lt;'User Dashboard'!AJ$15,'User Dashboard'!AN$14,
IF('SIR Model Patient Calcs'!B17&lt;'User Dashboard'!AJ$16,'User Dashboard'!AN$15,
IF('SIR Model Patient Calcs'!B17&lt;'User Dashboard'!AJ$17,'User Dashboard'!AN$16,
IF('SIR Model Patient Calcs'!B17&lt;'User Dashboard'!AJ$18,'User Dashboard'!AN$17,
'User Dashboard'!AN$18)))),
IF('User Dashboard'!Z$12=4,
IF('SIR Model Patient Calcs'!B17&lt;'User Dashboard'!AJ$15,'User Dashboard'!AN$14,
IF('SIR Model Patient Calcs'!B17&lt;'User Dashboard'!AJ$16,'User Dashboard'!AN$15,
IF('SIR Model Patient Calcs'!B17&lt;'User Dashboard'!AJ$17,'User Dashboard'!AN$16,
'User Dashboard'!AN$17))),
IF('User Dashboard'!Z$12=3,
IF('SIR Model Patient Calcs'!B17&lt;'User Dashboard'!AJ$15,'User Dashboard'!AN$14,
IF('SIR Model Patient Calcs'!B17&lt;'User Dashboard'!AJ$16,'User Dashboard'!AN$15,
'User Dashboard'!AN$16)),
IF('User Dashboard'!Z$12=2,
IF('SIR Model Patient Calcs'!B17&lt;'User Dashboard'!AJ$15,'User Dashboard'!AN$14,
'User Dashboard'!AN$15),
IF('User Dashboard'!Z$12=1,
'User Dashboard'!AN$14)))))</f>
        <v>15.209356603107825</v>
      </c>
      <c r="D17" s="747">
        <f>'User Dashboard'!X$15</f>
        <v>2.2072878851804097E-2</v>
      </c>
      <c r="E17" s="739">
        <f t="shared" si="1"/>
        <v>9.1306104687305725E-8</v>
      </c>
      <c r="F17" s="739">
        <f t="shared" si="9"/>
        <v>9.1306104687305725E-8</v>
      </c>
      <c r="G17" s="749">
        <f>1/'User Dashboard'!X$12</f>
        <v>0.14285714285714285</v>
      </c>
      <c r="H17" s="385">
        <f t="shared" si="2"/>
        <v>3676793.088336329</v>
      </c>
      <c r="I17" s="751">
        <f t="shared" si="5"/>
        <v>4.098757875127732</v>
      </c>
      <c r="J17" s="752">
        <f t="shared" si="3"/>
        <v>2.8129057959701247</v>
      </c>
      <c r="K17" s="385">
        <f t="shared" si="6"/>
        <v>6.9116636710978572</v>
      </c>
      <c r="L17" s="752">
        <f t="shared" si="7"/>
        <v>2</v>
      </c>
      <c r="N17" s="309">
        <f t="shared" si="8"/>
        <v>18</v>
      </c>
      <c r="O17" s="752">
        <f t="array" ref="O17">IF(N17="","",MAX(IF(A:A=N17,K:K)))</f>
        <v>3221629.0514146048</v>
      </c>
    </row>
    <row r="18" spans="1:15" x14ac:dyDescent="0.75">
      <c r="A18" s="309">
        <f t="shared" si="4"/>
        <v>2</v>
      </c>
      <c r="B18" s="310">
        <v>11</v>
      </c>
      <c r="C18" s="746">
        <f>IF('User Dashboard'!Z$12=5,
IF('SIR Model Patient Calcs'!B18&lt;'User Dashboard'!AJ$15,'User Dashboard'!AN$14,
IF('SIR Model Patient Calcs'!B18&lt;'User Dashboard'!AJ$16,'User Dashboard'!AN$15,
IF('SIR Model Patient Calcs'!B18&lt;'User Dashboard'!AJ$17,'User Dashboard'!AN$16,
IF('SIR Model Patient Calcs'!B18&lt;'User Dashboard'!AJ$18,'User Dashboard'!AN$17,
'User Dashboard'!AN$18)))),
IF('User Dashboard'!Z$12=4,
IF('SIR Model Patient Calcs'!B18&lt;'User Dashboard'!AJ$15,'User Dashboard'!AN$14,
IF('SIR Model Patient Calcs'!B18&lt;'User Dashboard'!AJ$16,'User Dashboard'!AN$15,
IF('SIR Model Patient Calcs'!B18&lt;'User Dashboard'!AJ$17,'User Dashboard'!AN$16,
'User Dashboard'!AN$17))),
IF('User Dashboard'!Z$12=3,
IF('SIR Model Patient Calcs'!B18&lt;'User Dashboard'!AJ$15,'User Dashboard'!AN$14,
IF('SIR Model Patient Calcs'!B18&lt;'User Dashboard'!AJ$16,'User Dashboard'!AN$15,
'User Dashboard'!AN$16)),
IF('User Dashboard'!Z$12=2,
IF('SIR Model Patient Calcs'!B18&lt;'User Dashboard'!AJ$15,'User Dashboard'!AN$14,
'User Dashboard'!AN$15),
IF('User Dashboard'!Z$12=1,
'User Dashboard'!AN$14)))))</f>
        <v>15.209356603107825</v>
      </c>
      <c r="D18" s="747">
        <f>'User Dashboard'!X$15</f>
        <v>2.2072878851804097E-2</v>
      </c>
      <c r="E18" s="739">
        <f t="shared" si="1"/>
        <v>9.1306104687305712E-8</v>
      </c>
      <c r="F18" s="739">
        <f t="shared" si="9"/>
        <v>9.1306104687305725E-8</v>
      </c>
      <c r="G18" s="749">
        <f>1/'User Dashboard'!X$12</f>
        <v>0.14285714285714285</v>
      </c>
      <c r="H18" s="385">
        <f t="shared" si="2"/>
        <v>3676791.7123273434</v>
      </c>
      <c r="I18" s="751">
        <f t="shared" si="5"/>
        <v>4.8892300215559015</v>
      </c>
      <c r="J18" s="752">
        <f t="shared" si="3"/>
        <v>3.3984426352740864</v>
      </c>
      <c r="K18" s="385">
        <f t="shared" si="6"/>
        <v>8.2876726568299883</v>
      </c>
      <c r="L18" s="752">
        <f t="shared" si="7"/>
        <v>2</v>
      </c>
      <c r="N18" s="309">
        <f t="shared" si="8"/>
        <v>17</v>
      </c>
      <c r="O18" s="752">
        <f t="array" ref="O18">IF(N18="","",MAX(IF(A:A=N18,K:K)))</f>
        <v>3205458.8497772124</v>
      </c>
    </row>
    <row r="19" spans="1:15" x14ac:dyDescent="0.75">
      <c r="A19" s="309">
        <f t="shared" si="4"/>
        <v>2</v>
      </c>
      <c r="B19" s="310">
        <v>12</v>
      </c>
      <c r="C19" s="746">
        <f>IF('User Dashboard'!Z$12=5,
IF('SIR Model Patient Calcs'!B19&lt;'User Dashboard'!AJ$15,'User Dashboard'!AN$14,
IF('SIR Model Patient Calcs'!B19&lt;'User Dashboard'!AJ$16,'User Dashboard'!AN$15,
IF('SIR Model Patient Calcs'!B19&lt;'User Dashboard'!AJ$17,'User Dashboard'!AN$16,
IF('SIR Model Patient Calcs'!B19&lt;'User Dashboard'!AJ$18,'User Dashboard'!AN$17,
'User Dashboard'!AN$18)))),
IF('User Dashboard'!Z$12=4,
IF('SIR Model Patient Calcs'!B19&lt;'User Dashboard'!AJ$15,'User Dashboard'!AN$14,
IF('SIR Model Patient Calcs'!B19&lt;'User Dashboard'!AJ$16,'User Dashboard'!AN$15,
IF('SIR Model Patient Calcs'!B19&lt;'User Dashboard'!AJ$17,'User Dashboard'!AN$16,
'User Dashboard'!AN$17))),
IF('User Dashboard'!Z$12=3,
IF('SIR Model Patient Calcs'!B19&lt;'User Dashboard'!AJ$15,'User Dashboard'!AN$14,
IF('SIR Model Patient Calcs'!B19&lt;'User Dashboard'!AJ$16,'User Dashboard'!AN$15,
'User Dashboard'!AN$16)),
IF('User Dashboard'!Z$12=2,
IF('SIR Model Patient Calcs'!B19&lt;'User Dashboard'!AJ$15,'User Dashboard'!AN$14,
'User Dashboard'!AN$15),
IF('User Dashboard'!Z$12=1,
'User Dashboard'!AN$14)))))</f>
        <v>15.209356603107825</v>
      </c>
      <c r="D19" s="747">
        <f>'User Dashboard'!X$15</f>
        <v>2.2072878851804097E-2</v>
      </c>
      <c r="E19" s="739">
        <f t="shared" si="1"/>
        <v>9.1306104687305712E-8</v>
      </c>
      <c r="F19" s="739">
        <f t="shared" si="9"/>
        <v>9.1306104687305725E-8</v>
      </c>
      <c r="G19" s="749">
        <f>1/'User Dashboard'!X$12</f>
        <v>0.14285714285714285</v>
      </c>
      <c r="H19" s="385">
        <f t="shared" si="2"/>
        <v>3676790.070946679</v>
      </c>
      <c r="I19" s="751">
        <f t="shared" si="5"/>
        <v>5.8321492545303197</v>
      </c>
      <c r="J19" s="752">
        <f t="shared" si="3"/>
        <v>4.0969040669249299</v>
      </c>
      <c r="K19" s="385">
        <f t="shared" si="6"/>
        <v>9.9290533214552497</v>
      </c>
      <c r="L19" s="752">
        <f t="shared" si="7"/>
        <v>2</v>
      </c>
      <c r="N19" s="309">
        <f t="shared" si="8"/>
        <v>16</v>
      </c>
      <c r="O19" s="752">
        <f t="array" ref="O19">IF(N19="","",MAX(IF(A:A=N19,K:K)))</f>
        <v>3169898.3537163008</v>
      </c>
    </row>
    <row r="20" spans="1:15" x14ac:dyDescent="0.75">
      <c r="A20" s="309">
        <f t="shared" si="4"/>
        <v>2</v>
      </c>
      <c r="B20" s="310">
        <v>13</v>
      </c>
      <c r="C20" s="746">
        <f>IF('User Dashboard'!Z$12=5,
IF('SIR Model Patient Calcs'!B20&lt;'User Dashboard'!AJ$15,'User Dashboard'!AN$14,
IF('SIR Model Patient Calcs'!B20&lt;'User Dashboard'!AJ$16,'User Dashboard'!AN$15,
IF('SIR Model Patient Calcs'!B20&lt;'User Dashboard'!AJ$17,'User Dashboard'!AN$16,
IF('SIR Model Patient Calcs'!B20&lt;'User Dashboard'!AJ$18,'User Dashboard'!AN$17,
'User Dashboard'!AN$18)))),
IF('User Dashboard'!Z$12=4,
IF('SIR Model Patient Calcs'!B20&lt;'User Dashboard'!AJ$15,'User Dashboard'!AN$14,
IF('SIR Model Patient Calcs'!B20&lt;'User Dashboard'!AJ$16,'User Dashboard'!AN$15,
IF('SIR Model Patient Calcs'!B20&lt;'User Dashboard'!AJ$17,'User Dashboard'!AN$16,
'User Dashboard'!AN$17))),
IF('User Dashboard'!Z$12=3,
IF('SIR Model Patient Calcs'!B20&lt;'User Dashboard'!AJ$15,'User Dashboard'!AN$14,
IF('SIR Model Patient Calcs'!B20&lt;'User Dashboard'!AJ$16,'User Dashboard'!AN$15,
'User Dashboard'!AN$16)),
IF('User Dashboard'!Z$12=2,
IF('SIR Model Patient Calcs'!B20&lt;'User Dashboard'!AJ$15,'User Dashboard'!AN$14,
'User Dashboard'!AN$15),
IF('User Dashboard'!Z$12=1,
'User Dashboard'!AN$14)))))</f>
        <v>15.209356603107825</v>
      </c>
      <c r="D20" s="747">
        <f>'User Dashboard'!X$15</f>
        <v>2.2072878851804097E-2</v>
      </c>
      <c r="E20" s="739">
        <f t="shared" si="1"/>
        <v>9.1306104687305712E-8</v>
      </c>
      <c r="F20" s="739">
        <f t="shared" si="9"/>
        <v>9.1306104687305725E-8</v>
      </c>
      <c r="G20" s="749">
        <f>1/'User Dashboard'!X$12</f>
        <v>0.14285714285714285</v>
      </c>
      <c r="H20" s="385">
        <f t="shared" si="2"/>
        <v>3676788.1130161453</v>
      </c>
      <c r="I20" s="751">
        <f t="shared" si="5"/>
        <v>6.9569156091470239</v>
      </c>
      <c r="J20" s="752">
        <f t="shared" si="3"/>
        <v>4.9300682461435468</v>
      </c>
      <c r="K20" s="385">
        <f t="shared" si="6"/>
        <v>11.88698385529057</v>
      </c>
      <c r="L20" s="752">
        <f t="shared" si="7"/>
        <v>2</v>
      </c>
      <c r="N20" s="309">
        <f t="shared" si="8"/>
        <v>15</v>
      </c>
      <c r="O20" s="752">
        <f t="array" ref="O20">IF(N20="","",MAX(IF(A:A=N20,K:K)))</f>
        <v>3089454.2812629873</v>
      </c>
    </row>
    <row r="21" spans="1:15" x14ac:dyDescent="0.75">
      <c r="A21" s="309">
        <f t="shared" si="4"/>
        <v>2</v>
      </c>
      <c r="B21" s="310">
        <v>14</v>
      </c>
      <c r="C21" s="746">
        <f>IF('User Dashboard'!Z$12=5,
IF('SIR Model Patient Calcs'!B21&lt;'User Dashboard'!AJ$15,'User Dashboard'!AN$14,
IF('SIR Model Patient Calcs'!B21&lt;'User Dashboard'!AJ$16,'User Dashboard'!AN$15,
IF('SIR Model Patient Calcs'!B21&lt;'User Dashboard'!AJ$17,'User Dashboard'!AN$16,
IF('SIR Model Patient Calcs'!B21&lt;'User Dashboard'!AJ$18,'User Dashboard'!AN$17,
'User Dashboard'!AN$18)))),
IF('User Dashboard'!Z$12=4,
IF('SIR Model Patient Calcs'!B21&lt;'User Dashboard'!AJ$15,'User Dashboard'!AN$14,
IF('SIR Model Patient Calcs'!B21&lt;'User Dashboard'!AJ$16,'User Dashboard'!AN$15,
IF('SIR Model Patient Calcs'!B21&lt;'User Dashboard'!AJ$17,'User Dashboard'!AN$16,
'User Dashboard'!AN$17))),
IF('User Dashboard'!Z$12=3,
IF('SIR Model Patient Calcs'!B21&lt;'User Dashboard'!AJ$15,'User Dashboard'!AN$14,
IF('SIR Model Patient Calcs'!B21&lt;'User Dashboard'!AJ$16,'User Dashboard'!AN$15,
'User Dashboard'!AN$16)),
IF('User Dashboard'!Z$12=2,
IF('SIR Model Patient Calcs'!B21&lt;'User Dashboard'!AJ$15,'User Dashboard'!AN$14,
'User Dashboard'!AN$15),
IF('User Dashboard'!Z$12=1,
'User Dashboard'!AN$14)))))</f>
        <v>15.209356603107825</v>
      </c>
      <c r="D21" s="747">
        <f>'User Dashboard'!X$15</f>
        <v>2.2072878851804097E-2</v>
      </c>
      <c r="E21" s="739">
        <f t="shared" si="1"/>
        <v>9.1306104687305712E-8</v>
      </c>
      <c r="F21" s="739">
        <f t="shared" si="9"/>
        <v>9.1306104687305725E-8</v>
      </c>
      <c r="G21" s="749">
        <f>1/'User Dashboard'!X$12</f>
        <v>0.14285714285714285</v>
      </c>
      <c r="H21" s="385">
        <f t="shared" si="2"/>
        <v>3676785.7774877413</v>
      </c>
      <c r="I21" s="751">
        <f t="shared" si="5"/>
        <v>8.2985989259078572</v>
      </c>
      <c r="J21" s="752">
        <f t="shared" si="3"/>
        <v>5.9239133331645499</v>
      </c>
      <c r="K21" s="385">
        <f t="shared" si="6"/>
        <v>14.222512259072406</v>
      </c>
      <c r="L21" s="752">
        <f t="shared" si="7"/>
        <v>3</v>
      </c>
      <c r="N21" s="309">
        <f t="shared" si="8"/>
        <v>14</v>
      </c>
      <c r="O21" s="752">
        <f t="array" ref="O21">IF(N21="","",MAX(IF(A:A=N21,K:K)))</f>
        <v>2900307.4980630679</v>
      </c>
    </row>
    <row r="22" spans="1:15" x14ac:dyDescent="0.75">
      <c r="A22" s="309">
        <f t="shared" si="4"/>
        <v>3</v>
      </c>
      <c r="B22" s="310">
        <v>15</v>
      </c>
      <c r="C22" s="746">
        <f>IF('User Dashboard'!Z$12=5,
IF('SIR Model Patient Calcs'!B22&lt;'User Dashboard'!AJ$15,'User Dashboard'!AN$14,
IF('SIR Model Patient Calcs'!B22&lt;'User Dashboard'!AJ$16,'User Dashboard'!AN$15,
IF('SIR Model Patient Calcs'!B22&lt;'User Dashboard'!AJ$17,'User Dashboard'!AN$16,
IF('SIR Model Patient Calcs'!B22&lt;'User Dashboard'!AJ$18,'User Dashboard'!AN$17,
'User Dashboard'!AN$18)))),
IF('User Dashboard'!Z$12=4,
IF('SIR Model Patient Calcs'!B22&lt;'User Dashboard'!AJ$15,'User Dashboard'!AN$14,
IF('SIR Model Patient Calcs'!B22&lt;'User Dashboard'!AJ$16,'User Dashboard'!AN$15,
IF('SIR Model Patient Calcs'!B22&lt;'User Dashboard'!AJ$17,'User Dashboard'!AN$16,
'User Dashboard'!AN$17))),
IF('User Dashboard'!Z$12=3,
IF('SIR Model Patient Calcs'!B22&lt;'User Dashboard'!AJ$15,'User Dashboard'!AN$14,
IF('SIR Model Patient Calcs'!B22&lt;'User Dashboard'!AJ$16,'User Dashboard'!AN$15,
'User Dashboard'!AN$16)),
IF('User Dashboard'!Z$12=2,
IF('SIR Model Patient Calcs'!B22&lt;'User Dashboard'!AJ$15,'User Dashboard'!AN$14,
'User Dashboard'!AN$15),
IF('User Dashboard'!Z$12=1,
'User Dashboard'!AN$14)))))</f>
        <v>15.209356603107825</v>
      </c>
      <c r="D22" s="747">
        <f>'User Dashboard'!X$15</f>
        <v>2.2072878851804097E-2</v>
      </c>
      <c r="E22" s="739">
        <f t="shared" si="1"/>
        <v>9.1306104687305712E-8</v>
      </c>
      <c r="F22" s="739">
        <f t="shared" si="9"/>
        <v>9.1306104687305712E-8</v>
      </c>
      <c r="G22" s="749">
        <f>1/'User Dashboard'!X$12</f>
        <v>0.14285714285714285</v>
      </c>
      <c r="H22" s="385">
        <f t="shared" si="2"/>
        <v>3676782.9915403072</v>
      </c>
      <c r="I22" s="751">
        <f t="shared" si="5"/>
        <v>9.8990322278970346</v>
      </c>
      <c r="J22" s="752">
        <f t="shared" si="3"/>
        <v>7.1094274654371006</v>
      </c>
      <c r="K22" s="385">
        <f t="shared" si="6"/>
        <v>17.008459693334135</v>
      </c>
      <c r="L22" s="752">
        <f t="shared" si="7"/>
        <v>3</v>
      </c>
      <c r="N22" s="309">
        <f t="shared" si="8"/>
        <v>13</v>
      </c>
      <c r="O22" s="752">
        <f t="array" ref="O22">IF(N22="","",MAX(IF(A:A=N22,K:K)))</f>
        <v>2456760.2790556196</v>
      </c>
    </row>
    <row r="23" spans="1:15" x14ac:dyDescent="0.75">
      <c r="A23" s="309">
        <f t="shared" si="4"/>
        <v>3</v>
      </c>
      <c r="B23" s="310">
        <v>16</v>
      </c>
      <c r="C23" s="746">
        <f>IF('User Dashboard'!Z$12=5,
IF('SIR Model Patient Calcs'!B23&lt;'User Dashboard'!AJ$15,'User Dashboard'!AN$14,
IF('SIR Model Patient Calcs'!B23&lt;'User Dashboard'!AJ$16,'User Dashboard'!AN$15,
IF('SIR Model Patient Calcs'!B23&lt;'User Dashboard'!AJ$17,'User Dashboard'!AN$16,
IF('SIR Model Patient Calcs'!B23&lt;'User Dashboard'!AJ$18,'User Dashboard'!AN$17,
'User Dashboard'!AN$18)))),
IF('User Dashboard'!Z$12=4,
IF('SIR Model Patient Calcs'!B23&lt;'User Dashboard'!AJ$15,'User Dashboard'!AN$14,
IF('SIR Model Patient Calcs'!B23&lt;'User Dashboard'!AJ$16,'User Dashboard'!AN$15,
IF('SIR Model Patient Calcs'!B23&lt;'User Dashboard'!AJ$17,'User Dashboard'!AN$16,
'User Dashboard'!AN$17))),
IF('User Dashboard'!Z$12=3,
IF('SIR Model Patient Calcs'!B23&lt;'User Dashboard'!AJ$15,'User Dashboard'!AN$14,
IF('SIR Model Patient Calcs'!B23&lt;'User Dashboard'!AJ$16,'User Dashboard'!AN$15,
'User Dashboard'!AN$16)),
IF('User Dashboard'!Z$12=2,
IF('SIR Model Patient Calcs'!B23&lt;'User Dashboard'!AJ$15,'User Dashboard'!AN$14,
'User Dashboard'!AN$15),
IF('User Dashboard'!Z$12=1,
'User Dashboard'!AN$14)))))</f>
        <v>15.209356603107825</v>
      </c>
      <c r="D23" s="747">
        <f>'User Dashboard'!X$15</f>
        <v>2.2072878851804097E-2</v>
      </c>
      <c r="E23" s="739">
        <f t="shared" si="1"/>
        <v>9.1306104687305712E-8</v>
      </c>
      <c r="F23" s="739">
        <f t="shared" si="9"/>
        <v>9.1306104687305712E-8</v>
      </c>
      <c r="G23" s="749">
        <f>1/'User Dashboard'!X$12</f>
        <v>0.14285714285714285</v>
      </c>
      <c r="H23" s="385">
        <f t="shared" si="2"/>
        <v>3676779.6683091465</v>
      </c>
      <c r="I23" s="751">
        <f t="shared" si="5"/>
        <v>11.808115927458568</v>
      </c>
      <c r="J23" s="752">
        <f t="shared" si="3"/>
        <v>8.5235749265652476</v>
      </c>
      <c r="K23" s="385">
        <f t="shared" si="6"/>
        <v>20.331690854023815</v>
      </c>
      <c r="L23" s="752">
        <f t="shared" si="7"/>
        <v>4</v>
      </c>
      <c r="N23" s="309">
        <f t="shared" si="8"/>
        <v>12</v>
      </c>
      <c r="O23" s="752">
        <f t="array" ref="O23">IF(N23="","",MAX(IF(A:A=N23,K:K)))</f>
        <v>1623815.1884616646</v>
      </c>
    </row>
    <row r="24" spans="1:15" x14ac:dyDescent="0.75">
      <c r="A24" s="309">
        <f t="shared" si="4"/>
        <v>3</v>
      </c>
      <c r="B24" s="310">
        <v>17</v>
      </c>
      <c r="C24" s="746">
        <f>IF('User Dashboard'!Z$12=5,
IF('SIR Model Patient Calcs'!B24&lt;'User Dashboard'!AJ$15,'User Dashboard'!AN$14,
IF('SIR Model Patient Calcs'!B24&lt;'User Dashboard'!AJ$16,'User Dashboard'!AN$15,
IF('SIR Model Patient Calcs'!B24&lt;'User Dashboard'!AJ$17,'User Dashboard'!AN$16,
IF('SIR Model Patient Calcs'!B24&lt;'User Dashboard'!AJ$18,'User Dashboard'!AN$17,
'User Dashboard'!AN$18)))),
IF('User Dashboard'!Z$12=4,
IF('SIR Model Patient Calcs'!B24&lt;'User Dashboard'!AJ$15,'User Dashboard'!AN$14,
IF('SIR Model Patient Calcs'!B24&lt;'User Dashboard'!AJ$16,'User Dashboard'!AN$15,
IF('SIR Model Patient Calcs'!B24&lt;'User Dashboard'!AJ$17,'User Dashboard'!AN$16,
'User Dashboard'!AN$17))),
IF('User Dashboard'!Z$12=3,
IF('SIR Model Patient Calcs'!B24&lt;'User Dashboard'!AJ$15,'User Dashboard'!AN$14,
IF('SIR Model Patient Calcs'!B24&lt;'User Dashboard'!AJ$16,'User Dashboard'!AN$15,
'User Dashboard'!AN$16)),
IF('User Dashboard'!Z$12=2,
IF('SIR Model Patient Calcs'!B24&lt;'User Dashboard'!AJ$15,'User Dashboard'!AN$14,
'User Dashboard'!AN$15),
IF('User Dashboard'!Z$12=1,
'User Dashboard'!AN$14)))))</f>
        <v>15.209356603107825</v>
      </c>
      <c r="D24" s="747">
        <f>'User Dashboard'!X$15</f>
        <v>2.2072878851804097E-2</v>
      </c>
      <c r="E24" s="739">
        <f t="shared" si="1"/>
        <v>9.1306104687305712E-8</v>
      </c>
      <c r="F24" s="739">
        <f t="shared" si="9"/>
        <v>9.1306104687305712E-8</v>
      </c>
      <c r="G24" s="749">
        <f>1/'User Dashboard'!X$12</f>
        <v>0.14285714285714285</v>
      </c>
      <c r="H24" s="385">
        <f t="shared" si="2"/>
        <v>3676775.704177863</v>
      </c>
      <c r="I24" s="751">
        <f t="shared" si="5"/>
        <v>14.085373507079256</v>
      </c>
      <c r="J24" s="752">
        <f t="shared" si="3"/>
        <v>10.2104486304879</v>
      </c>
      <c r="K24" s="385">
        <f t="shared" si="6"/>
        <v>24.295822137567157</v>
      </c>
      <c r="L24" s="752">
        <f t="shared" si="7"/>
        <v>4</v>
      </c>
      <c r="N24" s="309">
        <f t="shared" si="8"/>
        <v>11</v>
      </c>
      <c r="O24" s="752">
        <f t="array" ref="O24">IF(N24="","",MAX(IF(A:A=N24,K:K)))</f>
        <v>743683.6192300187</v>
      </c>
    </row>
    <row r="25" spans="1:15" x14ac:dyDescent="0.75">
      <c r="A25" s="309">
        <f t="shared" si="4"/>
        <v>3</v>
      </c>
      <c r="B25" s="310">
        <v>18</v>
      </c>
      <c r="C25" s="746">
        <f>IF('User Dashboard'!Z$12=5,
IF('SIR Model Patient Calcs'!B25&lt;'User Dashboard'!AJ$15,'User Dashboard'!AN$14,
IF('SIR Model Patient Calcs'!B25&lt;'User Dashboard'!AJ$16,'User Dashboard'!AN$15,
IF('SIR Model Patient Calcs'!B25&lt;'User Dashboard'!AJ$17,'User Dashboard'!AN$16,
IF('SIR Model Patient Calcs'!B25&lt;'User Dashboard'!AJ$18,'User Dashboard'!AN$17,
'User Dashboard'!AN$18)))),
IF('User Dashboard'!Z$12=4,
IF('SIR Model Patient Calcs'!B25&lt;'User Dashboard'!AJ$15,'User Dashboard'!AN$14,
IF('SIR Model Patient Calcs'!B25&lt;'User Dashboard'!AJ$16,'User Dashboard'!AN$15,
IF('SIR Model Patient Calcs'!B25&lt;'User Dashboard'!AJ$17,'User Dashboard'!AN$16,
'User Dashboard'!AN$17))),
IF('User Dashboard'!Z$12=3,
IF('SIR Model Patient Calcs'!B25&lt;'User Dashboard'!AJ$15,'User Dashboard'!AN$14,
IF('SIR Model Patient Calcs'!B25&lt;'User Dashboard'!AJ$16,'User Dashboard'!AN$15,
'User Dashboard'!AN$16)),
IF('User Dashboard'!Z$12=2,
IF('SIR Model Patient Calcs'!B25&lt;'User Dashboard'!AJ$15,'User Dashboard'!AN$14,
'User Dashboard'!AN$15),
IF('User Dashboard'!Z$12=1,
'User Dashboard'!AN$14)))))</f>
        <v>15.209356603107825</v>
      </c>
      <c r="D25" s="747">
        <f>'User Dashboard'!X$15</f>
        <v>2.2072878851804097E-2</v>
      </c>
      <c r="E25" s="739">
        <f t="shared" si="1"/>
        <v>9.1306104687305712E-8</v>
      </c>
      <c r="F25" s="739">
        <f t="shared" si="9"/>
        <v>9.1306104687305712E-8</v>
      </c>
      <c r="G25" s="749">
        <f>1/'User Dashboard'!X$12</f>
        <v>0.14285714285714285</v>
      </c>
      <c r="H25" s="385">
        <f t="shared" si="2"/>
        <v>3676770.9755480033</v>
      </c>
      <c r="I25" s="751">
        <f t="shared" si="5"/>
        <v>16.801807151345034</v>
      </c>
      <c r="J25" s="752">
        <f t="shared" si="3"/>
        <v>12.222644845784936</v>
      </c>
      <c r="K25" s="385">
        <f t="shared" si="6"/>
        <v>29.024451997129972</v>
      </c>
      <c r="L25" s="752">
        <f t="shared" si="7"/>
        <v>5</v>
      </c>
      <c r="N25" s="309">
        <f t="shared" si="8"/>
        <v>10</v>
      </c>
      <c r="O25" s="752">
        <f t="array" ref="O25">IF(N25="","",MAX(IF(A:A=N25,K:K)))</f>
        <v>258719.16778583336</v>
      </c>
    </row>
    <row r="26" spans="1:15" x14ac:dyDescent="0.75">
      <c r="A26" s="309">
        <f t="shared" si="4"/>
        <v>3</v>
      </c>
      <c r="B26" s="310">
        <v>19</v>
      </c>
      <c r="C26" s="746">
        <f>IF('User Dashboard'!Z$12=5,
IF('SIR Model Patient Calcs'!B26&lt;'User Dashboard'!AJ$15,'User Dashboard'!AN$14,
IF('SIR Model Patient Calcs'!B26&lt;'User Dashboard'!AJ$16,'User Dashboard'!AN$15,
IF('SIR Model Patient Calcs'!B26&lt;'User Dashboard'!AJ$17,'User Dashboard'!AN$16,
IF('SIR Model Patient Calcs'!B26&lt;'User Dashboard'!AJ$18,'User Dashboard'!AN$17,
'User Dashboard'!AN$18)))),
IF('User Dashboard'!Z$12=4,
IF('SIR Model Patient Calcs'!B26&lt;'User Dashboard'!AJ$15,'User Dashboard'!AN$14,
IF('SIR Model Patient Calcs'!B26&lt;'User Dashboard'!AJ$16,'User Dashboard'!AN$15,
IF('SIR Model Patient Calcs'!B26&lt;'User Dashboard'!AJ$17,'User Dashboard'!AN$16,
'User Dashboard'!AN$17))),
IF('User Dashboard'!Z$12=3,
IF('SIR Model Patient Calcs'!B26&lt;'User Dashboard'!AJ$15,'User Dashboard'!AN$14,
IF('SIR Model Patient Calcs'!B26&lt;'User Dashboard'!AJ$16,'User Dashboard'!AN$15,
'User Dashboard'!AN$16)),
IF('User Dashboard'!Z$12=2,
IF('SIR Model Patient Calcs'!B26&lt;'User Dashboard'!AJ$15,'User Dashboard'!AN$14,
'User Dashboard'!AN$15),
IF('User Dashboard'!Z$12=1,
'User Dashboard'!AN$14)))))</f>
        <v>15.209356603107825</v>
      </c>
      <c r="D26" s="747">
        <f>'User Dashboard'!X$15</f>
        <v>2.2072878851804097E-2</v>
      </c>
      <c r="E26" s="739">
        <f t="shared" si="1"/>
        <v>9.1306104687305712E-8</v>
      </c>
      <c r="F26" s="739">
        <f t="shared" si="9"/>
        <v>9.1306104687305712E-8</v>
      </c>
      <c r="G26" s="749">
        <f>1/'User Dashboard'!X$12</f>
        <v>0.14285714285714285</v>
      </c>
      <c r="H26" s="385">
        <f t="shared" si="2"/>
        <v>3676765.3349858434</v>
      </c>
      <c r="I26" s="751">
        <f t="shared" si="5"/>
        <v>20.042111146758835</v>
      </c>
      <c r="J26" s="752">
        <f t="shared" si="3"/>
        <v>14.622903010262798</v>
      </c>
      <c r="K26" s="385">
        <f t="shared" si="6"/>
        <v>34.665014157021631</v>
      </c>
      <c r="L26" s="752">
        <f t="shared" si="7"/>
        <v>6</v>
      </c>
      <c r="N26" s="309">
        <f t="shared" si="8"/>
        <v>9</v>
      </c>
      <c r="O26" s="752">
        <f t="array" ref="O26">IF(N26="","",MAX(IF(A:A=N26,K:K)))</f>
        <v>79773.918576314318</v>
      </c>
    </row>
    <row r="27" spans="1:15" x14ac:dyDescent="0.75">
      <c r="A27" s="309">
        <f t="shared" si="4"/>
        <v>3</v>
      </c>
      <c r="B27" s="310">
        <v>20</v>
      </c>
      <c r="C27" s="746">
        <f>IF('User Dashboard'!Z$12=5,
IF('SIR Model Patient Calcs'!B27&lt;'User Dashboard'!AJ$15,'User Dashboard'!AN$14,
IF('SIR Model Patient Calcs'!B27&lt;'User Dashboard'!AJ$16,'User Dashboard'!AN$15,
IF('SIR Model Patient Calcs'!B27&lt;'User Dashboard'!AJ$17,'User Dashboard'!AN$16,
IF('SIR Model Patient Calcs'!B27&lt;'User Dashboard'!AJ$18,'User Dashboard'!AN$17,
'User Dashboard'!AN$18)))),
IF('User Dashboard'!Z$12=4,
IF('SIR Model Patient Calcs'!B27&lt;'User Dashboard'!AJ$15,'User Dashboard'!AN$14,
IF('SIR Model Patient Calcs'!B27&lt;'User Dashboard'!AJ$16,'User Dashboard'!AN$15,
IF('SIR Model Patient Calcs'!B27&lt;'User Dashboard'!AJ$17,'User Dashboard'!AN$16,
'User Dashboard'!AN$17))),
IF('User Dashboard'!Z$12=3,
IF('SIR Model Patient Calcs'!B27&lt;'User Dashboard'!AJ$15,'User Dashboard'!AN$14,
IF('SIR Model Patient Calcs'!B27&lt;'User Dashboard'!AJ$16,'User Dashboard'!AN$15,
'User Dashboard'!AN$16)),
IF('User Dashboard'!Z$12=2,
IF('SIR Model Patient Calcs'!B27&lt;'User Dashboard'!AJ$15,'User Dashboard'!AN$14,
'User Dashboard'!AN$15),
IF('User Dashboard'!Z$12=1,
'User Dashboard'!AN$14)))))</f>
        <v>15.209356603107825</v>
      </c>
      <c r="D27" s="747">
        <f>'User Dashboard'!X$15</f>
        <v>2.2072878851804097E-2</v>
      </c>
      <c r="E27" s="739">
        <f t="shared" si="1"/>
        <v>9.1306104687305725E-8</v>
      </c>
      <c r="F27" s="739">
        <f t="shared" si="9"/>
        <v>9.1306104687305712E-8</v>
      </c>
      <c r="G27" s="749">
        <f>1/'User Dashboard'!X$12</f>
        <v>0.14285714285714285</v>
      </c>
      <c r="H27" s="385">
        <f t="shared" si="2"/>
        <v>3676758.6066262512</v>
      </c>
      <c r="I27" s="751">
        <f t="shared" si="5"/>
        <v>23.907312003512661</v>
      </c>
      <c r="J27" s="752">
        <f t="shared" si="3"/>
        <v>17.486061745514061</v>
      </c>
      <c r="K27" s="385">
        <f t="shared" si="6"/>
        <v>41.393373749026722</v>
      </c>
      <c r="L27" s="752">
        <f t="shared" si="7"/>
        <v>7</v>
      </c>
      <c r="N27" s="309">
        <f t="shared" si="8"/>
        <v>8</v>
      </c>
      <c r="O27" s="752">
        <f t="array" ref="O27">IF(N27="","",MAX(IF(A:A=N27,K:K)))</f>
        <v>23621.641992419463</v>
      </c>
    </row>
    <row r="28" spans="1:15" x14ac:dyDescent="0.75">
      <c r="A28" s="309">
        <f t="shared" si="4"/>
        <v>3</v>
      </c>
      <c r="B28" s="310">
        <v>21</v>
      </c>
      <c r="C28" s="746">
        <f>IF('User Dashboard'!Z$12=5,
IF('SIR Model Patient Calcs'!B28&lt;'User Dashboard'!AJ$15,'User Dashboard'!AN$14,
IF('SIR Model Patient Calcs'!B28&lt;'User Dashboard'!AJ$16,'User Dashboard'!AN$15,
IF('SIR Model Patient Calcs'!B28&lt;'User Dashboard'!AJ$17,'User Dashboard'!AN$16,
IF('SIR Model Patient Calcs'!B28&lt;'User Dashboard'!AJ$18,'User Dashboard'!AN$17,
'User Dashboard'!AN$18)))),
IF('User Dashboard'!Z$12=4,
IF('SIR Model Patient Calcs'!B28&lt;'User Dashboard'!AJ$15,'User Dashboard'!AN$14,
IF('SIR Model Patient Calcs'!B28&lt;'User Dashboard'!AJ$16,'User Dashboard'!AN$15,
IF('SIR Model Patient Calcs'!B28&lt;'User Dashboard'!AJ$17,'User Dashboard'!AN$16,
'User Dashboard'!AN$17))),
IF('User Dashboard'!Z$12=3,
IF('SIR Model Patient Calcs'!B28&lt;'User Dashboard'!AJ$15,'User Dashboard'!AN$14,
IF('SIR Model Patient Calcs'!B28&lt;'User Dashboard'!AJ$16,'User Dashboard'!AN$15,
'User Dashboard'!AN$16)),
IF('User Dashboard'!Z$12=2,
IF('SIR Model Patient Calcs'!B28&lt;'User Dashboard'!AJ$15,'User Dashboard'!AN$14,
'User Dashboard'!AN$15),
IF('User Dashboard'!Z$12=1,
'User Dashboard'!AN$14)))))</f>
        <v>15.209356603107825</v>
      </c>
      <c r="D28" s="747">
        <f>'User Dashboard'!X$15</f>
        <v>2.2072878851804097E-2</v>
      </c>
      <c r="E28" s="739">
        <f t="shared" si="1"/>
        <v>9.1306104687305712E-8</v>
      </c>
      <c r="F28" s="739">
        <f t="shared" si="9"/>
        <v>9.1306104687305712E-8</v>
      </c>
      <c r="G28" s="749">
        <f>1/'User Dashboard'!X$12</f>
        <v>0.14285714285714285</v>
      </c>
      <c r="H28" s="385">
        <f t="shared" si="2"/>
        <v>3676750.5806904356</v>
      </c>
      <c r="I28" s="751">
        <f t="shared" si="5"/>
        <v>28.517917532990474</v>
      </c>
      <c r="J28" s="752">
        <f t="shared" si="3"/>
        <v>20.901392031730154</v>
      </c>
      <c r="K28" s="385">
        <f t="shared" si="6"/>
        <v>49.419309564720628</v>
      </c>
      <c r="L28" s="752">
        <f t="shared" si="7"/>
        <v>9</v>
      </c>
      <c r="N28" s="309">
        <f t="shared" si="8"/>
        <v>7</v>
      </c>
      <c r="O28" s="752">
        <f t="array" ref="O28">IF(N28="","",MAX(IF(A:A=N28,K:K)))</f>
        <v>6908.8616245857102</v>
      </c>
    </row>
    <row r="29" spans="1:15" x14ac:dyDescent="0.75">
      <c r="A29" s="309">
        <f t="shared" si="4"/>
        <v>4</v>
      </c>
      <c r="B29" s="310">
        <v>22</v>
      </c>
      <c r="C29" s="746">
        <f>IF('User Dashboard'!Z$12=5,
IF('SIR Model Patient Calcs'!B29&lt;'User Dashboard'!AJ$15,'User Dashboard'!AN$14,
IF('SIR Model Patient Calcs'!B29&lt;'User Dashboard'!AJ$16,'User Dashboard'!AN$15,
IF('SIR Model Patient Calcs'!B29&lt;'User Dashboard'!AJ$17,'User Dashboard'!AN$16,
IF('SIR Model Patient Calcs'!B29&lt;'User Dashboard'!AJ$18,'User Dashboard'!AN$17,
'User Dashboard'!AN$18)))),
IF('User Dashboard'!Z$12=4,
IF('SIR Model Patient Calcs'!B29&lt;'User Dashboard'!AJ$15,'User Dashboard'!AN$14,
IF('SIR Model Patient Calcs'!B29&lt;'User Dashboard'!AJ$16,'User Dashboard'!AN$15,
IF('SIR Model Patient Calcs'!B29&lt;'User Dashboard'!AJ$17,'User Dashboard'!AN$16,
'User Dashboard'!AN$17))),
IF('User Dashboard'!Z$12=3,
IF('SIR Model Patient Calcs'!B29&lt;'User Dashboard'!AJ$15,'User Dashboard'!AN$14,
IF('SIR Model Patient Calcs'!B29&lt;'User Dashboard'!AJ$16,'User Dashboard'!AN$15,
'User Dashboard'!AN$16)),
IF('User Dashboard'!Z$12=2,
IF('SIR Model Patient Calcs'!B29&lt;'User Dashboard'!AJ$15,'User Dashboard'!AN$14,
'User Dashboard'!AN$15),
IF('User Dashboard'!Z$12=1,
'User Dashboard'!AN$14)))))</f>
        <v>15.209356603107825</v>
      </c>
      <c r="D29" s="747">
        <f>'User Dashboard'!X$15</f>
        <v>2.2072878851804097E-2</v>
      </c>
      <c r="E29" s="739">
        <f t="shared" si="1"/>
        <v>9.1306104687305712E-8</v>
      </c>
      <c r="F29" s="739">
        <f t="shared" si="9"/>
        <v>9.1306104687305712E-8</v>
      </c>
      <c r="G29" s="749">
        <f>1/'User Dashboard'!X$12</f>
        <v>0.14285714285714285</v>
      </c>
      <c r="H29" s="385">
        <f t="shared" si="2"/>
        <v>3676741.0069468021</v>
      </c>
      <c r="I29" s="751">
        <f t="shared" si="5"/>
        <v>34.017672947677028</v>
      </c>
      <c r="J29" s="752">
        <f t="shared" si="3"/>
        <v>24.975380250728794</v>
      </c>
      <c r="K29" s="385">
        <f t="shared" si="6"/>
        <v>58.993053198405818</v>
      </c>
      <c r="L29" s="752">
        <f t="shared" ref="L29:L72" si="10">(K29-K28)</f>
        <v>9.57374363368519</v>
      </c>
      <c r="N29" s="309">
        <f t="shared" si="8"/>
        <v>6</v>
      </c>
      <c r="O29" s="752">
        <f t="array" ref="O29">IF(N29="","",MAX(IF(A:A=N29,K:K)))</f>
        <v>2013.2734870700883</v>
      </c>
    </row>
    <row r="30" spans="1:15" x14ac:dyDescent="0.75">
      <c r="A30" s="309">
        <f t="shared" si="4"/>
        <v>4</v>
      </c>
      <c r="B30" s="310">
        <v>23</v>
      </c>
      <c r="C30" s="746">
        <f>IF('User Dashboard'!Z$12=5,
IF('SIR Model Patient Calcs'!B30&lt;'User Dashboard'!AJ$15,'User Dashboard'!AN$14,
IF('SIR Model Patient Calcs'!B30&lt;'User Dashboard'!AJ$16,'User Dashboard'!AN$15,
IF('SIR Model Patient Calcs'!B30&lt;'User Dashboard'!AJ$17,'User Dashboard'!AN$16,
IF('SIR Model Patient Calcs'!B30&lt;'User Dashboard'!AJ$18,'User Dashboard'!AN$17,
'User Dashboard'!AN$18)))),
IF('User Dashboard'!Z$12=4,
IF('SIR Model Patient Calcs'!B30&lt;'User Dashboard'!AJ$15,'User Dashboard'!AN$14,
IF('SIR Model Patient Calcs'!B30&lt;'User Dashboard'!AJ$16,'User Dashboard'!AN$15,
IF('SIR Model Patient Calcs'!B30&lt;'User Dashboard'!AJ$17,'User Dashboard'!AN$16,
'User Dashboard'!AN$17))),
IF('User Dashboard'!Z$12=3,
IF('SIR Model Patient Calcs'!B30&lt;'User Dashboard'!AJ$15,'User Dashboard'!AN$14,
IF('SIR Model Patient Calcs'!B30&lt;'User Dashboard'!AJ$16,'User Dashboard'!AN$15,
'User Dashboard'!AN$16)),
IF('User Dashboard'!Z$12=2,
IF('SIR Model Patient Calcs'!B30&lt;'User Dashboard'!AJ$15,'User Dashboard'!AN$14,
'User Dashboard'!AN$15),
IF('User Dashboard'!Z$12=1,
'User Dashboard'!AN$14)))))</f>
        <v>15.209356603107825</v>
      </c>
      <c r="D30" s="747">
        <f>'User Dashboard'!X$15</f>
        <v>2.2072878851804097E-2</v>
      </c>
      <c r="E30" s="739">
        <f t="shared" si="1"/>
        <v>9.1306104687305712E-8</v>
      </c>
      <c r="F30" s="739">
        <f t="shared" si="9"/>
        <v>9.1306104687305712E-8</v>
      </c>
      <c r="G30" s="749">
        <f>1/'User Dashboard'!X$12</f>
        <v>0.14285714285714285</v>
      </c>
      <c r="H30" s="385">
        <f t="shared" si="2"/>
        <v>3676729.5869112606</v>
      </c>
      <c r="I30" s="751">
        <f t="shared" si="5"/>
        <v>40.578040925340417</v>
      </c>
      <c r="J30" s="752">
        <f t="shared" si="3"/>
        <v>29.835047814682653</v>
      </c>
      <c r="K30" s="385">
        <f t="shared" si="6"/>
        <v>70.41308874002307</v>
      </c>
      <c r="L30" s="752">
        <f t="shared" si="10"/>
        <v>11.420035541617253</v>
      </c>
      <c r="N30" s="309">
        <f t="shared" si="8"/>
        <v>5</v>
      </c>
      <c r="O30" s="752">
        <f t="array" ref="O30">IF(N30="","",MAX(IF(A:A=N30,K:K)))</f>
        <v>585.94326973752868</v>
      </c>
    </row>
    <row r="31" spans="1:15" x14ac:dyDescent="0.75">
      <c r="A31" s="309">
        <f t="shared" si="4"/>
        <v>4</v>
      </c>
      <c r="B31" s="310">
        <v>24</v>
      </c>
      <c r="C31" s="746">
        <f>IF('User Dashboard'!Z$12=5,
IF('SIR Model Patient Calcs'!B31&lt;'User Dashboard'!AJ$15,'User Dashboard'!AN$14,
IF('SIR Model Patient Calcs'!B31&lt;'User Dashboard'!AJ$16,'User Dashboard'!AN$15,
IF('SIR Model Patient Calcs'!B31&lt;'User Dashboard'!AJ$17,'User Dashboard'!AN$16,
IF('SIR Model Patient Calcs'!B31&lt;'User Dashboard'!AJ$18,'User Dashboard'!AN$17,
'User Dashboard'!AN$18)))),
IF('User Dashboard'!Z$12=4,
IF('SIR Model Patient Calcs'!B31&lt;'User Dashboard'!AJ$15,'User Dashboard'!AN$14,
IF('SIR Model Patient Calcs'!B31&lt;'User Dashboard'!AJ$16,'User Dashboard'!AN$15,
IF('SIR Model Patient Calcs'!B31&lt;'User Dashboard'!AJ$17,'User Dashboard'!AN$16,
'User Dashboard'!AN$17))),
IF('User Dashboard'!Z$12=3,
IF('SIR Model Patient Calcs'!B31&lt;'User Dashboard'!AJ$15,'User Dashboard'!AN$14,
IF('SIR Model Patient Calcs'!B31&lt;'User Dashboard'!AJ$16,'User Dashboard'!AN$15,
'User Dashboard'!AN$16)),
IF('User Dashboard'!Z$12=2,
IF('SIR Model Patient Calcs'!B31&lt;'User Dashboard'!AJ$15,'User Dashboard'!AN$14,
'User Dashboard'!AN$15),
IF('User Dashboard'!Z$12=1,
'User Dashboard'!AN$14)))))</f>
        <v>15.209356603107825</v>
      </c>
      <c r="D31" s="747">
        <f>'User Dashboard'!X$15</f>
        <v>2.2072878851804097E-2</v>
      </c>
      <c r="E31" s="739">
        <f t="shared" si="1"/>
        <v>9.1306104687305698E-8</v>
      </c>
      <c r="F31" s="739">
        <f t="shared" si="9"/>
        <v>9.1306104687305712E-8</v>
      </c>
      <c r="G31" s="749">
        <f>1/'User Dashboard'!X$12</f>
        <v>0.14285714285714285</v>
      </c>
      <c r="H31" s="385">
        <f t="shared" si="2"/>
        <v>3676715.9645441179</v>
      </c>
      <c r="I31" s="751">
        <f t="shared" si="5"/>
        <v>48.403545078838874</v>
      </c>
      <c r="J31" s="752">
        <f t="shared" si="3"/>
        <v>35.631910804016997</v>
      </c>
      <c r="K31" s="385">
        <f t="shared" si="6"/>
        <v>84.035455882855871</v>
      </c>
      <c r="L31" s="752">
        <f t="shared" si="10"/>
        <v>13.6223671428328</v>
      </c>
      <c r="N31" s="309">
        <f t="shared" si="8"/>
        <v>4</v>
      </c>
      <c r="O31" s="752">
        <f t="array" ref="O31">IF(N31="","",MAX(IF(A:A=N31,K:K)))</f>
        <v>170.36810909212656</v>
      </c>
    </row>
    <row r="32" spans="1:15" x14ac:dyDescent="0.75">
      <c r="A32" s="309">
        <f t="shared" si="4"/>
        <v>4</v>
      </c>
      <c r="B32" s="310">
        <v>25</v>
      </c>
      <c r="C32" s="746">
        <f>IF('User Dashboard'!Z$12=5,
IF('SIR Model Patient Calcs'!B32&lt;'User Dashboard'!AJ$15,'User Dashboard'!AN$14,
IF('SIR Model Patient Calcs'!B32&lt;'User Dashboard'!AJ$16,'User Dashboard'!AN$15,
IF('SIR Model Patient Calcs'!B32&lt;'User Dashboard'!AJ$17,'User Dashboard'!AN$16,
IF('SIR Model Patient Calcs'!B32&lt;'User Dashboard'!AJ$18,'User Dashboard'!AN$17,
'User Dashboard'!AN$18)))),
IF('User Dashboard'!Z$12=4,
IF('SIR Model Patient Calcs'!B32&lt;'User Dashboard'!AJ$15,'User Dashboard'!AN$14,
IF('SIR Model Patient Calcs'!B32&lt;'User Dashboard'!AJ$16,'User Dashboard'!AN$15,
IF('SIR Model Patient Calcs'!B32&lt;'User Dashboard'!AJ$17,'User Dashboard'!AN$16,
'User Dashboard'!AN$17))),
IF('User Dashboard'!Z$12=3,
IF('SIR Model Patient Calcs'!B32&lt;'User Dashboard'!AJ$15,'User Dashboard'!AN$14,
IF('SIR Model Patient Calcs'!B32&lt;'User Dashboard'!AJ$16,'User Dashboard'!AN$15,
'User Dashboard'!AN$16)),
IF('User Dashboard'!Z$12=2,
IF('SIR Model Patient Calcs'!B32&lt;'User Dashboard'!AJ$15,'User Dashboard'!AN$14,
'User Dashboard'!AN$15),
IF('User Dashboard'!Z$12=1,
'User Dashboard'!AN$14)))))</f>
        <v>15.209356603107825</v>
      </c>
      <c r="D32" s="747">
        <f>'User Dashboard'!X$15</f>
        <v>2.2072878851804097E-2</v>
      </c>
      <c r="E32" s="739">
        <f t="shared" si="1"/>
        <v>9.1306104687305712E-8</v>
      </c>
      <c r="F32" s="739">
        <f t="shared" si="9"/>
        <v>9.1306104687305712E-8</v>
      </c>
      <c r="G32" s="749">
        <f>1/'User Dashboard'!X$12</f>
        <v>0.14285714285714285</v>
      </c>
      <c r="H32" s="385">
        <f t="shared" si="2"/>
        <v>3676699.7151539535</v>
      </c>
      <c r="I32" s="751">
        <f t="shared" si="5"/>
        <v>57.738143088913041</v>
      </c>
      <c r="J32" s="752">
        <f t="shared" si="3"/>
        <v>42.546702958136834</v>
      </c>
      <c r="K32" s="385">
        <f t="shared" si="6"/>
        <v>100.28484604704988</v>
      </c>
      <c r="L32" s="752">
        <f t="shared" si="10"/>
        <v>16.249390164194011</v>
      </c>
      <c r="N32" s="309">
        <f t="shared" si="8"/>
        <v>3</v>
      </c>
      <c r="O32" s="752">
        <f t="array" ref="O32">IF(N32="","",MAX(IF(A:A=N32,K:K)))</f>
        <v>49.419309564720628</v>
      </c>
    </row>
    <row r="33" spans="1:15" x14ac:dyDescent="0.75">
      <c r="A33" s="309">
        <f t="shared" si="4"/>
        <v>4</v>
      </c>
      <c r="B33" s="310">
        <v>26</v>
      </c>
      <c r="C33" s="746">
        <f>IF('User Dashboard'!Z$12=5,
IF('SIR Model Patient Calcs'!B33&lt;'User Dashboard'!AJ$15,'User Dashboard'!AN$14,
IF('SIR Model Patient Calcs'!B33&lt;'User Dashboard'!AJ$16,'User Dashboard'!AN$15,
IF('SIR Model Patient Calcs'!B33&lt;'User Dashboard'!AJ$17,'User Dashboard'!AN$16,
IF('SIR Model Patient Calcs'!B33&lt;'User Dashboard'!AJ$18,'User Dashboard'!AN$17,
'User Dashboard'!AN$18)))),
IF('User Dashboard'!Z$12=4,
IF('SIR Model Patient Calcs'!B33&lt;'User Dashboard'!AJ$15,'User Dashboard'!AN$14,
IF('SIR Model Patient Calcs'!B33&lt;'User Dashboard'!AJ$16,'User Dashboard'!AN$15,
IF('SIR Model Patient Calcs'!B33&lt;'User Dashboard'!AJ$17,'User Dashboard'!AN$16,
'User Dashboard'!AN$17))),
IF('User Dashboard'!Z$12=3,
IF('SIR Model Patient Calcs'!B33&lt;'User Dashboard'!AJ$15,'User Dashboard'!AN$14,
IF('SIR Model Patient Calcs'!B33&lt;'User Dashboard'!AJ$16,'User Dashboard'!AN$15,
'User Dashboard'!AN$16)),
IF('User Dashboard'!Z$12=2,
IF('SIR Model Patient Calcs'!B33&lt;'User Dashboard'!AJ$15,'User Dashboard'!AN$14,
'User Dashboard'!AN$15),
IF('User Dashboard'!Z$12=1,
'User Dashboard'!AN$14)))))</f>
        <v>15.209356603107825</v>
      </c>
      <c r="D33" s="747">
        <f>'User Dashboard'!X$15</f>
        <v>2.2072878851804097E-2</v>
      </c>
      <c r="E33" s="739">
        <f t="shared" si="1"/>
        <v>9.1306104687305698E-8</v>
      </c>
      <c r="F33" s="739">
        <f t="shared" si="9"/>
        <v>9.1306104687305712E-8</v>
      </c>
      <c r="G33" s="749">
        <f>1/'User Dashboard'!X$12</f>
        <v>0.14285714285714285</v>
      </c>
      <c r="H33" s="385">
        <f t="shared" si="2"/>
        <v>3676680.3321631742</v>
      </c>
      <c r="I33" s="751">
        <f t="shared" si="5"/>
        <v>68.872827712759772</v>
      </c>
      <c r="J33" s="752">
        <f t="shared" si="3"/>
        <v>50.795009113695841</v>
      </c>
      <c r="K33" s="385">
        <f t="shared" si="6"/>
        <v>119.66783682645561</v>
      </c>
      <c r="L33" s="752">
        <f t="shared" si="10"/>
        <v>19.382990779405731</v>
      </c>
      <c r="N33" s="309">
        <f t="shared" si="8"/>
        <v>2</v>
      </c>
      <c r="O33" s="752">
        <f t="array" ref="O33">IF(N33="","",MAX(IF(A:A=N33,K:K)))</f>
        <v>14.222512259072406</v>
      </c>
    </row>
    <row r="34" spans="1:15" x14ac:dyDescent="0.75">
      <c r="A34" s="309">
        <f t="shared" si="4"/>
        <v>4</v>
      </c>
      <c r="B34" s="310">
        <v>27</v>
      </c>
      <c r="C34" s="746">
        <f>IF('User Dashboard'!Z$12=5,
IF('SIR Model Patient Calcs'!B34&lt;'User Dashboard'!AJ$15,'User Dashboard'!AN$14,
IF('SIR Model Patient Calcs'!B34&lt;'User Dashboard'!AJ$16,'User Dashboard'!AN$15,
IF('SIR Model Patient Calcs'!B34&lt;'User Dashboard'!AJ$17,'User Dashboard'!AN$16,
IF('SIR Model Patient Calcs'!B34&lt;'User Dashboard'!AJ$18,'User Dashboard'!AN$17,
'User Dashboard'!AN$18)))),
IF('User Dashboard'!Z$12=4,
IF('SIR Model Patient Calcs'!B34&lt;'User Dashboard'!AJ$15,'User Dashboard'!AN$14,
IF('SIR Model Patient Calcs'!B34&lt;'User Dashboard'!AJ$16,'User Dashboard'!AN$15,
IF('SIR Model Patient Calcs'!B34&lt;'User Dashboard'!AJ$17,'User Dashboard'!AN$16,
'User Dashboard'!AN$17))),
IF('User Dashboard'!Z$12=3,
IF('SIR Model Patient Calcs'!B34&lt;'User Dashboard'!AJ$15,'User Dashboard'!AN$14,
IF('SIR Model Patient Calcs'!B34&lt;'User Dashboard'!AJ$16,'User Dashboard'!AN$15,
'User Dashboard'!AN$16)),
IF('User Dashboard'!Z$12=2,
IF('SIR Model Patient Calcs'!B34&lt;'User Dashboard'!AJ$15,'User Dashboard'!AN$14,
'User Dashboard'!AN$15),
IF('User Dashboard'!Z$12=1,
'User Dashboard'!AN$14)))))</f>
        <v>15.209356603107825</v>
      </c>
      <c r="D34" s="747">
        <f>'User Dashboard'!X$15</f>
        <v>2.2072878851804097E-2</v>
      </c>
      <c r="E34" s="739">
        <f t="shared" si="1"/>
        <v>9.1306104687305712E-8</v>
      </c>
      <c r="F34" s="739">
        <f t="shared" si="9"/>
        <v>9.1306104687305712E-8</v>
      </c>
      <c r="G34" s="749">
        <f>1/'User Dashboard'!X$12</f>
        <v>0.14285714285714285</v>
      </c>
      <c r="H34" s="385">
        <f t="shared" si="2"/>
        <v>3676657.2113235458</v>
      </c>
      <c r="I34" s="751">
        <f t="shared" si="5"/>
        <v>82.154691953592106</v>
      </c>
      <c r="J34" s="752">
        <f t="shared" si="3"/>
        <v>60.633984501232952</v>
      </c>
      <c r="K34" s="385">
        <f t="shared" si="6"/>
        <v>142.78867645482507</v>
      </c>
      <c r="L34" s="752">
        <f t="shared" si="10"/>
        <v>23.120839628369453</v>
      </c>
      <c r="N34" s="309">
        <f t="shared" si="8"/>
        <v>1</v>
      </c>
      <c r="O34" s="752">
        <f t="array" ref="O34">IF(N34="","",MAX(IF(A:A=N34,K:K)))</f>
        <v>3.9803873923966009</v>
      </c>
    </row>
    <row r="35" spans="1:15" x14ac:dyDescent="0.75">
      <c r="A35" s="309">
        <f t="shared" si="4"/>
        <v>4</v>
      </c>
      <c r="B35" s="310">
        <v>28</v>
      </c>
      <c r="C35" s="746">
        <f>IF('User Dashboard'!Z$12=5,
IF('SIR Model Patient Calcs'!B35&lt;'User Dashboard'!AJ$15,'User Dashboard'!AN$14,
IF('SIR Model Patient Calcs'!B35&lt;'User Dashboard'!AJ$16,'User Dashboard'!AN$15,
IF('SIR Model Patient Calcs'!B35&lt;'User Dashboard'!AJ$17,'User Dashboard'!AN$16,
IF('SIR Model Patient Calcs'!B35&lt;'User Dashboard'!AJ$18,'User Dashboard'!AN$17,
'User Dashboard'!AN$18)))),
IF('User Dashboard'!Z$12=4,
IF('SIR Model Patient Calcs'!B35&lt;'User Dashboard'!AJ$15,'User Dashboard'!AN$14,
IF('SIR Model Patient Calcs'!B35&lt;'User Dashboard'!AJ$16,'User Dashboard'!AN$15,
IF('SIR Model Patient Calcs'!B35&lt;'User Dashboard'!AJ$17,'User Dashboard'!AN$16,
'User Dashboard'!AN$17))),
IF('User Dashboard'!Z$12=3,
IF('SIR Model Patient Calcs'!B35&lt;'User Dashboard'!AJ$15,'User Dashboard'!AN$14,
IF('SIR Model Patient Calcs'!B35&lt;'User Dashboard'!AJ$16,'User Dashboard'!AN$15,
'User Dashboard'!AN$16)),
IF('User Dashboard'!Z$12=2,
IF('SIR Model Patient Calcs'!B35&lt;'User Dashboard'!AJ$15,'User Dashboard'!AN$14,
'User Dashboard'!AN$15),
IF('User Dashboard'!Z$12=1,
'User Dashboard'!AN$14)))))</f>
        <v>15.209356603107825</v>
      </c>
      <c r="D35" s="747">
        <f>'User Dashboard'!X$15</f>
        <v>2.2072878851804097E-2</v>
      </c>
      <c r="E35" s="739">
        <f t="shared" si="1"/>
        <v>9.1306104687305712E-8</v>
      </c>
      <c r="F35" s="739">
        <f t="shared" si="9"/>
        <v>9.1306104687305712E-8</v>
      </c>
      <c r="G35" s="749">
        <f>1/'User Dashboard'!X$12</f>
        <v>0.14285714285714285</v>
      </c>
      <c r="H35" s="385">
        <f t="shared" si="2"/>
        <v>3676629.6318909083</v>
      </c>
      <c r="I35" s="751">
        <f t="shared" si="5"/>
        <v>97.997740026094732</v>
      </c>
      <c r="J35" s="752">
        <f t="shared" si="3"/>
        <v>72.370369066031827</v>
      </c>
      <c r="K35" s="385">
        <f t="shared" si="6"/>
        <v>170.36810909212656</v>
      </c>
      <c r="L35" s="752">
        <f t="shared" si="10"/>
        <v>27.579432637301494</v>
      </c>
      <c r="N35" s="309">
        <f t="shared" si="8"/>
        <v>0</v>
      </c>
      <c r="O35" s="752">
        <f t="array" ref="O35">IF(N35="","",MAX(IF(A:A=N35,K:K)))</f>
        <v>1</v>
      </c>
    </row>
    <row r="36" spans="1:15" x14ac:dyDescent="0.75">
      <c r="A36" s="309">
        <f t="shared" si="4"/>
        <v>5</v>
      </c>
      <c r="B36" s="310">
        <v>29</v>
      </c>
      <c r="C36" s="746">
        <f>IF('User Dashboard'!Z$12=5,
IF('SIR Model Patient Calcs'!B36&lt;'User Dashboard'!AJ$15,'User Dashboard'!AN$14,
IF('SIR Model Patient Calcs'!B36&lt;'User Dashboard'!AJ$16,'User Dashboard'!AN$15,
IF('SIR Model Patient Calcs'!B36&lt;'User Dashboard'!AJ$17,'User Dashboard'!AN$16,
IF('SIR Model Patient Calcs'!B36&lt;'User Dashboard'!AJ$18,'User Dashboard'!AN$17,
'User Dashboard'!AN$18)))),
IF('User Dashboard'!Z$12=4,
IF('SIR Model Patient Calcs'!B36&lt;'User Dashboard'!AJ$15,'User Dashboard'!AN$14,
IF('SIR Model Patient Calcs'!B36&lt;'User Dashboard'!AJ$16,'User Dashboard'!AN$15,
IF('SIR Model Patient Calcs'!B36&lt;'User Dashboard'!AJ$17,'User Dashboard'!AN$16,
'User Dashboard'!AN$17))),
IF('User Dashboard'!Z$12=3,
IF('SIR Model Patient Calcs'!B36&lt;'User Dashboard'!AJ$15,'User Dashboard'!AN$14,
IF('SIR Model Patient Calcs'!B36&lt;'User Dashboard'!AJ$16,'User Dashboard'!AN$15,
'User Dashboard'!AN$16)),
IF('User Dashboard'!Z$12=2,
IF('SIR Model Patient Calcs'!B36&lt;'User Dashboard'!AJ$15,'User Dashboard'!AN$14,
'User Dashboard'!AN$15),
IF('User Dashboard'!Z$12=1,
'User Dashboard'!AN$14)))))</f>
        <v>15.209356603107825</v>
      </c>
      <c r="D36" s="747">
        <f>'User Dashboard'!X$15</f>
        <v>2.2072878851804097E-2</v>
      </c>
      <c r="E36" s="739">
        <f t="shared" si="1"/>
        <v>9.1306104687305712E-8</v>
      </c>
      <c r="F36" s="739">
        <f t="shared" si="9"/>
        <v>9.1306104687305712E-8</v>
      </c>
      <c r="G36" s="749">
        <f>1/'User Dashboard'!X$12</f>
        <v>0.14285714285714285</v>
      </c>
      <c r="H36" s="385">
        <f t="shared" si="2"/>
        <v>3676596.7341740322</v>
      </c>
      <c r="I36" s="751">
        <f t="shared" si="5"/>
        <v>116.89577975559618</v>
      </c>
      <c r="J36" s="752">
        <f t="shared" si="3"/>
        <v>86.370046212616785</v>
      </c>
      <c r="K36" s="385">
        <f t="shared" si="6"/>
        <v>203.26582596821297</v>
      </c>
      <c r="L36" s="752">
        <f t="shared" si="10"/>
        <v>32.897716876086406</v>
      </c>
      <c r="N36" s="309" t="str">
        <f t="shared" si="8"/>
        <v/>
      </c>
      <c r="O36" s="752" t="str">
        <f t="array" ref="O36">IF(N36="","",MAX(IF(A:A=N36,K:K)))</f>
        <v/>
      </c>
    </row>
    <row r="37" spans="1:15" x14ac:dyDescent="0.75">
      <c r="A37" s="309">
        <f t="shared" si="4"/>
        <v>5</v>
      </c>
      <c r="B37" s="310">
        <v>30</v>
      </c>
      <c r="C37" s="746">
        <f>IF('User Dashboard'!Z$12=5,
IF('SIR Model Patient Calcs'!B37&lt;'User Dashboard'!AJ$15,'User Dashboard'!AN$14,
IF('SIR Model Patient Calcs'!B37&lt;'User Dashboard'!AJ$16,'User Dashboard'!AN$15,
IF('SIR Model Patient Calcs'!B37&lt;'User Dashboard'!AJ$17,'User Dashboard'!AN$16,
IF('SIR Model Patient Calcs'!B37&lt;'User Dashboard'!AJ$18,'User Dashboard'!AN$17,
'User Dashboard'!AN$18)))),
IF('User Dashboard'!Z$12=4,
IF('SIR Model Patient Calcs'!B37&lt;'User Dashboard'!AJ$15,'User Dashboard'!AN$14,
IF('SIR Model Patient Calcs'!B37&lt;'User Dashboard'!AJ$16,'User Dashboard'!AN$15,
IF('SIR Model Patient Calcs'!B37&lt;'User Dashboard'!AJ$17,'User Dashboard'!AN$16,
'User Dashboard'!AN$17))),
IF('User Dashboard'!Z$12=3,
IF('SIR Model Patient Calcs'!B37&lt;'User Dashboard'!AJ$15,'User Dashboard'!AN$14,
IF('SIR Model Patient Calcs'!B37&lt;'User Dashboard'!AJ$16,'User Dashboard'!AN$15,
'User Dashboard'!AN$16)),
IF('User Dashboard'!Z$12=2,
IF('SIR Model Patient Calcs'!B37&lt;'User Dashboard'!AJ$15,'User Dashboard'!AN$14,
'User Dashboard'!AN$15),
IF('User Dashboard'!Z$12=1,
'User Dashboard'!AN$14)))))</f>
        <v>15.209356603107825</v>
      </c>
      <c r="D37" s="747">
        <f>'User Dashboard'!X$15</f>
        <v>2.2072878851804097E-2</v>
      </c>
      <c r="E37" s="739">
        <f t="shared" si="1"/>
        <v>9.1306104687305712E-8</v>
      </c>
      <c r="F37" s="739">
        <f t="shared" si="9"/>
        <v>9.1306104687305712E-8</v>
      </c>
      <c r="G37" s="749">
        <f>1/'User Dashboard'!X$12</f>
        <v>0.14285714285714285</v>
      </c>
      <c r="H37" s="385">
        <f t="shared" si="2"/>
        <v>3676557.4927603453</v>
      </c>
      <c r="I37" s="751">
        <f t="shared" si="5"/>
        <v>139.43779633452277</v>
      </c>
      <c r="J37" s="752">
        <f t="shared" si="3"/>
        <v>103.06944332055909</v>
      </c>
      <c r="K37" s="385">
        <f t="shared" si="6"/>
        <v>242.50723965508186</v>
      </c>
      <c r="L37" s="752">
        <f t="shared" si="10"/>
        <v>39.241413686868896</v>
      </c>
      <c r="N37" s="309" t="str">
        <f t="shared" si="8"/>
        <v/>
      </c>
      <c r="O37" s="752" t="str">
        <f t="array" ref="O37">IF(N37="","",MAX(IF(A:A=N37,K:K)))</f>
        <v/>
      </c>
    </row>
    <row r="38" spans="1:15" x14ac:dyDescent="0.75">
      <c r="A38" s="309">
        <f t="shared" si="4"/>
        <v>5</v>
      </c>
      <c r="B38" s="310">
        <v>31</v>
      </c>
      <c r="C38" s="746">
        <f>IF('User Dashboard'!Z$12=5,
IF('SIR Model Patient Calcs'!B38&lt;'User Dashboard'!AJ$15,'User Dashboard'!AN$14,
IF('SIR Model Patient Calcs'!B38&lt;'User Dashboard'!AJ$16,'User Dashboard'!AN$15,
IF('SIR Model Patient Calcs'!B38&lt;'User Dashboard'!AJ$17,'User Dashboard'!AN$16,
IF('SIR Model Patient Calcs'!B38&lt;'User Dashboard'!AJ$18,'User Dashboard'!AN$17,
'User Dashboard'!AN$18)))),
IF('User Dashboard'!Z$12=4,
IF('SIR Model Patient Calcs'!B38&lt;'User Dashboard'!AJ$15,'User Dashboard'!AN$14,
IF('SIR Model Patient Calcs'!B38&lt;'User Dashboard'!AJ$16,'User Dashboard'!AN$15,
IF('SIR Model Patient Calcs'!B38&lt;'User Dashboard'!AJ$17,'User Dashboard'!AN$16,
'User Dashboard'!AN$17))),
IF('User Dashboard'!Z$12=3,
IF('SIR Model Patient Calcs'!B38&lt;'User Dashboard'!AJ$15,'User Dashboard'!AN$14,
IF('SIR Model Patient Calcs'!B38&lt;'User Dashboard'!AJ$16,'User Dashboard'!AN$15,
'User Dashboard'!AN$16)),
IF('User Dashboard'!Z$12=2,
IF('SIR Model Patient Calcs'!B38&lt;'User Dashboard'!AJ$15,'User Dashboard'!AN$14,
'User Dashboard'!AN$15),
IF('User Dashboard'!Z$12=1,
'User Dashboard'!AN$14)))))</f>
        <v>15.209356603107825</v>
      </c>
      <c r="D38" s="747">
        <f>'User Dashboard'!X$15</f>
        <v>2.2072878851804097E-2</v>
      </c>
      <c r="E38" s="739">
        <f t="shared" si="1"/>
        <v>9.1306104687305698E-8</v>
      </c>
      <c r="F38" s="739">
        <f t="shared" si="9"/>
        <v>9.1306104687305712E-8</v>
      </c>
      <c r="G38" s="749">
        <f>1/'User Dashboard'!X$12</f>
        <v>0.14285714285714285</v>
      </c>
      <c r="H38" s="385">
        <f t="shared" si="2"/>
        <v>3676510.6845876337</v>
      </c>
      <c r="I38" s="751">
        <f t="shared" si="5"/>
        <v>166.32628385563103</v>
      </c>
      <c r="J38" s="752">
        <f t="shared" si="3"/>
        <v>122.98912851120519</v>
      </c>
      <c r="K38" s="385">
        <f t="shared" si="6"/>
        <v>289.3154123668362</v>
      </c>
      <c r="L38" s="752">
        <f t="shared" si="10"/>
        <v>46.808172711754338</v>
      </c>
      <c r="N38" s="309" t="str">
        <f t="shared" si="8"/>
        <v/>
      </c>
      <c r="O38" s="752" t="str">
        <f t="array" ref="O38">IF(N38="","",MAX(IF(A:A=N38,K:K)))</f>
        <v/>
      </c>
    </row>
    <row r="39" spans="1:15" x14ac:dyDescent="0.75">
      <c r="A39" s="309">
        <f t="shared" si="4"/>
        <v>5</v>
      </c>
      <c r="B39" s="310">
        <v>32</v>
      </c>
      <c r="C39" s="746">
        <f>IF('User Dashboard'!Z$12=5,
IF('SIR Model Patient Calcs'!B39&lt;'User Dashboard'!AJ$15,'User Dashboard'!AN$14,
IF('SIR Model Patient Calcs'!B39&lt;'User Dashboard'!AJ$16,'User Dashboard'!AN$15,
IF('SIR Model Patient Calcs'!B39&lt;'User Dashboard'!AJ$17,'User Dashboard'!AN$16,
IF('SIR Model Patient Calcs'!B39&lt;'User Dashboard'!AJ$18,'User Dashboard'!AN$17,
'User Dashboard'!AN$18)))),
IF('User Dashboard'!Z$12=4,
IF('SIR Model Patient Calcs'!B39&lt;'User Dashboard'!AJ$15,'User Dashboard'!AN$14,
IF('SIR Model Patient Calcs'!B39&lt;'User Dashboard'!AJ$16,'User Dashboard'!AN$15,
IF('SIR Model Patient Calcs'!B39&lt;'User Dashboard'!AJ$17,'User Dashboard'!AN$16,
'User Dashboard'!AN$17))),
IF('User Dashboard'!Z$12=3,
IF('SIR Model Patient Calcs'!B39&lt;'User Dashboard'!AJ$15,'User Dashboard'!AN$14,
IF('SIR Model Patient Calcs'!B39&lt;'User Dashboard'!AJ$16,'User Dashboard'!AN$15,
'User Dashboard'!AN$16)),
IF('User Dashboard'!Z$12=2,
IF('SIR Model Patient Calcs'!B39&lt;'User Dashboard'!AJ$15,'User Dashboard'!AN$14,
'User Dashboard'!AN$15),
IF('User Dashboard'!Z$12=1,
'User Dashboard'!AN$14)))))</f>
        <v>15.209356603107825</v>
      </c>
      <c r="D39" s="747">
        <f>'User Dashboard'!X$15</f>
        <v>2.2072878851804097E-2</v>
      </c>
      <c r="E39" s="739">
        <f t="shared" si="1"/>
        <v>9.1306104687305698E-8</v>
      </c>
      <c r="F39" s="739">
        <f t="shared" si="9"/>
        <v>9.1306104687305712E-8</v>
      </c>
      <c r="G39" s="749">
        <f>1/'User Dashboard'!X$12</f>
        <v>0.14285714285714285</v>
      </c>
      <c r="H39" s="385">
        <f t="shared" si="2"/>
        <v>3676454.8508717725</v>
      </c>
      <c r="I39" s="751">
        <f t="shared" si="5"/>
        <v>198.39910202316125</v>
      </c>
      <c r="J39" s="752">
        <f t="shared" si="3"/>
        <v>146.75002620486677</v>
      </c>
      <c r="K39" s="385">
        <f t="shared" si="6"/>
        <v>345.14912822802802</v>
      </c>
      <c r="L39" s="752">
        <f t="shared" si="10"/>
        <v>55.83371586119182</v>
      </c>
      <c r="N39" s="309" t="str">
        <f t="shared" si="8"/>
        <v/>
      </c>
      <c r="O39" s="752" t="str">
        <f t="array" ref="O39">IF(N39="","",MAX(IF(A:A=N39,K:K)))</f>
        <v/>
      </c>
    </row>
    <row r="40" spans="1:15" x14ac:dyDescent="0.75">
      <c r="A40" s="309">
        <f t="shared" si="4"/>
        <v>5</v>
      </c>
      <c r="B40" s="310">
        <v>33</v>
      </c>
      <c r="C40" s="746">
        <f>IF('User Dashboard'!Z$12=5,
IF('SIR Model Patient Calcs'!B40&lt;'User Dashboard'!AJ$15,'User Dashboard'!AN$14,
IF('SIR Model Patient Calcs'!B40&lt;'User Dashboard'!AJ$16,'User Dashboard'!AN$15,
IF('SIR Model Patient Calcs'!B40&lt;'User Dashboard'!AJ$17,'User Dashboard'!AN$16,
IF('SIR Model Patient Calcs'!B40&lt;'User Dashboard'!AJ$18,'User Dashboard'!AN$17,
'User Dashboard'!AN$18)))),
IF('User Dashboard'!Z$12=4,
IF('SIR Model Patient Calcs'!B40&lt;'User Dashboard'!AJ$15,'User Dashboard'!AN$14,
IF('SIR Model Patient Calcs'!B40&lt;'User Dashboard'!AJ$16,'User Dashboard'!AN$15,
IF('SIR Model Patient Calcs'!B40&lt;'User Dashboard'!AJ$17,'User Dashboard'!AN$16,
'User Dashboard'!AN$17))),
IF('User Dashboard'!Z$12=3,
IF('SIR Model Patient Calcs'!B40&lt;'User Dashboard'!AJ$15,'User Dashboard'!AN$14,
IF('SIR Model Patient Calcs'!B40&lt;'User Dashboard'!AJ$16,'User Dashboard'!AN$15,
'User Dashboard'!AN$16)),
IF('User Dashboard'!Z$12=2,
IF('SIR Model Patient Calcs'!B40&lt;'User Dashboard'!AJ$15,'User Dashboard'!AN$14,
'User Dashboard'!AN$15),
IF('User Dashboard'!Z$12=1,
'User Dashboard'!AN$14)))))</f>
        <v>15.209356603107825</v>
      </c>
      <c r="D40" s="747">
        <f>'User Dashboard'!X$15</f>
        <v>2.2072878851804097E-2</v>
      </c>
      <c r="E40" s="739">
        <f t="shared" si="1"/>
        <v>9.1306104687305712E-8</v>
      </c>
      <c r="F40" s="739">
        <f t="shared" si="9"/>
        <v>9.1306104687305712E-8</v>
      </c>
      <c r="G40" s="749">
        <f>1/'User Dashboard'!X$12</f>
        <v>0.14285714285714285</v>
      </c>
      <c r="H40" s="385">
        <f t="shared" si="2"/>
        <v>3676388.2517113439</v>
      </c>
      <c r="I40" s="751">
        <f t="shared" si="5"/>
        <v>236.65553359133889</v>
      </c>
      <c r="J40" s="752">
        <f t="shared" si="3"/>
        <v>175.09275506531839</v>
      </c>
      <c r="K40" s="385">
        <f t="shared" si="6"/>
        <v>411.74828865665728</v>
      </c>
      <c r="L40" s="752">
        <f t="shared" si="10"/>
        <v>66.599160428629261</v>
      </c>
      <c r="N40" s="309" t="str">
        <f t="shared" si="8"/>
        <v/>
      </c>
      <c r="O40" s="752" t="str">
        <f t="array" ref="O40">IF(N40="","",MAX(IF(A:A=N40,K:K)))</f>
        <v/>
      </c>
    </row>
    <row r="41" spans="1:15" x14ac:dyDescent="0.75">
      <c r="A41" s="309">
        <f t="shared" si="4"/>
        <v>5</v>
      </c>
      <c r="B41" s="310">
        <v>34</v>
      </c>
      <c r="C41" s="746">
        <f>IF('User Dashboard'!Z$12=5,
IF('SIR Model Patient Calcs'!B41&lt;'User Dashboard'!AJ$15,'User Dashboard'!AN$14,
IF('SIR Model Patient Calcs'!B41&lt;'User Dashboard'!AJ$16,'User Dashboard'!AN$15,
IF('SIR Model Patient Calcs'!B41&lt;'User Dashboard'!AJ$17,'User Dashboard'!AN$16,
IF('SIR Model Patient Calcs'!B41&lt;'User Dashboard'!AJ$18,'User Dashboard'!AN$17,
'User Dashboard'!AN$18)))),
IF('User Dashboard'!Z$12=4,
IF('SIR Model Patient Calcs'!B41&lt;'User Dashboard'!AJ$15,'User Dashboard'!AN$14,
IF('SIR Model Patient Calcs'!B41&lt;'User Dashboard'!AJ$16,'User Dashboard'!AN$15,
IF('SIR Model Patient Calcs'!B41&lt;'User Dashboard'!AJ$17,'User Dashboard'!AN$16,
'User Dashboard'!AN$17))),
IF('User Dashboard'!Z$12=3,
IF('SIR Model Patient Calcs'!B41&lt;'User Dashboard'!AJ$15,'User Dashboard'!AN$14,
IF('SIR Model Patient Calcs'!B41&lt;'User Dashboard'!AJ$16,'User Dashboard'!AN$15,
'User Dashboard'!AN$16)),
IF('User Dashboard'!Z$12=2,
IF('SIR Model Patient Calcs'!B41&lt;'User Dashboard'!AJ$15,'User Dashboard'!AN$14,
'User Dashboard'!AN$15),
IF('User Dashboard'!Z$12=1,
'User Dashboard'!AN$14)))))</f>
        <v>15.209356603107825</v>
      </c>
      <c r="D41" s="747">
        <f>'User Dashboard'!X$15</f>
        <v>2.2072878851804097E-2</v>
      </c>
      <c r="E41" s="739">
        <f t="shared" si="1"/>
        <v>9.1306104687305712E-8</v>
      </c>
      <c r="F41" s="739">
        <f t="shared" si="9"/>
        <v>9.1306104687305712E-8</v>
      </c>
      <c r="G41" s="749">
        <f>1/'User Dashboard'!X$12</f>
        <v>0.14285714285714285</v>
      </c>
      <c r="H41" s="385">
        <f t="shared" si="2"/>
        <v>3676308.8119650199</v>
      </c>
      <c r="I41" s="751">
        <f t="shared" si="5"/>
        <v>282.28734654499061</v>
      </c>
      <c r="J41" s="752">
        <f t="shared" si="3"/>
        <v>208.90068843550966</v>
      </c>
      <c r="K41" s="385">
        <f t="shared" si="6"/>
        <v>491.18803498050028</v>
      </c>
      <c r="L41" s="752">
        <f t="shared" si="10"/>
        <v>79.439746323842996</v>
      </c>
      <c r="N41" s="309" t="str">
        <f t="shared" si="8"/>
        <v/>
      </c>
      <c r="O41" s="752" t="str">
        <f t="array" ref="O41">IF(N41="","",MAX(IF(A:A=N41,K:K)))</f>
        <v/>
      </c>
    </row>
    <row r="42" spans="1:15" x14ac:dyDescent="0.75">
      <c r="A42" s="309">
        <f t="shared" si="4"/>
        <v>5</v>
      </c>
      <c r="B42" s="310">
        <v>35</v>
      </c>
      <c r="C42" s="746">
        <f>IF('User Dashboard'!Z$12=5,
IF('SIR Model Patient Calcs'!B42&lt;'User Dashboard'!AJ$15,'User Dashboard'!AN$14,
IF('SIR Model Patient Calcs'!B42&lt;'User Dashboard'!AJ$16,'User Dashboard'!AN$15,
IF('SIR Model Patient Calcs'!B42&lt;'User Dashboard'!AJ$17,'User Dashboard'!AN$16,
IF('SIR Model Patient Calcs'!B42&lt;'User Dashboard'!AJ$18,'User Dashboard'!AN$17,
'User Dashboard'!AN$18)))),
IF('User Dashboard'!Z$12=4,
IF('SIR Model Patient Calcs'!B42&lt;'User Dashboard'!AJ$15,'User Dashboard'!AN$14,
IF('SIR Model Patient Calcs'!B42&lt;'User Dashboard'!AJ$16,'User Dashboard'!AN$15,
IF('SIR Model Patient Calcs'!B42&lt;'User Dashboard'!AJ$17,'User Dashboard'!AN$16,
'User Dashboard'!AN$17))),
IF('User Dashboard'!Z$12=3,
IF('SIR Model Patient Calcs'!B42&lt;'User Dashboard'!AJ$15,'User Dashboard'!AN$14,
IF('SIR Model Patient Calcs'!B42&lt;'User Dashboard'!AJ$16,'User Dashboard'!AN$15,
'User Dashboard'!AN$16)),
IF('User Dashboard'!Z$12=2,
IF('SIR Model Patient Calcs'!B42&lt;'User Dashboard'!AJ$15,'User Dashboard'!AN$14,
'User Dashboard'!AN$15),
IF('User Dashboard'!Z$12=1,
'User Dashboard'!AN$14)))))</f>
        <v>15.209356603107825</v>
      </c>
      <c r="D42" s="747">
        <f>'User Dashboard'!X$15</f>
        <v>2.2072878851804097E-2</v>
      </c>
      <c r="E42" s="739">
        <f t="shared" si="1"/>
        <v>9.1306104687305712E-8</v>
      </c>
      <c r="F42" s="739">
        <f t="shared" si="9"/>
        <v>9.1306104687305712E-8</v>
      </c>
      <c r="G42" s="749">
        <f>1/'User Dashboard'!X$12</f>
        <v>0.14285714285714285</v>
      </c>
      <c r="H42" s="385">
        <f t="shared" si="2"/>
        <v>3676214.0567302629</v>
      </c>
      <c r="I42" s="751">
        <f t="shared" si="5"/>
        <v>336.71581750987752</v>
      </c>
      <c r="J42" s="752">
        <f t="shared" si="3"/>
        <v>249.22745222765118</v>
      </c>
      <c r="K42" s="385">
        <f t="shared" si="6"/>
        <v>585.94326973752868</v>
      </c>
      <c r="L42" s="752">
        <f t="shared" si="10"/>
        <v>94.755234757028404</v>
      </c>
      <c r="N42" s="309" t="str">
        <f t="shared" si="8"/>
        <v/>
      </c>
      <c r="O42" s="752" t="str">
        <f t="array" ref="O42">IF(N42="","",MAX(IF(A:A=N42,K:K)))</f>
        <v/>
      </c>
    </row>
    <row r="43" spans="1:15" x14ac:dyDescent="0.75">
      <c r="A43" s="309">
        <f t="shared" si="4"/>
        <v>6</v>
      </c>
      <c r="B43" s="310">
        <v>36</v>
      </c>
      <c r="C43" s="746">
        <f>IF('User Dashboard'!Z$12=5,
IF('SIR Model Patient Calcs'!B43&lt;'User Dashboard'!AJ$15,'User Dashboard'!AN$14,
IF('SIR Model Patient Calcs'!B43&lt;'User Dashboard'!AJ$16,'User Dashboard'!AN$15,
IF('SIR Model Patient Calcs'!B43&lt;'User Dashboard'!AJ$17,'User Dashboard'!AN$16,
IF('SIR Model Patient Calcs'!B43&lt;'User Dashboard'!AJ$18,'User Dashboard'!AN$17,
'User Dashboard'!AN$18)))),
IF('User Dashboard'!Z$12=4,
IF('SIR Model Patient Calcs'!B43&lt;'User Dashboard'!AJ$15,'User Dashboard'!AN$14,
IF('SIR Model Patient Calcs'!B43&lt;'User Dashboard'!AJ$16,'User Dashboard'!AN$15,
IF('SIR Model Patient Calcs'!B43&lt;'User Dashboard'!AJ$17,'User Dashboard'!AN$16,
'User Dashboard'!AN$17))),
IF('User Dashboard'!Z$12=3,
IF('SIR Model Patient Calcs'!B43&lt;'User Dashboard'!AJ$15,'User Dashboard'!AN$14,
IF('SIR Model Patient Calcs'!B43&lt;'User Dashboard'!AJ$16,'User Dashboard'!AN$15,
'User Dashboard'!AN$16)),
IF('User Dashboard'!Z$12=2,
IF('SIR Model Patient Calcs'!B43&lt;'User Dashboard'!AJ$15,'User Dashboard'!AN$14,
'User Dashboard'!AN$15),
IF('User Dashboard'!Z$12=1,
'User Dashboard'!AN$14)))))</f>
        <v>15.209356603107825</v>
      </c>
      <c r="D43" s="747">
        <f>'User Dashboard'!X$15</f>
        <v>2.2072878851804097E-2</v>
      </c>
      <c r="E43" s="739">
        <f t="shared" si="1"/>
        <v>9.1306104687305725E-8</v>
      </c>
      <c r="F43" s="739">
        <f t="shared" si="9"/>
        <v>9.1306104687305712E-8</v>
      </c>
      <c r="G43" s="749">
        <f>1/'User Dashboard'!X$12</f>
        <v>0.14285714285714285</v>
      </c>
      <c r="H43" s="385">
        <f t="shared" si="2"/>
        <v>3676101.0344344615</v>
      </c>
      <c r="I43" s="751">
        <f t="shared" si="5"/>
        <v>401.63585366689222</v>
      </c>
      <c r="J43" s="752">
        <f t="shared" si="3"/>
        <v>297.32971187191941</v>
      </c>
      <c r="K43" s="385">
        <f t="shared" si="6"/>
        <v>698.96556553881169</v>
      </c>
      <c r="L43" s="752">
        <f t="shared" si="10"/>
        <v>113.02229580128301</v>
      </c>
      <c r="N43" s="309" t="str">
        <f t="shared" si="8"/>
        <v/>
      </c>
      <c r="O43" s="752" t="str">
        <f t="array" ref="O43">IF(N43="","",MAX(IF(A:A=N43,K:K)))</f>
        <v/>
      </c>
    </row>
    <row r="44" spans="1:15" x14ac:dyDescent="0.75">
      <c r="A44" s="309">
        <f t="shared" si="4"/>
        <v>6</v>
      </c>
      <c r="B44" s="310">
        <v>37</v>
      </c>
      <c r="C44" s="746">
        <f>IF('User Dashboard'!Z$12=5,
IF('SIR Model Patient Calcs'!B44&lt;'User Dashboard'!AJ$15,'User Dashboard'!AN$14,
IF('SIR Model Patient Calcs'!B44&lt;'User Dashboard'!AJ$16,'User Dashboard'!AN$15,
IF('SIR Model Patient Calcs'!B44&lt;'User Dashboard'!AJ$17,'User Dashboard'!AN$16,
IF('SIR Model Patient Calcs'!B44&lt;'User Dashboard'!AJ$18,'User Dashboard'!AN$17,
'User Dashboard'!AN$18)))),
IF('User Dashboard'!Z$12=4,
IF('SIR Model Patient Calcs'!B44&lt;'User Dashboard'!AJ$15,'User Dashboard'!AN$14,
IF('SIR Model Patient Calcs'!B44&lt;'User Dashboard'!AJ$16,'User Dashboard'!AN$15,
IF('SIR Model Patient Calcs'!B44&lt;'User Dashboard'!AJ$17,'User Dashboard'!AN$16,
'User Dashboard'!AN$17))),
IF('User Dashboard'!Z$12=3,
IF('SIR Model Patient Calcs'!B44&lt;'User Dashboard'!AJ$15,'User Dashboard'!AN$14,
IF('SIR Model Patient Calcs'!B44&lt;'User Dashboard'!AJ$16,'User Dashboard'!AN$15,
'User Dashboard'!AN$16)),
IF('User Dashboard'!Z$12=2,
IF('SIR Model Patient Calcs'!B44&lt;'User Dashboard'!AJ$15,'User Dashboard'!AN$14,
'User Dashboard'!AN$15),
IF('User Dashboard'!Z$12=1,
'User Dashboard'!AN$14)))))</f>
        <v>15.209356603107825</v>
      </c>
      <c r="D44" s="747">
        <f>'User Dashboard'!X$15</f>
        <v>2.2072878851804097E-2</v>
      </c>
      <c r="E44" s="739">
        <f t="shared" si="1"/>
        <v>9.1306104687305725E-8</v>
      </c>
      <c r="F44" s="739">
        <f t="shared" si="9"/>
        <v>9.1306104687305712E-8</v>
      </c>
      <c r="G44" s="749">
        <f>1/'User Dashboard'!X$12</f>
        <v>0.14285714285714285</v>
      </c>
      <c r="H44" s="385">
        <f t="shared" si="2"/>
        <v>3675966.2251730594</v>
      </c>
      <c r="I44" s="751">
        <f t="shared" si="5"/>
        <v>479.06856454494698</v>
      </c>
      <c r="J44" s="752">
        <f t="shared" si="3"/>
        <v>354.70626239576114</v>
      </c>
      <c r="K44" s="385">
        <f t="shared" si="6"/>
        <v>833.77482694070818</v>
      </c>
      <c r="L44" s="752">
        <f t="shared" si="10"/>
        <v>134.80926140189649</v>
      </c>
      <c r="N44" s="309" t="str">
        <f t="shared" ref="N44:N75" si="11">IF(OR(N43=0,N43=""),"",N43-1)</f>
        <v/>
      </c>
      <c r="O44" s="752" t="str">
        <f t="array" ref="O44">IF(N44="","",MAX(IF(A:A=N44,K:K)))</f>
        <v/>
      </c>
    </row>
    <row r="45" spans="1:15" x14ac:dyDescent="0.75">
      <c r="A45" s="309">
        <f t="shared" si="4"/>
        <v>6</v>
      </c>
      <c r="B45" s="310">
        <v>38</v>
      </c>
      <c r="C45" s="746">
        <f>IF('User Dashboard'!Z$12=5,
IF('SIR Model Patient Calcs'!B45&lt;'User Dashboard'!AJ$15,'User Dashboard'!AN$14,
IF('SIR Model Patient Calcs'!B45&lt;'User Dashboard'!AJ$16,'User Dashboard'!AN$15,
IF('SIR Model Patient Calcs'!B45&lt;'User Dashboard'!AJ$17,'User Dashboard'!AN$16,
IF('SIR Model Patient Calcs'!B45&lt;'User Dashboard'!AJ$18,'User Dashboard'!AN$17,
'User Dashboard'!AN$18)))),
IF('User Dashboard'!Z$12=4,
IF('SIR Model Patient Calcs'!B45&lt;'User Dashboard'!AJ$15,'User Dashboard'!AN$14,
IF('SIR Model Patient Calcs'!B45&lt;'User Dashboard'!AJ$16,'User Dashboard'!AN$15,
IF('SIR Model Patient Calcs'!B45&lt;'User Dashboard'!AJ$17,'User Dashboard'!AN$16,
'User Dashboard'!AN$17))),
IF('User Dashboard'!Z$12=3,
IF('SIR Model Patient Calcs'!B45&lt;'User Dashboard'!AJ$15,'User Dashboard'!AN$14,
IF('SIR Model Patient Calcs'!B45&lt;'User Dashboard'!AJ$16,'User Dashboard'!AN$15,
'User Dashboard'!AN$16)),
IF('User Dashboard'!Z$12=2,
IF('SIR Model Patient Calcs'!B45&lt;'User Dashboard'!AJ$15,'User Dashboard'!AN$14,
'User Dashboard'!AN$15),
IF('User Dashboard'!Z$12=1,
'User Dashboard'!AN$14)))))</f>
        <v>15.209356603107825</v>
      </c>
      <c r="D45" s="747">
        <f>'User Dashboard'!X$15</f>
        <v>2.2072878851804097E-2</v>
      </c>
      <c r="E45" s="739">
        <f t="shared" si="1"/>
        <v>9.1306104687305725E-8</v>
      </c>
      <c r="F45" s="739">
        <f t="shared" si="9"/>
        <v>9.1306104687305712E-8</v>
      </c>
      <c r="G45" s="749">
        <f>1/'User Dashboard'!X$12</f>
        <v>0.14285714285714285</v>
      </c>
      <c r="H45" s="385">
        <f t="shared" si="2"/>
        <v>3675805.431482987</v>
      </c>
      <c r="I45" s="751">
        <f t="shared" si="5"/>
        <v>571.42388825357352</v>
      </c>
      <c r="J45" s="752">
        <f t="shared" si="3"/>
        <v>423.14462875932497</v>
      </c>
      <c r="K45" s="385">
        <f t="shared" si="6"/>
        <v>994.5685170128985</v>
      </c>
      <c r="L45" s="752">
        <f t="shared" si="10"/>
        <v>160.79369007219032</v>
      </c>
      <c r="N45" s="309" t="str">
        <f t="shared" si="11"/>
        <v/>
      </c>
      <c r="O45" s="752" t="str">
        <f t="array" ref="O45">IF(N45="","",MAX(IF(A:A=N45,K:K)))</f>
        <v/>
      </c>
    </row>
    <row r="46" spans="1:15" x14ac:dyDescent="0.75">
      <c r="A46" s="309">
        <f t="shared" si="4"/>
        <v>6</v>
      </c>
      <c r="B46" s="310">
        <v>39</v>
      </c>
      <c r="C46" s="746">
        <f>IF('User Dashboard'!Z$12=5,
IF('SIR Model Patient Calcs'!B46&lt;'User Dashboard'!AJ$15,'User Dashboard'!AN$14,
IF('SIR Model Patient Calcs'!B46&lt;'User Dashboard'!AJ$16,'User Dashboard'!AN$15,
IF('SIR Model Patient Calcs'!B46&lt;'User Dashboard'!AJ$17,'User Dashboard'!AN$16,
IF('SIR Model Patient Calcs'!B46&lt;'User Dashboard'!AJ$18,'User Dashboard'!AN$17,
'User Dashboard'!AN$18)))),
IF('User Dashboard'!Z$12=4,
IF('SIR Model Patient Calcs'!B46&lt;'User Dashboard'!AJ$15,'User Dashboard'!AN$14,
IF('SIR Model Patient Calcs'!B46&lt;'User Dashboard'!AJ$16,'User Dashboard'!AN$15,
IF('SIR Model Patient Calcs'!B46&lt;'User Dashboard'!AJ$17,'User Dashboard'!AN$16,
'User Dashboard'!AN$17))),
IF('User Dashboard'!Z$12=3,
IF('SIR Model Patient Calcs'!B46&lt;'User Dashboard'!AJ$15,'User Dashboard'!AN$14,
IF('SIR Model Patient Calcs'!B46&lt;'User Dashboard'!AJ$16,'User Dashboard'!AN$15,
'User Dashboard'!AN$16)),
IF('User Dashboard'!Z$12=2,
IF('SIR Model Patient Calcs'!B46&lt;'User Dashboard'!AJ$15,'User Dashboard'!AN$14,
'User Dashboard'!AN$15),
IF('User Dashboard'!Z$12=1,
'User Dashboard'!AN$14)))))</f>
        <v>15.209356603107825</v>
      </c>
      <c r="D46" s="747">
        <f>'User Dashboard'!X$15</f>
        <v>2.2072878851804097E-2</v>
      </c>
      <c r="E46" s="739">
        <f t="shared" si="1"/>
        <v>9.1306104687305738E-8</v>
      </c>
      <c r="F46" s="739">
        <f t="shared" si="9"/>
        <v>9.1306104687305712E-8</v>
      </c>
      <c r="G46" s="749">
        <f>1/'User Dashboard'!X$12</f>
        <v>0.14285714285714285</v>
      </c>
      <c r="H46" s="385">
        <f t="shared" si="2"/>
        <v>3675613.6482116063</v>
      </c>
      <c r="I46" s="751">
        <f t="shared" si="5"/>
        <v>681.57517559796656</v>
      </c>
      <c r="J46" s="752">
        <f t="shared" si="3"/>
        <v>504.77661279554974</v>
      </c>
      <c r="K46" s="385">
        <f t="shared" si="6"/>
        <v>1186.3517883935162</v>
      </c>
      <c r="L46" s="752">
        <f t="shared" si="10"/>
        <v>191.78327138061775</v>
      </c>
      <c r="N46" s="309" t="str">
        <f t="shared" si="11"/>
        <v/>
      </c>
      <c r="O46" s="752" t="str">
        <f t="array" ref="O46">IF(N46="","",MAX(IF(A:A=N46,K:K)))</f>
        <v/>
      </c>
    </row>
    <row r="47" spans="1:15" x14ac:dyDescent="0.75">
      <c r="A47" s="309">
        <f t="shared" si="4"/>
        <v>6</v>
      </c>
      <c r="B47" s="310">
        <v>40</v>
      </c>
      <c r="C47" s="746">
        <f>IF('User Dashboard'!Z$12=5,
IF('SIR Model Patient Calcs'!B47&lt;'User Dashboard'!AJ$15,'User Dashboard'!AN$14,
IF('SIR Model Patient Calcs'!B47&lt;'User Dashboard'!AJ$16,'User Dashboard'!AN$15,
IF('SIR Model Patient Calcs'!B47&lt;'User Dashboard'!AJ$17,'User Dashboard'!AN$16,
IF('SIR Model Patient Calcs'!B47&lt;'User Dashboard'!AJ$18,'User Dashboard'!AN$17,
'User Dashboard'!AN$18)))),
IF('User Dashboard'!Z$12=4,
IF('SIR Model Patient Calcs'!B47&lt;'User Dashboard'!AJ$15,'User Dashboard'!AN$14,
IF('SIR Model Patient Calcs'!B47&lt;'User Dashboard'!AJ$16,'User Dashboard'!AN$15,
IF('SIR Model Patient Calcs'!B47&lt;'User Dashboard'!AJ$17,'User Dashboard'!AN$16,
'User Dashboard'!AN$17))),
IF('User Dashboard'!Z$12=3,
IF('SIR Model Patient Calcs'!B47&lt;'User Dashboard'!AJ$15,'User Dashboard'!AN$14,
IF('SIR Model Patient Calcs'!B47&lt;'User Dashboard'!AJ$16,'User Dashboard'!AN$15,
'User Dashboard'!AN$16)),
IF('User Dashboard'!Z$12=2,
IF('SIR Model Patient Calcs'!B47&lt;'User Dashboard'!AJ$15,'User Dashboard'!AN$14,
'User Dashboard'!AN$15),
IF('User Dashboard'!Z$12=1,
'User Dashboard'!AN$14)))))</f>
        <v>15.209356603107825</v>
      </c>
      <c r="D47" s="747">
        <f>'User Dashboard'!X$15</f>
        <v>2.2072878851804097E-2</v>
      </c>
      <c r="E47" s="739">
        <f t="shared" si="1"/>
        <v>9.1306104687305725E-8</v>
      </c>
      <c r="F47" s="739">
        <f t="shared" si="9"/>
        <v>9.1306104687305712E-8</v>
      </c>
      <c r="G47" s="749">
        <f>1/'User Dashboard'!X$12</f>
        <v>0.14285714285714285</v>
      </c>
      <c r="H47" s="385">
        <f t="shared" si="2"/>
        <v>3675384.9075173838</v>
      </c>
      <c r="I47" s="751">
        <f t="shared" si="5"/>
        <v>812.94798759209766</v>
      </c>
      <c r="J47" s="752">
        <f t="shared" si="3"/>
        <v>602.1444950238307</v>
      </c>
      <c r="K47" s="385">
        <f t="shared" si="6"/>
        <v>1415.0924826159285</v>
      </c>
      <c r="L47" s="752">
        <f t="shared" si="10"/>
        <v>228.74069422241223</v>
      </c>
      <c r="N47" s="309" t="str">
        <f t="shared" si="11"/>
        <v/>
      </c>
      <c r="O47" s="752" t="str">
        <f t="array" ref="O47">IF(N47="","",MAX(IF(A:A=N47,K:K)))</f>
        <v/>
      </c>
    </row>
    <row r="48" spans="1:15" x14ac:dyDescent="0.75">
      <c r="A48" s="309">
        <f t="shared" si="4"/>
        <v>6</v>
      </c>
      <c r="B48" s="310">
        <v>41</v>
      </c>
      <c r="C48" s="746">
        <f>IF('User Dashboard'!Z$12=5,
IF('SIR Model Patient Calcs'!B48&lt;'User Dashboard'!AJ$15,'User Dashboard'!AN$14,
IF('SIR Model Patient Calcs'!B48&lt;'User Dashboard'!AJ$16,'User Dashboard'!AN$15,
IF('SIR Model Patient Calcs'!B48&lt;'User Dashboard'!AJ$17,'User Dashboard'!AN$16,
IF('SIR Model Patient Calcs'!B48&lt;'User Dashboard'!AJ$18,'User Dashboard'!AN$17,
'User Dashboard'!AN$18)))),
IF('User Dashboard'!Z$12=4,
IF('SIR Model Patient Calcs'!B48&lt;'User Dashboard'!AJ$15,'User Dashboard'!AN$14,
IF('SIR Model Patient Calcs'!B48&lt;'User Dashboard'!AJ$16,'User Dashboard'!AN$15,
IF('SIR Model Patient Calcs'!B48&lt;'User Dashboard'!AJ$17,'User Dashboard'!AN$16,
'User Dashboard'!AN$17))),
IF('User Dashboard'!Z$12=3,
IF('SIR Model Patient Calcs'!B48&lt;'User Dashboard'!AJ$15,'User Dashboard'!AN$14,
IF('SIR Model Patient Calcs'!B48&lt;'User Dashboard'!AJ$16,'User Dashboard'!AN$15,
'User Dashboard'!AN$16)),
IF('User Dashboard'!Z$12=2,
IF('SIR Model Patient Calcs'!B48&lt;'User Dashboard'!AJ$15,'User Dashboard'!AN$14,
'User Dashboard'!AN$15),
IF('User Dashboard'!Z$12=1,
'User Dashboard'!AN$14)))))</f>
        <v>15.209356603107825</v>
      </c>
      <c r="D48" s="747">
        <f>'User Dashboard'!X$15</f>
        <v>2.2072878851804097E-2</v>
      </c>
      <c r="E48" s="739">
        <f t="shared" si="1"/>
        <v>9.1306104687305738E-8</v>
      </c>
      <c r="F48" s="739">
        <f t="shared" si="9"/>
        <v>9.1306104687305712E-8</v>
      </c>
      <c r="G48" s="749">
        <f>1/'User Dashboard'!X$12</f>
        <v>0.14285714285714285</v>
      </c>
      <c r="H48" s="385">
        <f t="shared" si="2"/>
        <v>3675112.0943026375</v>
      </c>
      <c r="I48" s="751">
        <f t="shared" si="5"/>
        <v>969.62577553946039</v>
      </c>
      <c r="J48" s="752">
        <f t="shared" si="3"/>
        <v>718.27992182270179</v>
      </c>
      <c r="K48" s="385">
        <f t="shared" si="6"/>
        <v>1687.9056973621623</v>
      </c>
      <c r="L48" s="752">
        <f t="shared" si="10"/>
        <v>272.81321474623383</v>
      </c>
      <c r="N48" s="309" t="str">
        <f t="shared" si="11"/>
        <v/>
      </c>
      <c r="O48" s="752" t="str">
        <f t="array" ref="O48">IF(N48="","",MAX(IF(A:A=N48,K:K)))</f>
        <v/>
      </c>
    </row>
    <row r="49" spans="1:15" x14ac:dyDescent="0.75">
      <c r="A49" s="309">
        <f t="shared" si="4"/>
        <v>6</v>
      </c>
      <c r="B49" s="310">
        <v>42</v>
      </c>
      <c r="C49" s="746">
        <f>IF('User Dashboard'!Z$12=5,
IF('SIR Model Patient Calcs'!B49&lt;'User Dashboard'!AJ$15,'User Dashboard'!AN$14,
IF('SIR Model Patient Calcs'!B49&lt;'User Dashboard'!AJ$16,'User Dashboard'!AN$15,
IF('SIR Model Patient Calcs'!B49&lt;'User Dashboard'!AJ$17,'User Dashboard'!AN$16,
IF('SIR Model Patient Calcs'!B49&lt;'User Dashboard'!AJ$18,'User Dashboard'!AN$17,
'User Dashboard'!AN$18)))),
IF('User Dashboard'!Z$12=4,
IF('SIR Model Patient Calcs'!B49&lt;'User Dashboard'!AJ$15,'User Dashboard'!AN$14,
IF('SIR Model Patient Calcs'!B49&lt;'User Dashboard'!AJ$16,'User Dashboard'!AN$15,
IF('SIR Model Patient Calcs'!B49&lt;'User Dashboard'!AJ$17,'User Dashboard'!AN$16,
'User Dashboard'!AN$17))),
IF('User Dashboard'!Z$12=3,
IF('SIR Model Patient Calcs'!B49&lt;'User Dashboard'!AJ$15,'User Dashboard'!AN$14,
IF('SIR Model Patient Calcs'!B49&lt;'User Dashboard'!AJ$16,'User Dashboard'!AN$15,
'User Dashboard'!AN$16)),
IF('User Dashboard'!Z$12=2,
IF('SIR Model Patient Calcs'!B49&lt;'User Dashboard'!AJ$15,'User Dashboard'!AN$14,
'User Dashboard'!AN$15),
IF('User Dashboard'!Z$12=1,
'User Dashboard'!AN$14)))))</f>
        <v>15.209356603107825</v>
      </c>
      <c r="D49" s="747">
        <f>'User Dashboard'!X$15</f>
        <v>2.2072878851804097E-2</v>
      </c>
      <c r="E49" s="739">
        <f t="shared" si="1"/>
        <v>9.1306104687305738E-8</v>
      </c>
      <c r="F49" s="739">
        <f t="shared" si="9"/>
        <v>9.1306104687305712E-8</v>
      </c>
      <c r="G49" s="749">
        <f>1/'User Dashboard'!X$12</f>
        <v>0.14285714285714285</v>
      </c>
      <c r="H49" s="385">
        <f t="shared" si="2"/>
        <v>3674786.7265129294</v>
      </c>
      <c r="I49" s="751">
        <f t="shared" si="5"/>
        <v>1156.4755973131778</v>
      </c>
      <c r="J49" s="752">
        <f t="shared" si="3"/>
        <v>856.79788975691042</v>
      </c>
      <c r="K49" s="385">
        <f t="shared" si="6"/>
        <v>2013.2734870700883</v>
      </c>
      <c r="L49" s="752">
        <f t="shared" si="10"/>
        <v>325.36778970792602</v>
      </c>
      <c r="N49" s="309" t="str">
        <f t="shared" si="11"/>
        <v/>
      </c>
      <c r="O49" s="752" t="str">
        <f t="array" ref="O49">IF(N49="","",MAX(IF(A:A=N49,K:K)))</f>
        <v/>
      </c>
    </row>
    <row r="50" spans="1:15" x14ac:dyDescent="0.75">
      <c r="A50" s="309">
        <f t="shared" si="4"/>
        <v>7</v>
      </c>
      <c r="B50" s="310">
        <v>43</v>
      </c>
      <c r="C50" s="746">
        <f>IF('User Dashboard'!Z$12=5,
IF('SIR Model Patient Calcs'!B50&lt;'User Dashboard'!AJ$15,'User Dashboard'!AN$14,
IF('SIR Model Patient Calcs'!B50&lt;'User Dashboard'!AJ$16,'User Dashboard'!AN$15,
IF('SIR Model Patient Calcs'!B50&lt;'User Dashboard'!AJ$17,'User Dashboard'!AN$16,
IF('SIR Model Patient Calcs'!B50&lt;'User Dashboard'!AJ$18,'User Dashboard'!AN$17,
'User Dashboard'!AN$18)))),
IF('User Dashboard'!Z$12=4,
IF('SIR Model Patient Calcs'!B50&lt;'User Dashboard'!AJ$15,'User Dashboard'!AN$14,
IF('SIR Model Patient Calcs'!B50&lt;'User Dashboard'!AJ$16,'User Dashboard'!AN$15,
IF('SIR Model Patient Calcs'!B50&lt;'User Dashboard'!AJ$17,'User Dashboard'!AN$16,
'User Dashboard'!AN$17))),
IF('User Dashboard'!Z$12=3,
IF('SIR Model Patient Calcs'!B50&lt;'User Dashboard'!AJ$15,'User Dashboard'!AN$14,
IF('SIR Model Patient Calcs'!B50&lt;'User Dashboard'!AJ$16,'User Dashboard'!AN$15,
'User Dashboard'!AN$16)),
IF('User Dashboard'!Z$12=2,
IF('SIR Model Patient Calcs'!B50&lt;'User Dashboard'!AJ$15,'User Dashboard'!AN$14,
'User Dashboard'!AN$15),
IF('User Dashboard'!Z$12=1,
'User Dashboard'!AN$14)))))</f>
        <v>15.209356603107825</v>
      </c>
      <c r="D50" s="747">
        <f>'User Dashboard'!X$15</f>
        <v>2.2072878851804097E-2</v>
      </c>
      <c r="E50" s="739">
        <f t="shared" si="1"/>
        <v>9.1306104687305738E-8</v>
      </c>
      <c r="F50" s="739">
        <f t="shared" si="9"/>
        <v>9.1306104687305712E-8</v>
      </c>
      <c r="G50" s="749">
        <f>1/'User Dashboard'!X$12</f>
        <v>0.14285714285714285</v>
      </c>
      <c r="H50" s="385">
        <f t="shared" si="2"/>
        <v>3674398.6937219864</v>
      </c>
      <c r="I50" s="751">
        <f t="shared" si="5"/>
        <v>1379.2975886400288</v>
      </c>
      <c r="J50" s="752">
        <f t="shared" si="3"/>
        <v>1022.0086893730787</v>
      </c>
      <c r="K50" s="385">
        <f t="shared" si="6"/>
        <v>2401.3062780131077</v>
      </c>
      <c r="L50" s="752">
        <f t="shared" si="10"/>
        <v>388.03279094301934</v>
      </c>
      <c r="N50" s="309" t="str">
        <f t="shared" si="11"/>
        <v/>
      </c>
      <c r="O50" s="752" t="str">
        <f t="array" ref="O50">IF(N50="","",MAX(IF(A:A=N50,K:K)))</f>
        <v/>
      </c>
    </row>
    <row r="51" spans="1:15" x14ac:dyDescent="0.75">
      <c r="A51" s="309">
        <f t="shared" si="4"/>
        <v>7</v>
      </c>
      <c r="B51" s="310">
        <v>44</v>
      </c>
      <c r="C51" s="746">
        <f>IF('User Dashboard'!Z$12=5,
IF('SIR Model Patient Calcs'!B51&lt;'User Dashboard'!AJ$15,'User Dashboard'!AN$14,
IF('SIR Model Patient Calcs'!B51&lt;'User Dashboard'!AJ$16,'User Dashboard'!AN$15,
IF('SIR Model Patient Calcs'!B51&lt;'User Dashboard'!AJ$17,'User Dashboard'!AN$16,
IF('SIR Model Patient Calcs'!B51&lt;'User Dashboard'!AJ$18,'User Dashboard'!AN$17,
'User Dashboard'!AN$18)))),
IF('User Dashboard'!Z$12=4,
IF('SIR Model Patient Calcs'!B51&lt;'User Dashboard'!AJ$15,'User Dashboard'!AN$14,
IF('SIR Model Patient Calcs'!B51&lt;'User Dashboard'!AJ$16,'User Dashboard'!AN$15,
IF('SIR Model Patient Calcs'!B51&lt;'User Dashboard'!AJ$17,'User Dashboard'!AN$16,
'User Dashboard'!AN$17))),
IF('User Dashboard'!Z$12=3,
IF('SIR Model Patient Calcs'!B51&lt;'User Dashboard'!AJ$15,'User Dashboard'!AN$14,
IF('SIR Model Patient Calcs'!B51&lt;'User Dashboard'!AJ$16,'User Dashboard'!AN$15,
'User Dashboard'!AN$16)),
IF('User Dashboard'!Z$12=2,
IF('SIR Model Patient Calcs'!B51&lt;'User Dashboard'!AJ$15,'User Dashboard'!AN$14,
'User Dashboard'!AN$15),
IF('User Dashboard'!Z$12=1,
'User Dashboard'!AN$14)))))</f>
        <v>15.209356603107825</v>
      </c>
      <c r="D51" s="747">
        <f>'User Dashboard'!X$15</f>
        <v>2.2072878851804097E-2</v>
      </c>
      <c r="E51" s="739">
        <f t="shared" si="1"/>
        <v>9.1306104687305738E-8</v>
      </c>
      <c r="F51" s="739">
        <f t="shared" si="9"/>
        <v>9.1306104687305712E-8</v>
      </c>
      <c r="G51" s="749">
        <f>1/'User Dashboard'!X$12</f>
        <v>0.14285714285714285</v>
      </c>
      <c r="H51" s="385">
        <f t="shared" si="2"/>
        <v>3673935.9462336353</v>
      </c>
      <c r="I51" s="751">
        <f t="shared" si="5"/>
        <v>1645.0025643284162</v>
      </c>
      <c r="J51" s="752">
        <f t="shared" si="3"/>
        <v>1219.0512020359399</v>
      </c>
      <c r="K51" s="385">
        <f t="shared" si="6"/>
        <v>2864.0537663643563</v>
      </c>
      <c r="L51" s="752">
        <f t="shared" si="10"/>
        <v>462.74748835124865</v>
      </c>
      <c r="N51" s="309" t="str">
        <f t="shared" si="11"/>
        <v/>
      </c>
      <c r="O51" s="752" t="str">
        <f t="array" ref="O51">IF(N51="","",MAX(IF(A:A=N51,K:K)))</f>
        <v/>
      </c>
    </row>
    <row r="52" spans="1:15" x14ac:dyDescent="0.75">
      <c r="A52" s="309">
        <f t="shared" si="4"/>
        <v>7</v>
      </c>
      <c r="B52" s="310">
        <v>45</v>
      </c>
      <c r="C52" s="746">
        <f>IF('User Dashboard'!Z$12=5,
IF('SIR Model Patient Calcs'!B52&lt;'User Dashboard'!AJ$15,'User Dashboard'!AN$14,
IF('SIR Model Patient Calcs'!B52&lt;'User Dashboard'!AJ$16,'User Dashboard'!AN$15,
IF('SIR Model Patient Calcs'!B52&lt;'User Dashboard'!AJ$17,'User Dashboard'!AN$16,
IF('SIR Model Patient Calcs'!B52&lt;'User Dashboard'!AJ$18,'User Dashboard'!AN$17,
'User Dashboard'!AN$18)))),
IF('User Dashboard'!Z$12=4,
IF('SIR Model Patient Calcs'!B52&lt;'User Dashboard'!AJ$15,'User Dashboard'!AN$14,
IF('SIR Model Patient Calcs'!B52&lt;'User Dashboard'!AJ$16,'User Dashboard'!AN$15,
IF('SIR Model Patient Calcs'!B52&lt;'User Dashboard'!AJ$17,'User Dashboard'!AN$16,
'User Dashboard'!AN$17))),
IF('User Dashboard'!Z$12=3,
IF('SIR Model Patient Calcs'!B52&lt;'User Dashboard'!AJ$15,'User Dashboard'!AN$14,
IF('SIR Model Patient Calcs'!B52&lt;'User Dashboard'!AJ$16,'User Dashboard'!AN$15,
'User Dashboard'!AN$16)),
IF('User Dashboard'!Z$12=2,
IF('SIR Model Patient Calcs'!B52&lt;'User Dashboard'!AJ$15,'User Dashboard'!AN$14,
'User Dashboard'!AN$15),
IF('User Dashboard'!Z$12=1,
'User Dashboard'!AN$14)))))</f>
        <v>15.209356603107825</v>
      </c>
      <c r="D52" s="747">
        <f>'User Dashboard'!X$15</f>
        <v>2.2072878851804097E-2</v>
      </c>
      <c r="E52" s="739">
        <f t="shared" si="1"/>
        <v>9.1306104687305738E-8</v>
      </c>
      <c r="F52" s="739">
        <f t="shared" si="9"/>
        <v>9.1306104687305725E-8</v>
      </c>
      <c r="G52" s="749">
        <f>1/'User Dashboard'!X$12</f>
        <v>0.14285714285714285</v>
      </c>
      <c r="H52" s="385">
        <f t="shared" si="2"/>
        <v>3673384.1255501248</v>
      </c>
      <c r="I52" s="751">
        <f t="shared" si="5"/>
        <v>1961.8228815063608</v>
      </c>
      <c r="J52" s="752">
        <f t="shared" si="3"/>
        <v>1454.0515683685708</v>
      </c>
      <c r="K52" s="385">
        <f t="shared" si="6"/>
        <v>3415.8744498749315</v>
      </c>
      <c r="L52" s="752">
        <f t="shared" si="10"/>
        <v>551.82068351057524</v>
      </c>
      <c r="N52" s="309" t="str">
        <f t="shared" si="11"/>
        <v/>
      </c>
      <c r="O52" s="752" t="str">
        <f t="array" ref="O52">IF(N52="","",MAX(IF(A:A=N52,K:K)))</f>
        <v/>
      </c>
    </row>
    <row r="53" spans="1:15" x14ac:dyDescent="0.75">
      <c r="A53" s="309">
        <f t="shared" si="4"/>
        <v>7</v>
      </c>
      <c r="B53" s="310">
        <v>46</v>
      </c>
      <c r="C53" s="746">
        <f>IF('User Dashboard'!Z$12=5,
IF('SIR Model Patient Calcs'!B53&lt;'User Dashboard'!AJ$15,'User Dashboard'!AN$14,
IF('SIR Model Patient Calcs'!B53&lt;'User Dashboard'!AJ$16,'User Dashboard'!AN$15,
IF('SIR Model Patient Calcs'!B53&lt;'User Dashboard'!AJ$17,'User Dashboard'!AN$16,
IF('SIR Model Patient Calcs'!B53&lt;'User Dashboard'!AJ$18,'User Dashboard'!AN$17,
'User Dashboard'!AN$18)))),
IF('User Dashboard'!Z$12=4,
IF('SIR Model Patient Calcs'!B53&lt;'User Dashboard'!AJ$15,'User Dashboard'!AN$14,
IF('SIR Model Patient Calcs'!B53&lt;'User Dashboard'!AJ$16,'User Dashboard'!AN$15,
IF('SIR Model Patient Calcs'!B53&lt;'User Dashboard'!AJ$17,'User Dashboard'!AN$16,
'User Dashboard'!AN$17))),
IF('User Dashboard'!Z$12=3,
IF('SIR Model Patient Calcs'!B53&lt;'User Dashboard'!AJ$15,'User Dashboard'!AN$14,
IF('SIR Model Patient Calcs'!B53&lt;'User Dashboard'!AJ$16,'User Dashboard'!AN$15,
'User Dashboard'!AN$16)),
IF('User Dashboard'!Z$12=2,
IF('SIR Model Patient Calcs'!B53&lt;'User Dashboard'!AJ$15,'User Dashboard'!AN$14,
'User Dashboard'!AN$15),
IF('User Dashboard'!Z$12=1,
'User Dashboard'!AN$14)))))</f>
        <v>15.209356603107825</v>
      </c>
      <c r="D53" s="747">
        <f>'User Dashboard'!X$15</f>
        <v>2.2072878851804097E-2</v>
      </c>
      <c r="E53" s="739">
        <f t="shared" si="1"/>
        <v>9.1306104687305738E-8</v>
      </c>
      <c r="F53" s="739">
        <f t="shared" si="9"/>
        <v>9.1306104687305725E-8</v>
      </c>
      <c r="G53" s="749">
        <f>1/'User Dashboard'!X$12</f>
        <v>0.14285714285714285</v>
      </c>
      <c r="H53" s="385">
        <f t="shared" si="2"/>
        <v>3672726.1254560733</v>
      </c>
      <c r="I53" s="751">
        <f t="shared" si="5"/>
        <v>2339.5625639139516</v>
      </c>
      <c r="J53" s="752">
        <f t="shared" si="3"/>
        <v>1734.3119800123366</v>
      </c>
      <c r="K53" s="385">
        <f t="shared" si="6"/>
        <v>4073.8745439262884</v>
      </c>
      <c r="L53" s="752">
        <f t="shared" si="10"/>
        <v>658.00009405135688</v>
      </c>
      <c r="N53" s="309" t="str">
        <f t="shared" si="11"/>
        <v/>
      </c>
      <c r="O53" s="752" t="str">
        <f t="array" ref="O53">IF(N53="","",MAX(IF(A:A=N53,K:K)))</f>
        <v/>
      </c>
    </row>
    <row r="54" spans="1:15" x14ac:dyDescent="0.75">
      <c r="A54" s="309">
        <f t="shared" si="4"/>
        <v>7</v>
      </c>
      <c r="B54" s="310">
        <v>47</v>
      </c>
      <c r="C54" s="746">
        <f>IF('User Dashboard'!Z$12=5,
IF('SIR Model Patient Calcs'!B54&lt;'User Dashboard'!AJ$15,'User Dashboard'!AN$14,
IF('SIR Model Patient Calcs'!B54&lt;'User Dashboard'!AJ$16,'User Dashboard'!AN$15,
IF('SIR Model Patient Calcs'!B54&lt;'User Dashboard'!AJ$17,'User Dashboard'!AN$16,
IF('SIR Model Patient Calcs'!B54&lt;'User Dashboard'!AJ$18,'User Dashboard'!AN$17,
'User Dashboard'!AN$18)))),
IF('User Dashboard'!Z$12=4,
IF('SIR Model Patient Calcs'!B54&lt;'User Dashboard'!AJ$15,'User Dashboard'!AN$14,
IF('SIR Model Patient Calcs'!B54&lt;'User Dashboard'!AJ$16,'User Dashboard'!AN$15,
IF('SIR Model Patient Calcs'!B54&lt;'User Dashboard'!AJ$17,'User Dashboard'!AN$16,
'User Dashboard'!AN$17))),
IF('User Dashboard'!Z$12=3,
IF('SIR Model Patient Calcs'!B54&lt;'User Dashboard'!AJ$15,'User Dashboard'!AN$14,
IF('SIR Model Patient Calcs'!B54&lt;'User Dashboard'!AJ$16,'User Dashboard'!AN$15,
'User Dashboard'!AN$16)),
IF('User Dashboard'!Z$12=2,
IF('SIR Model Patient Calcs'!B54&lt;'User Dashboard'!AJ$15,'User Dashboard'!AN$14,
'User Dashboard'!AN$15),
IF('User Dashboard'!Z$12=1,
'User Dashboard'!AN$14)))))</f>
        <v>15.209356603107825</v>
      </c>
      <c r="D54" s="747">
        <f>'User Dashboard'!X$15</f>
        <v>2.2072878851804097E-2</v>
      </c>
      <c r="E54" s="739">
        <f t="shared" si="1"/>
        <v>9.1306104687305738E-8</v>
      </c>
      <c r="F54" s="739">
        <f t="shared" si="9"/>
        <v>9.1306104687305725E-8</v>
      </c>
      <c r="G54" s="749">
        <f>1/'User Dashboard'!X$12</f>
        <v>0.14285714285714285</v>
      </c>
      <c r="H54" s="385">
        <f t="shared" si="2"/>
        <v>3671941.5711272326</v>
      </c>
      <c r="I54" s="751">
        <f t="shared" si="5"/>
        <v>2789.8936693383785</v>
      </c>
      <c r="J54" s="752">
        <f t="shared" si="3"/>
        <v>2068.5352034286152</v>
      </c>
      <c r="K54" s="385">
        <f t="shared" si="6"/>
        <v>4858.4288727669937</v>
      </c>
      <c r="L54" s="752">
        <f t="shared" si="10"/>
        <v>784.55432884070524</v>
      </c>
      <c r="N54" s="309" t="str">
        <f t="shared" si="11"/>
        <v/>
      </c>
      <c r="O54" s="752" t="str">
        <f t="array" ref="O54">IF(N54="","",MAX(IF(A:A=N54,K:K)))</f>
        <v/>
      </c>
    </row>
    <row r="55" spans="1:15" x14ac:dyDescent="0.75">
      <c r="A55" s="309">
        <f t="shared" si="4"/>
        <v>7</v>
      </c>
      <c r="B55" s="310">
        <v>48</v>
      </c>
      <c r="C55" s="746">
        <f>IF('User Dashboard'!Z$12=5,
IF('SIR Model Patient Calcs'!B55&lt;'User Dashboard'!AJ$15,'User Dashboard'!AN$14,
IF('SIR Model Patient Calcs'!B55&lt;'User Dashboard'!AJ$16,'User Dashboard'!AN$15,
IF('SIR Model Patient Calcs'!B55&lt;'User Dashboard'!AJ$17,'User Dashboard'!AN$16,
IF('SIR Model Patient Calcs'!B55&lt;'User Dashboard'!AJ$18,'User Dashboard'!AN$17,
'User Dashboard'!AN$18)))),
IF('User Dashboard'!Z$12=4,
IF('SIR Model Patient Calcs'!B55&lt;'User Dashboard'!AJ$15,'User Dashboard'!AN$14,
IF('SIR Model Patient Calcs'!B55&lt;'User Dashboard'!AJ$16,'User Dashboard'!AN$15,
IF('SIR Model Patient Calcs'!B55&lt;'User Dashboard'!AJ$17,'User Dashboard'!AN$16,
'User Dashboard'!AN$17))),
IF('User Dashboard'!Z$12=3,
IF('SIR Model Patient Calcs'!B55&lt;'User Dashboard'!AJ$15,'User Dashboard'!AN$14,
IF('SIR Model Patient Calcs'!B55&lt;'User Dashboard'!AJ$16,'User Dashboard'!AN$15,
'User Dashboard'!AN$16)),
IF('User Dashboard'!Z$12=2,
IF('SIR Model Patient Calcs'!B55&lt;'User Dashboard'!AJ$15,'User Dashboard'!AN$14,
'User Dashboard'!AN$15),
IF('User Dashboard'!Z$12=1,
'User Dashboard'!AN$14)))))</f>
        <v>15.209356603107825</v>
      </c>
      <c r="D55" s="747">
        <f>'User Dashboard'!X$15</f>
        <v>2.2072878851804097E-2</v>
      </c>
      <c r="E55" s="739">
        <f t="shared" si="1"/>
        <v>9.1306104687305738E-8</v>
      </c>
      <c r="F55" s="739">
        <f t="shared" si="9"/>
        <v>9.1306104687305725E-8</v>
      </c>
      <c r="G55" s="749">
        <f>1/'User Dashboard'!X$12</f>
        <v>0.14285714285714285</v>
      </c>
      <c r="H55" s="385">
        <f t="shared" si="2"/>
        <v>3671006.2015754036</v>
      </c>
      <c r="I55" s="751">
        <f t="shared" si="5"/>
        <v>3326.7069826903275</v>
      </c>
      <c r="J55" s="752">
        <f t="shared" si="3"/>
        <v>2467.0914419055262</v>
      </c>
      <c r="K55" s="385">
        <f t="shared" si="6"/>
        <v>5793.7984245958542</v>
      </c>
      <c r="L55" s="752">
        <f t="shared" si="10"/>
        <v>935.36955182886049</v>
      </c>
      <c r="N55" s="309" t="str">
        <f t="shared" si="11"/>
        <v/>
      </c>
      <c r="O55" s="752" t="str">
        <f t="array" ref="O55">IF(N55="","",MAX(IF(A:A=N55,K:K)))</f>
        <v/>
      </c>
    </row>
    <row r="56" spans="1:15" x14ac:dyDescent="0.75">
      <c r="A56" s="309">
        <f t="shared" si="4"/>
        <v>7</v>
      </c>
      <c r="B56" s="310">
        <v>49</v>
      </c>
      <c r="C56" s="746">
        <f>IF('User Dashboard'!Z$12=5,
IF('SIR Model Patient Calcs'!B56&lt;'User Dashboard'!AJ$15,'User Dashboard'!AN$14,
IF('SIR Model Patient Calcs'!B56&lt;'User Dashboard'!AJ$16,'User Dashboard'!AN$15,
IF('SIR Model Patient Calcs'!B56&lt;'User Dashboard'!AJ$17,'User Dashboard'!AN$16,
IF('SIR Model Patient Calcs'!B56&lt;'User Dashboard'!AJ$18,'User Dashboard'!AN$17,
'User Dashboard'!AN$18)))),
IF('User Dashboard'!Z$12=4,
IF('SIR Model Patient Calcs'!B56&lt;'User Dashboard'!AJ$15,'User Dashboard'!AN$14,
IF('SIR Model Patient Calcs'!B56&lt;'User Dashboard'!AJ$16,'User Dashboard'!AN$15,
IF('SIR Model Patient Calcs'!B56&lt;'User Dashboard'!AJ$17,'User Dashboard'!AN$16,
'User Dashboard'!AN$17))),
IF('User Dashboard'!Z$12=3,
IF('SIR Model Patient Calcs'!B56&lt;'User Dashboard'!AJ$15,'User Dashboard'!AN$14,
IF('SIR Model Patient Calcs'!B56&lt;'User Dashboard'!AJ$16,'User Dashboard'!AN$15,
'User Dashboard'!AN$16)),
IF('User Dashboard'!Z$12=2,
IF('SIR Model Patient Calcs'!B56&lt;'User Dashboard'!AJ$15,'User Dashboard'!AN$14,
'User Dashboard'!AN$15),
IF('User Dashboard'!Z$12=1,
'User Dashboard'!AN$14)))))</f>
        <v>15.209356603107825</v>
      </c>
      <c r="D56" s="747">
        <f>'User Dashboard'!X$15</f>
        <v>2.2072878851804097E-2</v>
      </c>
      <c r="E56" s="739">
        <f t="shared" si="1"/>
        <v>9.1306104687305751E-8</v>
      </c>
      <c r="F56" s="739">
        <f t="shared" si="9"/>
        <v>9.1306104687305725E-8</v>
      </c>
      <c r="G56" s="749">
        <f>1/'User Dashboard'!X$12</f>
        <v>0.14285714285714285</v>
      </c>
      <c r="H56" s="385">
        <f t="shared" si="2"/>
        <v>3669891.1383754136</v>
      </c>
      <c r="I56" s="751">
        <f t="shared" si="5"/>
        <v>3966.5263280101367</v>
      </c>
      <c r="J56" s="752">
        <f t="shared" si="3"/>
        <v>2942.335296575573</v>
      </c>
      <c r="K56" s="385">
        <f t="shared" si="6"/>
        <v>6908.8616245857102</v>
      </c>
      <c r="L56" s="752">
        <f t="shared" si="10"/>
        <v>1115.063199989856</v>
      </c>
      <c r="N56" s="309" t="str">
        <f t="shared" si="11"/>
        <v/>
      </c>
      <c r="O56" s="752" t="str">
        <f t="array" ref="O56">IF(N56="","",MAX(IF(A:A=N56,K:K)))</f>
        <v/>
      </c>
    </row>
    <row r="57" spans="1:15" x14ac:dyDescent="0.75">
      <c r="A57" s="309">
        <f t="shared" si="4"/>
        <v>8</v>
      </c>
      <c r="B57" s="310">
        <v>50</v>
      </c>
      <c r="C57" s="746">
        <f>IF('User Dashboard'!Z$12=5,
IF('SIR Model Patient Calcs'!B57&lt;'User Dashboard'!AJ$15,'User Dashboard'!AN$14,
IF('SIR Model Patient Calcs'!B57&lt;'User Dashboard'!AJ$16,'User Dashboard'!AN$15,
IF('SIR Model Patient Calcs'!B57&lt;'User Dashboard'!AJ$17,'User Dashboard'!AN$16,
IF('SIR Model Patient Calcs'!B57&lt;'User Dashboard'!AJ$18,'User Dashboard'!AN$17,
'User Dashboard'!AN$18)))),
IF('User Dashboard'!Z$12=4,
IF('SIR Model Patient Calcs'!B57&lt;'User Dashboard'!AJ$15,'User Dashboard'!AN$14,
IF('SIR Model Patient Calcs'!B57&lt;'User Dashboard'!AJ$16,'User Dashboard'!AN$15,
IF('SIR Model Patient Calcs'!B57&lt;'User Dashboard'!AJ$17,'User Dashboard'!AN$16,
'User Dashboard'!AN$17))),
IF('User Dashboard'!Z$12=3,
IF('SIR Model Patient Calcs'!B57&lt;'User Dashboard'!AJ$15,'User Dashboard'!AN$14,
IF('SIR Model Patient Calcs'!B57&lt;'User Dashboard'!AJ$16,'User Dashboard'!AN$15,
'User Dashboard'!AN$16)),
IF('User Dashboard'!Z$12=2,
IF('SIR Model Patient Calcs'!B57&lt;'User Dashboard'!AJ$15,'User Dashboard'!AN$14,
'User Dashboard'!AN$15),
IF('User Dashboard'!Z$12=1,
'User Dashboard'!AN$14)))))</f>
        <v>15.209356603107825</v>
      </c>
      <c r="D57" s="747">
        <f>'User Dashboard'!X$15</f>
        <v>2.2072878851804097E-2</v>
      </c>
      <c r="E57" s="739">
        <f t="shared" si="1"/>
        <v>9.1306104687305751E-8</v>
      </c>
      <c r="F57" s="739">
        <f t="shared" si="9"/>
        <v>9.1306104687305725E-8</v>
      </c>
      <c r="G57" s="749">
        <f>1/'User Dashboard'!X$12</f>
        <v>0.14285714285714285</v>
      </c>
      <c r="H57" s="385">
        <f t="shared" si="2"/>
        <v>3668562.0209915065</v>
      </c>
      <c r="I57" s="751">
        <f t="shared" si="5"/>
        <v>4728.9970936301124</v>
      </c>
      <c r="J57" s="752">
        <f t="shared" si="3"/>
        <v>3508.9819148627353</v>
      </c>
      <c r="K57" s="385">
        <f t="shared" si="6"/>
        <v>8237.9790084928482</v>
      </c>
      <c r="L57" s="752">
        <f t="shared" si="10"/>
        <v>1329.117383907138</v>
      </c>
      <c r="N57" s="309" t="str">
        <f t="shared" si="11"/>
        <v/>
      </c>
      <c r="O57" s="752" t="str">
        <f t="array" ref="O57">IF(N57="","",MAX(IF(A:A=N57,K:K)))</f>
        <v/>
      </c>
    </row>
    <row r="58" spans="1:15" x14ac:dyDescent="0.75">
      <c r="A58" s="309">
        <f t="shared" si="4"/>
        <v>8</v>
      </c>
      <c r="B58" s="310">
        <v>51</v>
      </c>
      <c r="C58" s="746">
        <f>IF('User Dashboard'!Z$12=5,
IF('SIR Model Patient Calcs'!B58&lt;'User Dashboard'!AJ$15,'User Dashboard'!AN$14,
IF('SIR Model Patient Calcs'!B58&lt;'User Dashboard'!AJ$16,'User Dashboard'!AN$15,
IF('SIR Model Patient Calcs'!B58&lt;'User Dashboard'!AJ$17,'User Dashboard'!AN$16,
IF('SIR Model Patient Calcs'!B58&lt;'User Dashboard'!AJ$18,'User Dashboard'!AN$17,
'User Dashboard'!AN$18)))),
IF('User Dashboard'!Z$12=4,
IF('SIR Model Patient Calcs'!B58&lt;'User Dashboard'!AJ$15,'User Dashboard'!AN$14,
IF('SIR Model Patient Calcs'!B58&lt;'User Dashboard'!AJ$16,'User Dashboard'!AN$15,
IF('SIR Model Patient Calcs'!B58&lt;'User Dashboard'!AJ$17,'User Dashboard'!AN$16,
'User Dashboard'!AN$17))),
IF('User Dashboard'!Z$12=3,
IF('SIR Model Patient Calcs'!B58&lt;'User Dashboard'!AJ$15,'User Dashboard'!AN$14,
IF('SIR Model Patient Calcs'!B58&lt;'User Dashboard'!AJ$16,'User Dashboard'!AN$15,
'User Dashboard'!AN$16)),
IF('User Dashboard'!Z$12=2,
IF('SIR Model Patient Calcs'!B58&lt;'User Dashboard'!AJ$15,'User Dashboard'!AN$14,
'User Dashboard'!AN$15),
IF('User Dashboard'!Z$12=1,
'User Dashboard'!AN$14)))))</f>
        <v>15.209356603107825</v>
      </c>
      <c r="D58" s="747">
        <f>'User Dashboard'!X$15</f>
        <v>2.2072878851804097E-2</v>
      </c>
      <c r="E58" s="739">
        <f t="shared" si="1"/>
        <v>9.1306104687305738E-8</v>
      </c>
      <c r="F58" s="739">
        <f t="shared" si="9"/>
        <v>9.1306104687305725E-8</v>
      </c>
      <c r="G58" s="749">
        <f>1/'User Dashboard'!X$12</f>
        <v>0.14285714285714285</v>
      </c>
      <c r="H58" s="385">
        <f t="shared" si="2"/>
        <v>3666977.9861565796</v>
      </c>
      <c r="I58" s="751">
        <f t="shared" si="5"/>
        <v>5637.4609151813374</v>
      </c>
      <c r="J58" s="752">
        <f t="shared" si="3"/>
        <v>4184.5529282384659</v>
      </c>
      <c r="K58" s="385">
        <f t="shared" si="6"/>
        <v>9822.0138434198034</v>
      </c>
      <c r="L58" s="752">
        <f t="shared" si="10"/>
        <v>1584.0348349269552</v>
      </c>
      <c r="N58" s="309" t="str">
        <f t="shared" si="11"/>
        <v/>
      </c>
      <c r="O58" s="752" t="str">
        <f t="array" ref="O58">IF(N58="","",MAX(IF(A:A=N58,K:K)))</f>
        <v/>
      </c>
    </row>
    <row r="59" spans="1:15" x14ac:dyDescent="0.75">
      <c r="A59" s="309">
        <f t="shared" si="4"/>
        <v>8</v>
      </c>
      <c r="B59" s="310">
        <v>52</v>
      </c>
      <c r="C59" s="746">
        <f>IF('User Dashboard'!Z$12=5,
IF('SIR Model Patient Calcs'!B59&lt;'User Dashboard'!AJ$15,'User Dashboard'!AN$14,
IF('SIR Model Patient Calcs'!B59&lt;'User Dashboard'!AJ$16,'User Dashboard'!AN$15,
IF('SIR Model Patient Calcs'!B59&lt;'User Dashboard'!AJ$17,'User Dashboard'!AN$16,
IF('SIR Model Patient Calcs'!B59&lt;'User Dashboard'!AJ$18,'User Dashboard'!AN$17,
'User Dashboard'!AN$18)))),
IF('User Dashboard'!Z$12=4,
IF('SIR Model Patient Calcs'!B59&lt;'User Dashboard'!AJ$15,'User Dashboard'!AN$14,
IF('SIR Model Patient Calcs'!B59&lt;'User Dashboard'!AJ$16,'User Dashboard'!AN$15,
IF('SIR Model Patient Calcs'!B59&lt;'User Dashboard'!AJ$17,'User Dashboard'!AN$16,
'User Dashboard'!AN$17))),
IF('User Dashboard'!Z$12=3,
IF('SIR Model Patient Calcs'!B59&lt;'User Dashboard'!AJ$15,'User Dashboard'!AN$14,
IF('SIR Model Patient Calcs'!B59&lt;'User Dashboard'!AJ$16,'User Dashboard'!AN$15,
'User Dashboard'!AN$16)),
IF('User Dashboard'!Z$12=2,
IF('SIR Model Patient Calcs'!B59&lt;'User Dashboard'!AJ$15,'User Dashboard'!AN$14,
'User Dashboard'!AN$15),
IF('User Dashboard'!Z$12=1,
'User Dashboard'!AN$14)))))</f>
        <v>15.209356603107825</v>
      </c>
      <c r="D59" s="747">
        <f>'User Dashboard'!X$15</f>
        <v>2.2072878851804097E-2</v>
      </c>
      <c r="E59" s="739">
        <f t="shared" si="1"/>
        <v>9.1306104687305738E-8</v>
      </c>
      <c r="F59" s="739">
        <f t="shared" si="9"/>
        <v>9.1306104687305725E-8</v>
      </c>
      <c r="G59" s="749">
        <f>1/'User Dashboard'!X$12</f>
        <v>0.14285714285714285</v>
      </c>
      <c r="H59" s="385">
        <f t="shared" si="2"/>
        <v>3665090.4657225297</v>
      </c>
      <c r="I59" s="751">
        <f t="shared" si="5"/>
        <v>6719.6297899195906</v>
      </c>
      <c r="J59" s="752">
        <f t="shared" si="3"/>
        <v>4989.9044875500858</v>
      </c>
      <c r="K59" s="385">
        <f t="shared" si="6"/>
        <v>11709.534277469676</v>
      </c>
      <c r="L59" s="752">
        <f t="shared" si="10"/>
        <v>1887.5204340498731</v>
      </c>
      <c r="N59" s="309" t="str">
        <f t="shared" si="11"/>
        <v/>
      </c>
      <c r="O59" s="752" t="str">
        <f t="array" ref="O59">IF(N59="","",MAX(IF(A:A=N59,K:K)))</f>
        <v/>
      </c>
    </row>
    <row r="60" spans="1:15" x14ac:dyDescent="0.75">
      <c r="A60" s="309">
        <f t="shared" si="4"/>
        <v>8</v>
      </c>
      <c r="B60" s="310">
        <v>53</v>
      </c>
      <c r="C60" s="746">
        <f>IF('User Dashboard'!Z$12=5,
IF('SIR Model Patient Calcs'!B60&lt;'User Dashboard'!AJ$15,'User Dashboard'!AN$14,
IF('SIR Model Patient Calcs'!B60&lt;'User Dashboard'!AJ$16,'User Dashboard'!AN$15,
IF('SIR Model Patient Calcs'!B60&lt;'User Dashboard'!AJ$17,'User Dashboard'!AN$16,
IF('SIR Model Patient Calcs'!B60&lt;'User Dashboard'!AJ$18,'User Dashboard'!AN$17,
'User Dashboard'!AN$18)))),
IF('User Dashboard'!Z$12=4,
IF('SIR Model Patient Calcs'!B60&lt;'User Dashboard'!AJ$15,'User Dashboard'!AN$14,
IF('SIR Model Patient Calcs'!B60&lt;'User Dashboard'!AJ$16,'User Dashboard'!AN$15,
IF('SIR Model Patient Calcs'!B60&lt;'User Dashboard'!AJ$17,'User Dashboard'!AN$16,
'User Dashboard'!AN$17))),
IF('User Dashboard'!Z$12=3,
IF('SIR Model Patient Calcs'!B60&lt;'User Dashboard'!AJ$15,'User Dashboard'!AN$14,
IF('SIR Model Patient Calcs'!B60&lt;'User Dashboard'!AJ$16,'User Dashboard'!AN$15,
'User Dashboard'!AN$16)),
IF('User Dashboard'!Z$12=2,
IF('SIR Model Patient Calcs'!B60&lt;'User Dashboard'!AJ$15,'User Dashboard'!AN$14,
'User Dashboard'!AN$15),
IF('User Dashboard'!Z$12=1,
'User Dashboard'!AN$14)))))</f>
        <v>15.209356603107825</v>
      </c>
      <c r="D60" s="747">
        <f>'User Dashboard'!X$15</f>
        <v>2.2072878851804097E-2</v>
      </c>
      <c r="E60" s="739">
        <f t="shared" si="1"/>
        <v>9.1306104687305751E-8</v>
      </c>
      <c r="F60" s="739">
        <f t="shared" si="9"/>
        <v>9.1306104687305725E-8</v>
      </c>
      <c r="G60" s="749">
        <f>1/'User Dashboard'!X$12</f>
        <v>0.14285714285714285</v>
      </c>
      <c r="H60" s="385">
        <f t="shared" si="2"/>
        <v>3662841.7743127202</v>
      </c>
      <c r="I60" s="751">
        <f t="shared" si="5"/>
        <v>8008.3740868835339</v>
      </c>
      <c r="J60" s="752">
        <f t="shared" si="3"/>
        <v>5949.8516003957411</v>
      </c>
      <c r="K60" s="385">
        <f t="shared" si="6"/>
        <v>13958.225687279275</v>
      </c>
      <c r="L60" s="752">
        <f t="shared" si="10"/>
        <v>2248.6914098095986</v>
      </c>
      <c r="N60" s="309" t="str">
        <f t="shared" si="11"/>
        <v/>
      </c>
      <c r="O60" s="752" t="str">
        <f t="array" ref="O60">IF(N60="","",MAX(IF(A:A=N60,K:K)))</f>
        <v/>
      </c>
    </row>
    <row r="61" spans="1:15" x14ac:dyDescent="0.75">
      <c r="A61" s="309">
        <f t="shared" si="4"/>
        <v>8</v>
      </c>
      <c r="B61" s="310">
        <v>54</v>
      </c>
      <c r="C61" s="746">
        <f>IF('User Dashboard'!Z$12=5,
IF('SIR Model Patient Calcs'!B61&lt;'User Dashboard'!AJ$15,'User Dashboard'!AN$14,
IF('SIR Model Patient Calcs'!B61&lt;'User Dashboard'!AJ$16,'User Dashboard'!AN$15,
IF('SIR Model Patient Calcs'!B61&lt;'User Dashboard'!AJ$17,'User Dashboard'!AN$16,
IF('SIR Model Patient Calcs'!B61&lt;'User Dashboard'!AJ$18,'User Dashboard'!AN$17,
'User Dashboard'!AN$18)))),
IF('User Dashboard'!Z$12=4,
IF('SIR Model Patient Calcs'!B61&lt;'User Dashboard'!AJ$15,'User Dashboard'!AN$14,
IF('SIR Model Patient Calcs'!B61&lt;'User Dashboard'!AJ$16,'User Dashboard'!AN$15,
IF('SIR Model Patient Calcs'!B61&lt;'User Dashboard'!AJ$17,'User Dashboard'!AN$16,
'User Dashboard'!AN$17))),
IF('User Dashboard'!Z$12=3,
IF('SIR Model Patient Calcs'!B61&lt;'User Dashboard'!AJ$15,'User Dashboard'!AN$14,
IF('SIR Model Patient Calcs'!B61&lt;'User Dashboard'!AJ$16,'User Dashboard'!AN$15,
'User Dashboard'!AN$16)),
IF('User Dashboard'!Z$12=2,
IF('SIR Model Patient Calcs'!B61&lt;'User Dashboard'!AJ$15,'User Dashboard'!AN$14,
'User Dashboard'!AN$15),
IF('User Dashboard'!Z$12=1,
'User Dashboard'!AN$14)))))</f>
        <v>15.209356603107825</v>
      </c>
      <c r="D61" s="747">
        <f>'User Dashboard'!X$15</f>
        <v>2.2072878851804097E-2</v>
      </c>
      <c r="E61" s="739">
        <f t="shared" si="1"/>
        <v>9.1306104687305751E-8</v>
      </c>
      <c r="F61" s="739">
        <f t="shared" si="9"/>
        <v>9.1306104687305738E-8</v>
      </c>
      <c r="G61" s="749">
        <f>1/'User Dashboard'!X$12</f>
        <v>0.14285714285714285</v>
      </c>
      <c r="H61" s="385">
        <f t="shared" si="2"/>
        <v>3660163.4551686686</v>
      </c>
      <c r="I61" s="751">
        <f t="shared" si="5"/>
        <v>9542.639789951565</v>
      </c>
      <c r="J61" s="752">
        <f t="shared" si="3"/>
        <v>7093.9050413791028</v>
      </c>
      <c r="K61" s="385">
        <f t="shared" si="6"/>
        <v>16636.54483133067</v>
      </c>
      <c r="L61" s="752">
        <f t="shared" si="10"/>
        <v>2678.3191440513947</v>
      </c>
      <c r="N61" s="309" t="str">
        <f t="shared" si="11"/>
        <v/>
      </c>
      <c r="O61" s="752" t="str">
        <f t="array" ref="O61">IF(N61="","",MAX(IF(A:A=N61,K:K)))</f>
        <v/>
      </c>
    </row>
    <row r="62" spans="1:15" x14ac:dyDescent="0.75">
      <c r="A62" s="309">
        <f t="shared" si="4"/>
        <v>8</v>
      </c>
      <c r="B62" s="310">
        <v>55</v>
      </c>
      <c r="C62" s="746">
        <f>IF('User Dashboard'!Z$12=5,
IF('SIR Model Patient Calcs'!B62&lt;'User Dashboard'!AJ$15,'User Dashboard'!AN$14,
IF('SIR Model Patient Calcs'!B62&lt;'User Dashboard'!AJ$16,'User Dashboard'!AN$15,
IF('SIR Model Patient Calcs'!B62&lt;'User Dashboard'!AJ$17,'User Dashboard'!AN$16,
IF('SIR Model Patient Calcs'!B62&lt;'User Dashboard'!AJ$18,'User Dashboard'!AN$17,
'User Dashboard'!AN$18)))),
IF('User Dashboard'!Z$12=4,
IF('SIR Model Patient Calcs'!B62&lt;'User Dashboard'!AJ$15,'User Dashboard'!AN$14,
IF('SIR Model Patient Calcs'!B62&lt;'User Dashboard'!AJ$16,'User Dashboard'!AN$15,
IF('SIR Model Patient Calcs'!B62&lt;'User Dashboard'!AJ$17,'User Dashboard'!AN$16,
'User Dashboard'!AN$17))),
IF('User Dashboard'!Z$12=3,
IF('SIR Model Patient Calcs'!B62&lt;'User Dashboard'!AJ$15,'User Dashboard'!AN$14,
IF('SIR Model Patient Calcs'!B62&lt;'User Dashboard'!AJ$16,'User Dashboard'!AN$15,
'User Dashboard'!AN$16)),
IF('User Dashboard'!Z$12=2,
IF('SIR Model Patient Calcs'!B62&lt;'User Dashboard'!AJ$15,'User Dashboard'!AN$14,
'User Dashboard'!AN$15),
IF('User Dashboard'!Z$12=1,
'User Dashboard'!AN$14)))))</f>
        <v>15.209356603107825</v>
      </c>
      <c r="D62" s="747">
        <f>'User Dashboard'!X$15</f>
        <v>2.2072878851804097E-2</v>
      </c>
      <c r="E62" s="739">
        <f t="shared" si="1"/>
        <v>9.1306104687305751E-8</v>
      </c>
      <c r="F62" s="739">
        <f t="shared" si="9"/>
        <v>9.1306104687305738E-8</v>
      </c>
      <c r="G62" s="749">
        <f>1/'User Dashboard'!X$12</f>
        <v>0.14285714285714285</v>
      </c>
      <c r="H62" s="385">
        <f t="shared" si="2"/>
        <v>3656974.3501103572</v>
      </c>
      <c r="I62" s="751">
        <f t="shared" si="5"/>
        <v>11368.510592555578</v>
      </c>
      <c r="J62" s="752">
        <f t="shared" si="3"/>
        <v>8457.139297086469</v>
      </c>
      <c r="K62" s="385">
        <f t="shared" si="6"/>
        <v>19825.649889642045</v>
      </c>
      <c r="L62" s="752">
        <f t="shared" si="10"/>
        <v>3189.1050583113756</v>
      </c>
      <c r="N62" s="309" t="str">
        <f t="shared" si="11"/>
        <v/>
      </c>
      <c r="O62" s="752" t="str">
        <f t="array" ref="O62">IF(N62="","",MAX(IF(A:A=N62,K:K)))</f>
        <v/>
      </c>
    </row>
    <row r="63" spans="1:15" x14ac:dyDescent="0.75">
      <c r="A63" s="309">
        <f t="shared" si="4"/>
        <v>8</v>
      </c>
      <c r="B63" s="310">
        <v>56</v>
      </c>
      <c r="C63" s="746">
        <f>IF('User Dashboard'!Z$12=5,
IF('SIR Model Patient Calcs'!B63&lt;'User Dashboard'!AJ$15,'User Dashboard'!AN$14,
IF('SIR Model Patient Calcs'!B63&lt;'User Dashboard'!AJ$16,'User Dashboard'!AN$15,
IF('SIR Model Patient Calcs'!B63&lt;'User Dashboard'!AJ$17,'User Dashboard'!AN$16,
IF('SIR Model Patient Calcs'!B63&lt;'User Dashboard'!AJ$18,'User Dashboard'!AN$17,
'User Dashboard'!AN$18)))),
IF('User Dashboard'!Z$12=4,
IF('SIR Model Patient Calcs'!B63&lt;'User Dashboard'!AJ$15,'User Dashboard'!AN$14,
IF('SIR Model Patient Calcs'!B63&lt;'User Dashboard'!AJ$16,'User Dashboard'!AN$15,
IF('SIR Model Patient Calcs'!B63&lt;'User Dashboard'!AJ$17,'User Dashboard'!AN$16,
'User Dashboard'!AN$17))),
IF('User Dashboard'!Z$12=3,
IF('SIR Model Patient Calcs'!B63&lt;'User Dashboard'!AJ$15,'User Dashboard'!AN$14,
IF('SIR Model Patient Calcs'!B63&lt;'User Dashboard'!AJ$16,'User Dashboard'!AN$15,
'User Dashboard'!AN$16)),
IF('User Dashboard'!Z$12=2,
IF('SIR Model Patient Calcs'!B63&lt;'User Dashboard'!AJ$15,'User Dashboard'!AN$14,
'User Dashboard'!AN$15),
IF('User Dashboard'!Z$12=1,
'User Dashboard'!AN$14)))))</f>
        <v>15.209356603107825</v>
      </c>
      <c r="D63" s="747">
        <f>'User Dashboard'!X$15</f>
        <v>2.2072878851804097E-2</v>
      </c>
      <c r="E63" s="739">
        <f t="shared" si="1"/>
        <v>9.1306104687305751E-8</v>
      </c>
      <c r="F63" s="739">
        <f t="shared" si="9"/>
        <v>9.1306104687305738E-8</v>
      </c>
      <c r="G63" s="749">
        <f>1/'User Dashboard'!X$12</f>
        <v>0.14285714285714285</v>
      </c>
      <c r="H63" s="385">
        <f t="shared" si="2"/>
        <v>3653178.3580075796</v>
      </c>
      <c r="I63" s="751">
        <f t="shared" si="5"/>
        <v>13540.429753539342</v>
      </c>
      <c r="J63" s="752">
        <f t="shared" si="3"/>
        <v>10081.212238880124</v>
      </c>
      <c r="K63" s="385">
        <f t="shared" si="6"/>
        <v>23621.641992419463</v>
      </c>
      <c r="L63" s="752">
        <f t="shared" si="10"/>
        <v>3795.992102777418</v>
      </c>
      <c r="N63" s="309" t="str">
        <f t="shared" si="11"/>
        <v/>
      </c>
      <c r="O63" s="752" t="str">
        <f t="array" ref="O63">IF(N63="","",MAX(IF(A:A=N63,K:K)))</f>
        <v/>
      </c>
    </row>
    <row r="64" spans="1:15" x14ac:dyDescent="0.75">
      <c r="A64" s="309">
        <f t="shared" si="4"/>
        <v>9</v>
      </c>
      <c r="B64" s="310">
        <v>57</v>
      </c>
      <c r="C64" s="746">
        <f>IF('User Dashboard'!Z$12=5,
IF('SIR Model Patient Calcs'!B64&lt;'User Dashboard'!AJ$15,'User Dashboard'!AN$14,
IF('SIR Model Patient Calcs'!B64&lt;'User Dashboard'!AJ$16,'User Dashboard'!AN$15,
IF('SIR Model Patient Calcs'!B64&lt;'User Dashboard'!AJ$17,'User Dashboard'!AN$16,
IF('SIR Model Patient Calcs'!B64&lt;'User Dashboard'!AJ$18,'User Dashboard'!AN$17,
'User Dashboard'!AN$18)))),
IF('User Dashboard'!Z$12=4,
IF('SIR Model Patient Calcs'!B64&lt;'User Dashboard'!AJ$15,'User Dashboard'!AN$14,
IF('SIR Model Patient Calcs'!B64&lt;'User Dashboard'!AJ$16,'User Dashboard'!AN$15,
IF('SIR Model Patient Calcs'!B64&lt;'User Dashboard'!AJ$17,'User Dashboard'!AN$16,
'User Dashboard'!AN$17))),
IF('User Dashboard'!Z$12=3,
IF('SIR Model Patient Calcs'!B64&lt;'User Dashboard'!AJ$15,'User Dashboard'!AN$14,
IF('SIR Model Patient Calcs'!B64&lt;'User Dashboard'!AJ$16,'User Dashboard'!AN$15,
'User Dashboard'!AN$16)),
IF('User Dashboard'!Z$12=2,
IF('SIR Model Patient Calcs'!B64&lt;'User Dashboard'!AJ$15,'User Dashboard'!AN$14,
'User Dashboard'!AN$15),
IF('User Dashboard'!Z$12=1,
'User Dashboard'!AN$14)))))</f>
        <v>15.209356603107825</v>
      </c>
      <c r="D64" s="747">
        <f>'User Dashboard'!X$15</f>
        <v>2.2072878851804097E-2</v>
      </c>
      <c r="E64" s="739">
        <f t="shared" si="1"/>
        <v>9.1306104687305751E-8</v>
      </c>
      <c r="F64" s="739">
        <f t="shared" si="9"/>
        <v>9.1306104687305725E-8</v>
      </c>
      <c r="G64" s="749">
        <f>1/'User Dashboard'!X$12</f>
        <v>0.14285714285714285</v>
      </c>
      <c r="H64" s="385">
        <f t="shared" si="2"/>
        <v>3648661.8463050774</v>
      </c>
      <c r="I64" s="751">
        <f t="shared" si="5"/>
        <v>16122.594348392915</v>
      </c>
      <c r="J64" s="752">
        <f t="shared" si="3"/>
        <v>12015.5593465286</v>
      </c>
      <c r="K64" s="385">
        <f t="shared" si="6"/>
        <v>28138.153694921515</v>
      </c>
      <c r="L64" s="752">
        <f t="shared" si="10"/>
        <v>4516.5117025020518</v>
      </c>
      <c r="N64" s="309" t="str">
        <f t="shared" si="11"/>
        <v/>
      </c>
      <c r="O64" s="752" t="str">
        <f t="array" ref="O64">IF(N64="","",MAX(IF(A:A=N64,K:K)))</f>
        <v/>
      </c>
    </row>
    <row r="65" spans="1:15" x14ac:dyDescent="0.75">
      <c r="A65" s="309">
        <f t="shared" si="4"/>
        <v>9</v>
      </c>
      <c r="B65" s="310">
        <v>58</v>
      </c>
      <c r="C65" s="746">
        <f>IF('User Dashboard'!Z$12=5,
IF('SIR Model Patient Calcs'!B65&lt;'User Dashboard'!AJ$15,'User Dashboard'!AN$14,
IF('SIR Model Patient Calcs'!B65&lt;'User Dashboard'!AJ$16,'User Dashboard'!AN$15,
IF('SIR Model Patient Calcs'!B65&lt;'User Dashboard'!AJ$17,'User Dashboard'!AN$16,
IF('SIR Model Patient Calcs'!B65&lt;'User Dashboard'!AJ$18,'User Dashboard'!AN$17,
'User Dashboard'!AN$18)))),
IF('User Dashboard'!Z$12=4,
IF('SIR Model Patient Calcs'!B65&lt;'User Dashboard'!AJ$15,'User Dashboard'!AN$14,
IF('SIR Model Patient Calcs'!B65&lt;'User Dashboard'!AJ$16,'User Dashboard'!AN$15,
IF('SIR Model Patient Calcs'!B65&lt;'User Dashboard'!AJ$17,'User Dashboard'!AN$16,
'User Dashboard'!AN$17))),
IF('User Dashboard'!Z$12=3,
IF('SIR Model Patient Calcs'!B65&lt;'User Dashboard'!AJ$15,'User Dashboard'!AN$14,
IF('SIR Model Patient Calcs'!B65&lt;'User Dashboard'!AJ$16,'User Dashboard'!AN$15,
'User Dashboard'!AN$16)),
IF('User Dashboard'!Z$12=2,
IF('SIR Model Patient Calcs'!B65&lt;'User Dashboard'!AJ$15,'User Dashboard'!AN$14,
'User Dashboard'!AN$15),
IF('User Dashboard'!Z$12=1,
'User Dashboard'!AN$14)))))</f>
        <v>15.209356603107825</v>
      </c>
      <c r="D65" s="747">
        <f>'User Dashboard'!X$15</f>
        <v>2.2072878851804097E-2</v>
      </c>
      <c r="E65" s="739">
        <f t="shared" si="1"/>
        <v>9.1306104687305751E-8</v>
      </c>
      <c r="F65" s="739">
        <f t="shared" si="9"/>
        <v>9.1306104687305738E-8</v>
      </c>
      <c r="G65" s="749">
        <f>1/'User Dashboard'!X$12</f>
        <v>0.14285714285714285</v>
      </c>
      <c r="H65" s="385">
        <f t="shared" si="2"/>
        <v>3643290.6829904434</v>
      </c>
      <c r="I65" s="751">
        <f t="shared" si="5"/>
        <v>19190.529898970723</v>
      </c>
      <c r="J65" s="752">
        <f t="shared" si="3"/>
        <v>14318.78711058473</v>
      </c>
      <c r="K65" s="385">
        <f t="shared" si="6"/>
        <v>33509.317009555452</v>
      </c>
      <c r="L65" s="752">
        <f t="shared" si="10"/>
        <v>5371.1633146339373</v>
      </c>
      <c r="N65" s="309" t="str">
        <f t="shared" si="11"/>
        <v/>
      </c>
      <c r="O65" s="752" t="str">
        <f t="array" ref="O65">IF(N65="","",MAX(IF(A:A=N65,K:K)))</f>
        <v/>
      </c>
    </row>
    <row r="66" spans="1:15" x14ac:dyDescent="0.75">
      <c r="A66" s="309">
        <f t="shared" si="4"/>
        <v>9</v>
      </c>
      <c r="B66" s="310">
        <v>59</v>
      </c>
      <c r="C66" s="746">
        <f>IF('User Dashboard'!Z$12=5,
IF('SIR Model Patient Calcs'!B66&lt;'User Dashboard'!AJ$15,'User Dashboard'!AN$14,
IF('SIR Model Patient Calcs'!B66&lt;'User Dashboard'!AJ$16,'User Dashboard'!AN$15,
IF('SIR Model Patient Calcs'!B66&lt;'User Dashboard'!AJ$17,'User Dashboard'!AN$16,
IF('SIR Model Patient Calcs'!B66&lt;'User Dashboard'!AJ$18,'User Dashboard'!AN$17,
'User Dashboard'!AN$18)))),
IF('User Dashboard'!Z$12=4,
IF('SIR Model Patient Calcs'!B66&lt;'User Dashboard'!AJ$15,'User Dashboard'!AN$14,
IF('SIR Model Patient Calcs'!B66&lt;'User Dashboard'!AJ$16,'User Dashboard'!AN$15,
IF('SIR Model Patient Calcs'!B66&lt;'User Dashboard'!AJ$17,'User Dashboard'!AN$16,
'User Dashboard'!AN$17))),
IF('User Dashboard'!Z$12=3,
IF('SIR Model Patient Calcs'!B66&lt;'User Dashboard'!AJ$15,'User Dashboard'!AN$14,
IF('SIR Model Patient Calcs'!B66&lt;'User Dashboard'!AJ$16,'User Dashboard'!AN$15,
'User Dashboard'!AN$16)),
IF('User Dashboard'!Z$12=2,
IF('SIR Model Patient Calcs'!B66&lt;'User Dashboard'!AJ$15,'User Dashboard'!AN$14,
'User Dashboard'!AN$15),
IF('User Dashboard'!Z$12=1,
'User Dashboard'!AN$14)))))</f>
        <v>15.209356603107825</v>
      </c>
      <c r="D66" s="747">
        <f>'User Dashboard'!X$15</f>
        <v>2.2072878851804097E-2</v>
      </c>
      <c r="E66" s="739">
        <f t="shared" si="1"/>
        <v>9.1306104687305764E-8</v>
      </c>
      <c r="F66" s="739">
        <f t="shared" si="9"/>
        <v>9.1306104687305738E-8</v>
      </c>
      <c r="G66" s="749">
        <f>1/'User Dashboard'!X$12</f>
        <v>0.14285714285714285</v>
      </c>
      <c r="H66" s="385">
        <f t="shared" si="2"/>
        <v>3636906.8633981333</v>
      </c>
      <c r="I66" s="751">
        <f t="shared" si="5"/>
        <v>22832.845219999217</v>
      </c>
      <c r="J66" s="752">
        <f t="shared" si="3"/>
        <v>17060.29138186626</v>
      </c>
      <c r="K66" s="385">
        <f t="shared" si="6"/>
        <v>39893.136601865481</v>
      </c>
      <c r="L66" s="752">
        <f t="shared" si="10"/>
        <v>6383.8195923100284</v>
      </c>
      <c r="N66" s="309" t="str">
        <f t="shared" si="11"/>
        <v/>
      </c>
      <c r="O66" s="752" t="str">
        <f t="array" ref="O66">IF(N66="","",MAX(IF(A:A=N66,K:K)))</f>
        <v/>
      </c>
    </row>
    <row r="67" spans="1:15" x14ac:dyDescent="0.75">
      <c r="A67" s="309">
        <f t="shared" si="4"/>
        <v>9</v>
      </c>
      <c r="B67" s="310">
        <v>60</v>
      </c>
      <c r="C67" s="746">
        <f>IF('User Dashboard'!Z$12=5,
IF('SIR Model Patient Calcs'!B67&lt;'User Dashboard'!AJ$15,'User Dashboard'!AN$14,
IF('SIR Model Patient Calcs'!B67&lt;'User Dashboard'!AJ$16,'User Dashboard'!AN$15,
IF('SIR Model Patient Calcs'!B67&lt;'User Dashboard'!AJ$17,'User Dashboard'!AN$16,
IF('SIR Model Patient Calcs'!B67&lt;'User Dashboard'!AJ$18,'User Dashboard'!AN$17,
'User Dashboard'!AN$18)))),
IF('User Dashboard'!Z$12=4,
IF('SIR Model Patient Calcs'!B67&lt;'User Dashboard'!AJ$15,'User Dashboard'!AN$14,
IF('SIR Model Patient Calcs'!B67&lt;'User Dashboard'!AJ$16,'User Dashboard'!AN$15,
IF('SIR Model Patient Calcs'!B67&lt;'User Dashboard'!AJ$17,'User Dashboard'!AN$16,
'User Dashboard'!AN$17))),
IF('User Dashboard'!Z$12=3,
IF('SIR Model Patient Calcs'!B67&lt;'User Dashboard'!AJ$15,'User Dashboard'!AN$14,
IF('SIR Model Patient Calcs'!B67&lt;'User Dashboard'!AJ$16,'User Dashboard'!AN$15,
'User Dashboard'!AN$16)),
IF('User Dashboard'!Z$12=2,
IF('SIR Model Patient Calcs'!B67&lt;'User Dashboard'!AJ$15,'User Dashboard'!AN$14,
'User Dashboard'!AN$15),
IF('User Dashboard'!Z$12=1,
'User Dashboard'!AN$14)))))</f>
        <v>15.209356603107825</v>
      </c>
      <c r="D67" s="747">
        <f>'User Dashboard'!X$15</f>
        <v>2.2072878851804097E-2</v>
      </c>
      <c r="E67" s="739">
        <f t="shared" si="1"/>
        <v>9.1306104687305751E-8</v>
      </c>
      <c r="F67" s="739">
        <f t="shared" si="9"/>
        <v>9.1306104687305738E-8</v>
      </c>
      <c r="G67" s="749">
        <f>1/'User Dashboard'!X$12</f>
        <v>0.14285714285714285</v>
      </c>
      <c r="H67" s="385">
        <f t="shared" si="2"/>
        <v>3629324.7194140372</v>
      </c>
      <c r="I67" s="751">
        <f t="shared" si="5"/>
        <v>27153.154172667088</v>
      </c>
      <c r="J67" s="752">
        <f t="shared" si="3"/>
        <v>20322.126413294718</v>
      </c>
      <c r="K67" s="385">
        <f t="shared" si="6"/>
        <v>47475.280585961809</v>
      </c>
      <c r="L67" s="752">
        <f t="shared" si="10"/>
        <v>7582.1439840963285</v>
      </c>
      <c r="N67" s="309" t="str">
        <f t="shared" si="11"/>
        <v/>
      </c>
      <c r="O67" s="752" t="str">
        <f t="array" ref="O67">IF(N67="","",MAX(IF(A:A=N67,K:K)))</f>
        <v/>
      </c>
    </row>
    <row r="68" spans="1:15" x14ac:dyDescent="0.75">
      <c r="A68" s="309">
        <f t="shared" si="4"/>
        <v>9</v>
      </c>
      <c r="B68" s="310">
        <v>61</v>
      </c>
      <c r="C68" s="746">
        <f>IF('User Dashboard'!Z$12=5,
IF('SIR Model Patient Calcs'!B68&lt;'User Dashboard'!AJ$15,'User Dashboard'!AN$14,
IF('SIR Model Patient Calcs'!B68&lt;'User Dashboard'!AJ$16,'User Dashboard'!AN$15,
IF('SIR Model Patient Calcs'!B68&lt;'User Dashboard'!AJ$17,'User Dashboard'!AN$16,
IF('SIR Model Patient Calcs'!B68&lt;'User Dashboard'!AJ$18,'User Dashboard'!AN$17,
'User Dashboard'!AN$18)))),
IF('User Dashboard'!Z$12=4,
IF('SIR Model Patient Calcs'!B68&lt;'User Dashboard'!AJ$15,'User Dashboard'!AN$14,
IF('SIR Model Patient Calcs'!B68&lt;'User Dashboard'!AJ$16,'User Dashboard'!AN$15,
IF('SIR Model Patient Calcs'!B68&lt;'User Dashboard'!AJ$17,'User Dashboard'!AN$16,
'User Dashboard'!AN$17))),
IF('User Dashboard'!Z$12=3,
IF('SIR Model Patient Calcs'!B68&lt;'User Dashboard'!AJ$15,'User Dashboard'!AN$14,
IF('SIR Model Patient Calcs'!B68&lt;'User Dashboard'!AJ$16,'User Dashboard'!AN$15,
'User Dashboard'!AN$16)),
IF('User Dashboard'!Z$12=2,
IF('SIR Model Patient Calcs'!B68&lt;'User Dashboard'!AJ$15,'User Dashboard'!AN$14,
'User Dashboard'!AN$15),
IF('User Dashboard'!Z$12=1,
'User Dashboard'!AN$14)))))</f>
        <v>15.209356603107825</v>
      </c>
      <c r="D68" s="747">
        <f>'User Dashboard'!X$15</f>
        <v>2.2072878851804097E-2</v>
      </c>
      <c r="E68" s="739">
        <f t="shared" si="1"/>
        <v>9.1306104687305751E-8</v>
      </c>
      <c r="F68" s="739">
        <f t="shared" si="9"/>
        <v>9.1306104687305738E-8</v>
      </c>
      <c r="G68" s="749">
        <f>1/'User Dashboard'!X$12</f>
        <v>0.14285714285714285</v>
      </c>
      <c r="H68" s="385">
        <f t="shared" si="2"/>
        <v>3620326.7206855249</v>
      </c>
      <c r="I68" s="751">
        <f t="shared" si="5"/>
        <v>32272.130876512907</v>
      </c>
      <c r="J68" s="752">
        <f t="shared" si="3"/>
        <v>24201.148437961445</v>
      </c>
      <c r="K68" s="385">
        <f t="shared" si="6"/>
        <v>56473.279314474348</v>
      </c>
      <c r="L68" s="752">
        <f t="shared" si="10"/>
        <v>8997.9987285125389</v>
      </c>
      <c r="N68" s="309" t="str">
        <f t="shared" si="11"/>
        <v/>
      </c>
      <c r="O68" s="752" t="str">
        <f t="array" ref="O68">IF(N68="","",MAX(IF(A:A=N68,K:K)))</f>
        <v/>
      </c>
    </row>
    <row r="69" spans="1:15" x14ac:dyDescent="0.75">
      <c r="A69" s="309">
        <f t="shared" si="4"/>
        <v>9</v>
      </c>
      <c r="B69" s="310">
        <v>62</v>
      </c>
      <c r="C69" s="746">
        <f>IF('User Dashboard'!Z$12=5,
IF('SIR Model Patient Calcs'!B69&lt;'User Dashboard'!AJ$15,'User Dashboard'!AN$14,
IF('SIR Model Patient Calcs'!B69&lt;'User Dashboard'!AJ$16,'User Dashboard'!AN$15,
IF('SIR Model Patient Calcs'!B69&lt;'User Dashboard'!AJ$17,'User Dashboard'!AN$16,
IF('SIR Model Patient Calcs'!B69&lt;'User Dashboard'!AJ$18,'User Dashboard'!AN$17,
'User Dashboard'!AN$18)))),
IF('User Dashboard'!Z$12=4,
IF('SIR Model Patient Calcs'!B69&lt;'User Dashboard'!AJ$15,'User Dashboard'!AN$14,
IF('SIR Model Patient Calcs'!B69&lt;'User Dashboard'!AJ$16,'User Dashboard'!AN$15,
IF('SIR Model Patient Calcs'!B69&lt;'User Dashboard'!AJ$17,'User Dashboard'!AN$16,
'User Dashboard'!AN$17))),
IF('User Dashboard'!Z$12=3,
IF('SIR Model Patient Calcs'!B69&lt;'User Dashboard'!AJ$15,'User Dashboard'!AN$14,
IF('SIR Model Patient Calcs'!B69&lt;'User Dashboard'!AJ$16,'User Dashboard'!AN$15,
'User Dashboard'!AN$16)),
IF('User Dashboard'!Z$12=2,
IF('SIR Model Patient Calcs'!B69&lt;'User Dashboard'!AJ$15,'User Dashboard'!AN$14,
'User Dashboard'!AN$15),
IF('User Dashboard'!Z$12=1,
'User Dashboard'!AN$14)))))</f>
        <v>15.209356603107825</v>
      </c>
      <c r="D69" s="747">
        <f>'User Dashboard'!X$15</f>
        <v>2.2072878851804097E-2</v>
      </c>
      <c r="E69" s="739">
        <f t="shared" si="1"/>
        <v>9.1306104687305751E-8</v>
      </c>
      <c r="F69" s="739">
        <f t="shared" si="9"/>
        <v>9.1306104687305738E-8</v>
      </c>
      <c r="G69" s="749">
        <f>1/'User Dashboard'!X$12</f>
        <v>0.14285714285714285</v>
      </c>
      <c r="H69" s="385">
        <f t="shared" si="2"/>
        <v>3609658.9118881859</v>
      </c>
      <c r="I69" s="751">
        <f t="shared" si="5"/>
        <v>38329.635262921605</v>
      </c>
      <c r="J69" s="752">
        <f t="shared" si="3"/>
        <v>28811.452848891859</v>
      </c>
      <c r="K69" s="385">
        <f t="shared" si="6"/>
        <v>67141.088111813471</v>
      </c>
      <c r="L69" s="752">
        <f t="shared" si="10"/>
        <v>10667.808797339123</v>
      </c>
      <c r="N69" s="309" t="str">
        <f t="shared" si="11"/>
        <v/>
      </c>
      <c r="O69" s="752" t="str">
        <f t="array" ref="O69">IF(N69="","",MAX(IF(A:A=N69,K:K)))</f>
        <v/>
      </c>
    </row>
    <row r="70" spans="1:15" x14ac:dyDescent="0.75">
      <c r="A70" s="309">
        <f t="shared" si="4"/>
        <v>9</v>
      </c>
      <c r="B70" s="310">
        <v>63</v>
      </c>
      <c r="C70" s="746">
        <f>IF('User Dashboard'!Z$12=5,
IF('SIR Model Patient Calcs'!B70&lt;'User Dashboard'!AJ$15,'User Dashboard'!AN$14,
IF('SIR Model Patient Calcs'!B70&lt;'User Dashboard'!AJ$16,'User Dashboard'!AN$15,
IF('SIR Model Patient Calcs'!B70&lt;'User Dashboard'!AJ$17,'User Dashboard'!AN$16,
IF('SIR Model Patient Calcs'!B70&lt;'User Dashboard'!AJ$18,'User Dashboard'!AN$17,
'User Dashboard'!AN$18)))),
IF('User Dashboard'!Z$12=4,
IF('SIR Model Patient Calcs'!B70&lt;'User Dashboard'!AJ$15,'User Dashboard'!AN$14,
IF('SIR Model Patient Calcs'!B70&lt;'User Dashboard'!AJ$16,'User Dashboard'!AN$15,
IF('SIR Model Patient Calcs'!B70&lt;'User Dashboard'!AJ$17,'User Dashboard'!AN$16,
'User Dashboard'!AN$17))),
IF('User Dashboard'!Z$12=3,
IF('SIR Model Patient Calcs'!B70&lt;'User Dashboard'!AJ$15,'User Dashboard'!AN$14,
IF('SIR Model Patient Calcs'!B70&lt;'User Dashboard'!AJ$16,'User Dashboard'!AN$15,
'User Dashboard'!AN$16)),
IF('User Dashboard'!Z$12=2,
IF('SIR Model Patient Calcs'!B70&lt;'User Dashboard'!AJ$15,'User Dashboard'!AN$14,
'User Dashboard'!AN$15),
IF('User Dashboard'!Z$12=1,
'User Dashboard'!AN$14)))))</f>
        <v>15.209356603107825</v>
      </c>
      <c r="D70" s="747">
        <f>'User Dashboard'!X$15</f>
        <v>2.2072878851804097E-2</v>
      </c>
      <c r="E70" s="739">
        <f t="shared" si="1"/>
        <v>9.1306104687305738E-8</v>
      </c>
      <c r="F70" s="739">
        <f t="shared" si="9"/>
        <v>9.1306104687305738E-8</v>
      </c>
      <c r="G70" s="749">
        <f>1/'User Dashboard'!X$12</f>
        <v>0.14285714285714285</v>
      </c>
      <c r="H70" s="385">
        <f t="shared" si="2"/>
        <v>3597026.081423685</v>
      </c>
      <c r="I70" s="751">
        <f t="shared" si="5"/>
        <v>45486.803547005096</v>
      </c>
      <c r="J70" s="752">
        <f t="shared" si="3"/>
        <v>34287.115029309229</v>
      </c>
      <c r="K70" s="385">
        <f t="shared" si="6"/>
        <v>79773.918576314318</v>
      </c>
      <c r="L70" s="752">
        <f t="shared" si="10"/>
        <v>12632.830464500847</v>
      </c>
      <c r="N70" s="309" t="str">
        <f t="shared" si="11"/>
        <v/>
      </c>
      <c r="O70" s="752" t="str">
        <f t="array" ref="O70">IF(N70="","",MAX(IF(A:A=N70,K:K)))</f>
        <v/>
      </c>
    </row>
    <row r="71" spans="1:15" x14ac:dyDescent="0.75">
      <c r="A71" s="309">
        <f t="shared" si="4"/>
        <v>10</v>
      </c>
      <c r="B71" s="310">
        <v>64</v>
      </c>
      <c r="C71" s="746">
        <f>IF('User Dashboard'!Z$12=5,
IF('SIR Model Patient Calcs'!B71&lt;'User Dashboard'!AJ$15,'User Dashboard'!AN$14,
IF('SIR Model Patient Calcs'!B71&lt;'User Dashboard'!AJ$16,'User Dashboard'!AN$15,
IF('SIR Model Patient Calcs'!B71&lt;'User Dashboard'!AJ$17,'User Dashboard'!AN$16,
IF('SIR Model Patient Calcs'!B71&lt;'User Dashboard'!AJ$18,'User Dashboard'!AN$17,
'User Dashboard'!AN$18)))),
IF('User Dashboard'!Z$12=4,
IF('SIR Model Patient Calcs'!B71&lt;'User Dashboard'!AJ$15,'User Dashboard'!AN$14,
IF('SIR Model Patient Calcs'!B71&lt;'User Dashboard'!AJ$16,'User Dashboard'!AN$15,
IF('SIR Model Patient Calcs'!B71&lt;'User Dashboard'!AJ$17,'User Dashboard'!AN$16,
'User Dashboard'!AN$17))),
IF('User Dashboard'!Z$12=3,
IF('SIR Model Patient Calcs'!B71&lt;'User Dashboard'!AJ$15,'User Dashboard'!AN$14,
IF('SIR Model Patient Calcs'!B71&lt;'User Dashboard'!AJ$16,'User Dashboard'!AN$15,
'User Dashboard'!AN$16)),
IF('User Dashboard'!Z$12=2,
IF('SIR Model Patient Calcs'!B71&lt;'User Dashboard'!AJ$15,'User Dashboard'!AN$14,
'User Dashboard'!AN$15),
IF('User Dashboard'!Z$12=1,
'User Dashboard'!AN$14)))))</f>
        <v>15.209356603107825</v>
      </c>
      <c r="D71" s="747">
        <f>'User Dashboard'!X$15</f>
        <v>2.2072878851804097E-2</v>
      </c>
      <c r="E71" s="739">
        <f t="shared" ref="E71:E134" si="12">(C71*D71)/SUM(H71:J71)</f>
        <v>9.1306104687305751E-8</v>
      </c>
      <c r="F71" s="739">
        <f t="shared" si="9"/>
        <v>9.1306104687305738E-8</v>
      </c>
      <c r="G71" s="749">
        <f>1/'User Dashboard'!X$12</f>
        <v>0.14285714285714285</v>
      </c>
      <c r="H71" s="385">
        <f t="shared" si="2"/>
        <v>3582086.8305226662</v>
      </c>
      <c r="I71" s="751">
        <f t="shared" si="5"/>
        <v>53927.939655594382</v>
      </c>
      <c r="J71" s="752">
        <f t="shared" si="3"/>
        <v>40785.229821738525</v>
      </c>
      <c r="K71" s="385">
        <f t="shared" si="6"/>
        <v>94713.169477332907</v>
      </c>
      <c r="L71" s="752">
        <f t="shared" si="10"/>
        <v>14939.25090101859</v>
      </c>
      <c r="N71" s="309" t="str">
        <f t="shared" si="11"/>
        <v/>
      </c>
      <c r="O71" s="752" t="str">
        <f t="array" ref="O71">IF(N71="","",MAX(IF(A:A=N71,K:K)))</f>
        <v/>
      </c>
    </row>
    <row r="72" spans="1:15" x14ac:dyDescent="0.75">
      <c r="A72" s="309">
        <f t="shared" si="4"/>
        <v>10</v>
      </c>
      <c r="B72" s="310">
        <v>65</v>
      </c>
      <c r="C72" s="746">
        <f>IF('User Dashboard'!Z$12=5,
IF('SIR Model Patient Calcs'!B72&lt;'User Dashboard'!AJ$15,'User Dashboard'!AN$14,
IF('SIR Model Patient Calcs'!B72&lt;'User Dashboard'!AJ$16,'User Dashboard'!AN$15,
IF('SIR Model Patient Calcs'!B72&lt;'User Dashboard'!AJ$17,'User Dashboard'!AN$16,
IF('SIR Model Patient Calcs'!B72&lt;'User Dashboard'!AJ$18,'User Dashboard'!AN$17,
'User Dashboard'!AN$18)))),
IF('User Dashboard'!Z$12=4,
IF('SIR Model Patient Calcs'!B72&lt;'User Dashboard'!AJ$15,'User Dashboard'!AN$14,
IF('SIR Model Patient Calcs'!B72&lt;'User Dashboard'!AJ$16,'User Dashboard'!AN$15,
IF('SIR Model Patient Calcs'!B72&lt;'User Dashboard'!AJ$17,'User Dashboard'!AN$16,
'User Dashboard'!AN$17))),
IF('User Dashboard'!Z$12=3,
IF('SIR Model Patient Calcs'!B72&lt;'User Dashboard'!AJ$15,'User Dashboard'!AN$14,
IF('SIR Model Patient Calcs'!B72&lt;'User Dashboard'!AJ$16,'User Dashboard'!AN$15,
'User Dashboard'!AN$16)),
IF('User Dashboard'!Z$12=2,
IF('SIR Model Patient Calcs'!B72&lt;'User Dashboard'!AJ$15,'User Dashboard'!AN$14,
'User Dashboard'!AN$15),
IF('User Dashboard'!Z$12=1,
'User Dashboard'!AN$14)))))</f>
        <v>15.209356603107825</v>
      </c>
      <c r="D72" s="747">
        <f>'User Dashboard'!X$15</f>
        <v>2.2072878851804097E-2</v>
      </c>
      <c r="E72" s="739">
        <f t="shared" si="12"/>
        <v>9.1306104687305751E-8</v>
      </c>
      <c r="F72" s="739">
        <f t="shared" si="9"/>
        <v>9.1306104687305738E-8</v>
      </c>
      <c r="G72" s="749">
        <f>1/'User Dashboard'!X$12</f>
        <v>0.14285714285714285</v>
      </c>
      <c r="H72" s="385">
        <f t="shared" ref="H72:H135" si="13">-MIN(F71*I71,1)*H71+H71</f>
        <v>3564448.813701821</v>
      </c>
      <c r="I72" s="751">
        <f t="shared" si="5"/>
        <v>63861.965097068954</v>
      </c>
      <c r="J72" s="752">
        <f t="shared" ref="J72:J135" si="14">G71*I71+J71</f>
        <v>48489.221201109147</v>
      </c>
      <c r="K72" s="385">
        <f t="shared" si="6"/>
        <v>112351.1862981781</v>
      </c>
      <c r="L72" s="752">
        <f t="shared" si="10"/>
        <v>17638.016820845194</v>
      </c>
      <c r="N72" s="309" t="str">
        <f t="shared" si="11"/>
        <v/>
      </c>
      <c r="O72" s="752" t="str">
        <f t="array" ref="O72">IF(N72="","",MAX(IF(A:A=N72,K:K)))</f>
        <v/>
      </c>
    </row>
    <row r="73" spans="1:15" x14ac:dyDescent="0.75">
      <c r="A73" s="309">
        <f t="shared" ref="A73:A136" si="15">IF(AND(IF(L73&lt;1,0,1)*ROUNDUP(B73/7,0)=0,B73&lt;&gt;0),"",IF(L73&lt;1,0,1)*ROUNDUP(B73/7,0))</f>
        <v>10</v>
      </c>
      <c r="B73" s="310">
        <v>66</v>
      </c>
      <c r="C73" s="746">
        <f>IF('User Dashboard'!Z$12=5,
IF('SIR Model Patient Calcs'!B73&lt;'User Dashboard'!AJ$15,'User Dashboard'!AN$14,
IF('SIR Model Patient Calcs'!B73&lt;'User Dashboard'!AJ$16,'User Dashboard'!AN$15,
IF('SIR Model Patient Calcs'!B73&lt;'User Dashboard'!AJ$17,'User Dashboard'!AN$16,
IF('SIR Model Patient Calcs'!B73&lt;'User Dashboard'!AJ$18,'User Dashboard'!AN$17,
'User Dashboard'!AN$18)))),
IF('User Dashboard'!Z$12=4,
IF('SIR Model Patient Calcs'!B73&lt;'User Dashboard'!AJ$15,'User Dashboard'!AN$14,
IF('SIR Model Patient Calcs'!B73&lt;'User Dashboard'!AJ$16,'User Dashboard'!AN$15,
IF('SIR Model Patient Calcs'!B73&lt;'User Dashboard'!AJ$17,'User Dashboard'!AN$16,
'User Dashboard'!AN$17))),
IF('User Dashboard'!Z$12=3,
IF('SIR Model Patient Calcs'!B73&lt;'User Dashboard'!AJ$15,'User Dashboard'!AN$14,
IF('SIR Model Patient Calcs'!B73&lt;'User Dashboard'!AJ$16,'User Dashboard'!AN$15,
'User Dashboard'!AN$16)),
IF('User Dashboard'!Z$12=2,
IF('SIR Model Patient Calcs'!B73&lt;'User Dashboard'!AJ$15,'User Dashboard'!AN$14,
'User Dashboard'!AN$15),
IF('User Dashboard'!Z$12=1,
'User Dashboard'!AN$14)))))</f>
        <v>15.209356603107825</v>
      </c>
      <c r="D73" s="747">
        <f>'User Dashboard'!X$15</f>
        <v>2.2072878851804097E-2</v>
      </c>
      <c r="E73" s="739">
        <f t="shared" si="12"/>
        <v>9.1306104687305738E-8</v>
      </c>
      <c r="F73" s="739">
        <f t="shared" si="9"/>
        <v>9.1306104687305738E-8</v>
      </c>
      <c r="G73" s="749">
        <f>1/'User Dashboard'!X$12</f>
        <v>0.14285714285714285</v>
      </c>
      <c r="H73" s="385">
        <f t="shared" si="13"/>
        <v>3543664.5580420997</v>
      </c>
      <c r="I73" s="751">
        <f t="shared" ref="I73:I136" si="16">MIN(F72*I72,1)*H72-G72*I72+I72</f>
        <v>75523.082885780648</v>
      </c>
      <c r="J73" s="752">
        <f t="shared" si="14"/>
        <v>57612.359072118998</v>
      </c>
      <c r="K73" s="385">
        <f t="shared" ref="K73:K136" si="17">(I73+J73)</f>
        <v>133135.44195789966</v>
      </c>
      <c r="L73" s="752">
        <f t="shared" ref="L73:L136" si="18">(K73-K72)</f>
        <v>20784.255659721559</v>
      </c>
      <c r="N73" s="309" t="str">
        <f t="shared" si="11"/>
        <v/>
      </c>
      <c r="O73" s="752" t="str">
        <f t="array" ref="O73">IF(N73="","",MAX(IF(A:A=N73,K:K)))</f>
        <v/>
      </c>
    </row>
    <row r="74" spans="1:15" x14ac:dyDescent="0.75">
      <c r="A74" s="309">
        <f t="shared" si="15"/>
        <v>10</v>
      </c>
      <c r="B74" s="310">
        <v>67</v>
      </c>
      <c r="C74" s="746">
        <f>IF('User Dashboard'!Z$12=5,
IF('SIR Model Patient Calcs'!B74&lt;'User Dashboard'!AJ$15,'User Dashboard'!AN$14,
IF('SIR Model Patient Calcs'!B74&lt;'User Dashboard'!AJ$16,'User Dashboard'!AN$15,
IF('SIR Model Patient Calcs'!B74&lt;'User Dashboard'!AJ$17,'User Dashboard'!AN$16,
IF('SIR Model Patient Calcs'!B74&lt;'User Dashboard'!AJ$18,'User Dashboard'!AN$17,
'User Dashboard'!AN$18)))),
IF('User Dashboard'!Z$12=4,
IF('SIR Model Patient Calcs'!B74&lt;'User Dashboard'!AJ$15,'User Dashboard'!AN$14,
IF('SIR Model Patient Calcs'!B74&lt;'User Dashboard'!AJ$16,'User Dashboard'!AN$15,
IF('SIR Model Patient Calcs'!B74&lt;'User Dashboard'!AJ$17,'User Dashboard'!AN$16,
'User Dashboard'!AN$17))),
IF('User Dashboard'!Z$12=3,
IF('SIR Model Patient Calcs'!B74&lt;'User Dashboard'!AJ$15,'User Dashboard'!AN$14,
IF('SIR Model Patient Calcs'!B74&lt;'User Dashboard'!AJ$16,'User Dashboard'!AN$15,
'User Dashboard'!AN$16)),
IF('User Dashboard'!Z$12=2,
IF('SIR Model Patient Calcs'!B74&lt;'User Dashboard'!AJ$15,'User Dashboard'!AN$14,
'User Dashboard'!AN$15),
IF('User Dashboard'!Z$12=1,
'User Dashboard'!AN$14)))))</f>
        <v>15.209356603107825</v>
      </c>
      <c r="D74" s="747">
        <f>'User Dashboard'!X$15</f>
        <v>2.2072878851804097E-2</v>
      </c>
      <c r="E74" s="739">
        <f t="shared" si="12"/>
        <v>9.1306104687305738E-8</v>
      </c>
      <c r="F74" s="739">
        <f t="shared" si="9"/>
        <v>9.1306104687305738E-8</v>
      </c>
      <c r="G74" s="749">
        <f>1/'User Dashboard'!X$12</f>
        <v>0.14285714285714285</v>
      </c>
      <c r="H74" s="385">
        <f t="shared" si="13"/>
        <v>3519228.4447479085</v>
      </c>
      <c r="I74" s="751">
        <f t="shared" si="16"/>
        <v>89170.184339146188</v>
      </c>
      <c r="J74" s="752">
        <f t="shared" si="14"/>
        <v>68401.370912944811</v>
      </c>
      <c r="K74" s="385">
        <f t="shared" si="17"/>
        <v>157571.555252091</v>
      </c>
      <c r="L74" s="752">
        <f t="shared" si="18"/>
        <v>24436.113294191338</v>
      </c>
      <c r="N74" s="309" t="str">
        <f t="shared" si="11"/>
        <v/>
      </c>
      <c r="O74" s="752" t="str">
        <f t="array" ref="O74">IF(N74="","",MAX(IF(A:A=N74,K:K)))</f>
        <v/>
      </c>
    </row>
    <row r="75" spans="1:15" x14ac:dyDescent="0.75">
      <c r="A75" s="309">
        <f t="shared" si="15"/>
        <v>10</v>
      </c>
      <c r="B75" s="310">
        <v>68</v>
      </c>
      <c r="C75" s="746">
        <f>IF('User Dashboard'!Z$12=5,
IF('SIR Model Patient Calcs'!B75&lt;'User Dashboard'!AJ$15,'User Dashboard'!AN$14,
IF('SIR Model Patient Calcs'!B75&lt;'User Dashboard'!AJ$16,'User Dashboard'!AN$15,
IF('SIR Model Patient Calcs'!B75&lt;'User Dashboard'!AJ$17,'User Dashboard'!AN$16,
IF('SIR Model Patient Calcs'!B75&lt;'User Dashboard'!AJ$18,'User Dashboard'!AN$17,
'User Dashboard'!AN$18)))),
IF('User Dashboard'!Z$12=4,
IF('SIR Model Patient Calcs'!B75&lt;'User Dashboard'!AJ$15,'User Dashboard'!AN$14,
IF('SIR Model Patient Calcs'!B75&lt;'User Dashboard'!AJ$16,'User Dashboard'!AN$15,
IF('SIR Model Patient Calcs'!B75&lt;'User Dashboard'!AJ$17,'User Dashboard'!AN$16,
'User Dashboard'!AN$17))),
IF('User Dashboard'!Z$12=3,
IF('SIR Model Patient Calcs'!B75&lt;'User Dashboard'!AJ$15,'User Dashboard'!AN$14,
IF('SIR Model Patient Calcs'!B75&lt;'User Dashboard'!AJ$16,'User Dashboard'!AN$15,
'User Dashboard'!AN$16)),
IF('User Dashboard'!Z$12=2,
IF('SIR Model Patient Calcs'!B75&lt;'User Dashboard'!AJ$15,'User Dashboard'!AN$14,
'User Dashboard'!AN$15),
IF('User Dashboard'!Z$12=1,
'User Dashboard'!AN$14)))))</f>
        <v>15.209356603107825</v>
      </c>
      <c r="D75" s="747">
        <f>'User Dashboard'!X$15</f>
        <v>2.2072878851804097E-2</v>
      </c>
      <c r="E75" s="739">
        <f t="shared" si="12"/>
        <v>9.1306104687305738E-8</v>
      </c>
      <c r="F75" s="739">
        <f t="shared" si="9"/>
        <v>9.1306104687305738E-8</v>
      </c>
      <c r="G75" s="749">
        <f>1/'User Dashboard'!X$12</f>
        <v>0.14285714285714285</v>
      </c>
      <c r="H75" s="385">
        <f t="shared" si="13"/>
        <v>3490575.6532870932</v>
      </c>
      <c r="I75" s="751">
        <f t="shared" si="16"/>
        <v>105084.37803722647</v>
      </c>
      <c r="J75" s="752">
        <f t="shared" si="14"/>
        <v>81139.968675679978</v>
      </c>
      <c r="K75" s="385">
        <f t="shared" si="17"/>
        <v>186224.34671290644</v>
      </c>
      <c r="L75" s="752">
        <f t="shared" si="18"/>
        <v>28652.791460815439</v>
      </c>
      <c r="N75" s="309" t="str">
        <f t="shared" si="11"/>
        <v/>
      </c>
      <c r="O75" s="752" t="str">
        <f t="array" ref="O75">IF(N75="","",MAX(IF(A:A=N75,K:K)))</f>
        <v/>
      </c>
    </row>
    <row r="76" spans="1:15" x14ac:dyDescent="0.75">
      <c r="A76" s="309">
        <f t="shared" si="15"/>
        <v>10</v>
      </c>
      <c r="B76" s="310">
        <v>69</v>
      </c>
      <c r="C76" s="746">
        <f>IF('User Dashboard'!Z$12=5,
IF('SIR Model Patient Calcs'!B76&lt;'User Dashboard'!AJ$15,'User Dashboard'!AN$14,
IF('SIR Model Patient Calcs'!B76&lt;'User Dashboard'!AJ$16,'User Dashboard'!AN$15,
IF('SIR Model Patient Calcs'!B76&lt;'User Dashboard'!AJ$17,'User Dashboard'!AN$16,
IF('SIR Model Patient Calcs'!B76&lt;'User Dashboard'!AJ$18,'User Dashboard'!AN$17,
'User Dashboard'!AN$18)))),
IF('User Dashboard'!Z$12=4,
IF('SIR Model Patient Calcs'!B76&lt;'User Dashboard'!AJ$15,'User Dashboard'!AN$14,
IF('SIR Model Patient Calcs'!B76&lt;'User Dashboard'!AJ$16,'User Dashboard'!AN$15,
IF('SIR Model Patient Calcs'!B76&lt;'User Dashboard'!AJ$17,'User Dashboard'!AN$16,
'User Dashboard'!AN$17))),
IF('User Dashboard'!Z$12=3,
IF('SIR Model Patient Calcs'!B76&lt;'User Dashboard'!AJ$15,'User Dashboard'!AN$14,
IF('SIR Model Patient Calcs'!B76&lt;'User Dashboard'!AJ$16,'User Dashboard'!AN$15,
'User Dashboard'!AN$16)),
IF('User Dashboard'!Z$12=2,
IF('SIR Model Patient Calcs'!B76&lt;'User Dashboard'!AJ$15,'User Dashboard'!AN$14,
'User Dashboard'!AN$15),
IF('User Dashboard'!Z$12=1,
'User Dashboard'!AN$14)))))</f>
        <v>15.209356603107825</v>
      </c>
      <c r="D76" s="747">
        <f>'User Dashboard'!X$15</f>
        <v>2.2072878851804097E-2</v>
      </c>
      <c r="E76" s="739">
        <f t="shared" si="12"/>
        <v>9.1306104687305738E-8</v>
      </c>
      <c r="F76" s="739">
        <f t="shared" si="9"/>
        <v>9.1306104687305738E-8</v>
      </c>
      <c r="G76" s="749">
        <f>1/'User Dashboard'!X$12</f>
        <v>0.14285714285714285</v>
      </c>
      <c r="H76" s="385">
        <f t="shared" si="13"/>
        <v>3457084.1201578868</v>
      </c>
      <c r="I76" s="751">
        <f t="shared" si="16"/>
        <v>123563.85716111491</v>
      </c>
      <c r="J76" s="752">
        <f t="shared" si="14"/>
        <v>96152.022680998052</v>
      </c>
      <c r="K76" s="385">
        <f t="shared" si="17"/>
        <v>219715.87984211295</v>
      </c>
      <c r="L76" s="752">
        <f t="shared" si="18"/>
        <v>33491.533129206509</v>
      </c>
      <c r="N76" s="309" t="str">
        <f t="shared" ref="N76:N107" si="19">IF(OR(N75=0,N75=""),"",N75-1)</f>
        <v/>
      </c>
      <c r="O76" s="752" t="str">
        <f t="array" ref="O76">IF(N76="","",MAX(IF(A:A=N76,K:K)))</f>
        <v/>
      </c>
    </row>
    <row r="77" spans="1:15" x14ac:dyDescent="0.75">
      <c r="A77" s="309">
        <f t="shared" si="15"/>
        <v>10</v>
      </c>
      <c r="B77" s="310">
        <v>70</v>
      </c>
      <c r="C77" s="746">
        <f>IF('User Dashboard'!Z$12=5,
IF('SIR Model Patient Calcs'!B77&lt;'User Dashboard'!AJ$15,'User Dashboard'!AN$14,
IF('SIR Model Patient Calcs'!B77&lt;'User Dashboard'!AJ$16,'User Dashboard'!AN$15,
IF('SIR Model Patient Calcs'!B77&lt;'User Dashboard'!AJ$17,'User Dashboard'!AN$16,
IF('SIR Model Patient Calcs'!B77&lt;'User Dashboard'!AJ$18,'User Dashboard'!AN$17,
'User Dashboard'!AN$18)))),
IF('User Dashboard'!Z$12=4,
IF('SIR Model Patient Calcs'!B77&lt;'User Dashboard'!AJ$15,'User Dashboard'!AN$14,
IF('SIR Model Patient Calcs'!B77&lt;'User Dashboard'!AJ$16,'User Dashboard'!AN$15,
IF('SIR Model Patient Calcs'!B77&lt;'User Dashboard'!AJ$17,'User Dashboard'!AN$16,
'User Dashboard'!AN$17))),
IF('User Dashboard'!Z$12=3,
IF('SIR Model Patient Calcs'!B77&lt;'User Dashboard'!AJ$15,'User Dashboard'!AN$14,
IF('SIR Model Patient Calcs'!B77&lt;'User Dashboard'!AJ$16,'User Dashboard'!AN$15,
'User Dashboard'!AN$16)),
IF('User Dashboard'!Z$12=2,
IF('SIR Model Patient Calcs'!B77&lt;'User Dashboard'!AJ$15,'User Dashboard'!AN$14,
'User Dashboard'!AN$15),
IF('User Dashboard'!Z$12=1,
'User Dashboard'!AN$14)))))</f>
        <v>15.209356603107825</v>
      </c>
      <c r="D77" s="747">
        <f>'User Dashboard'!X$15</f>
        <v>2.2072878851804097E-2</v>
      </c>
      <c r="E77" s="739">
        <f t="shared" si="12"/>
        <v>9.1306104687305725E-8</v>
      </c>
      <c r="F77" s="739">
        <f t="shared" si="9"/>
        <v>9.1306104687305738E-8</v>
      </c>
      <c r="G77" s="749">
        <f>1/'User Dashboard'!X$12</f>
        <v>0.14285714285714285</v>
      </c>
      <c r="H77" s="385">
        <f t="shared" si="13"/>
        <v>3418080.8322141664</v>
      </c>
      <c r="I77" s="751">
        <f t="shared" si="16"/>
        <v>144915.1655103903</v>
      </c>
      <c r="J77" s="752">
        <f t="shared" si="14"/>
        <v>113804.00227544304</v>
      </c>
      <c r="K77" s="385">
        <f t="shared" si="17"/>
        <v>258719.16778583336</v>
      </c>
      <c r="L77" s="752">
        <f t="shared" si="18"/>
        <v>39003.28794372041</v>
      </c>
      <c r="N77" s="309" t="str">
        <f t="shared" si="19"/>
        <v/>
      </c>
      <c r="O77" s="752" t="str">
        <f t="array" ref="O77">IF(N77="","",MAX(IF(A:A=N77,K:K)))</f>
        <v/>
      </c>
    </row>
    <row r="78" spans="1:15" x14ac:dyDescent="0.75">
      <c r="A78" s="309">
        <f t="shared" si="15"/>
        <v>11</v>
      </c>
      <c r="B78" s="310">
        <v>71</v>
      </c>
      <c r="C78" s="746">
        <f>IF('User Dashboard'!Z$12=5,
IF('SIR Model Patient Calcs'!B78&lt;'User Dashboard'!AJ$15,'User Dashboard'!AN$14,
IF('SIR Model Patient Calcs'!B78&lt;'User Dashboard'!AJ$16,'User Dashboard'!AN$15,
IF('SIR Model Patient Calcs'!B78&lt;'User Dashboard'!AJ$17,'User Dashboard'!AN$16,
IF('SIR Model Patient Calcs'!B78&lt;'User Dashboard'!AJ$18,'User Dashboard'!AN$17,
'User Dashboard'!AN$18)))),
IF('User Dashboard'!Z$12=4,
IF('SIR Model Patient Calcs'!B78&lt;'User Dashboard'!AJ$15,'User Dashboard'!AN$14,
IF('SIR Model Patient Calcs'!B78&lt;'User Dashboard'!AJ$16,'User Dashboard'!AN$15,
IF('SIR Model Patient Calcs'!B78&lt;'User Dashboard'!AJ$17,'User Dashboard'!AN$16,
'User Dashboard'!AN$17))),
IF('User Dashboard'!Z$12=3,
IF('SIR Model Patient Calcs'!B78&lt;'User Dashboard'!AJ$15,'User Dashboard'!AN$14,
IF('SIR Model Patient Calcs'!B78&lt;'User Dashboard'!AJ$16,'User Dashboard'!AN$15,
'User Dashboard'!AN$16)),
IF('User Dashboard'!Z$12=2,
IF('SIR Model Patient Calcs'!B78&lt;'User Dashboard'!AJ$15,'User Dashboard'!AN$14,
'User Dashboard'!AN$15),
IF('User Dashboard'!Z$12=1,
'User Dashboard'!AN$14)))))</f>
        <v>15.209356603107825</v>
      </c>
      <c r="D78" s="747">
        <f>'User Dashboard'!X$15</f>
        <v>2.2072878851804097E-2</v>
      </c>
      <c r="E78" s="739">
        <f t="shared" si="12"/>
        <v>9.1306104687305725E-8</v>
      </c>
      <c r="F78" s="739">
        <f t="shared" si="9"/>
        <v>9.1306104687305738E-8</v>
      </c>
      <c r="G78" s="749">
        <f>1/'User Dashboard'!X$12</f>
        <v>0.14285714285714285</v>
      </c>
      <c r="H78" s="385">
        <f t="shared" si="13"/>
        <v>3372854.0196367977</v>
      </c>
      <c r="I78" s="751">
        <f t="shared" si="16"/>
        <v>169439.81158627488</v>
      </c>
      <c r="J78" s="752">
        <f t="shared" si="14"/>
        <v>134506.16877692737</v>
      </c>
      <c r="K78" s="385">
        <f t="shared" si="17"/>
        <v>303945.98036320228</v>
      </c>
      <c r="L78" s="752">
        <f t="shared" si="18"/>
        <v>45226.812577368924</v>
      </c>
      <c r="N78" s="309" t="str">
        <f t="shared" si="19"/>
        <v/>
      </c>
      <c r="O78" s="752" t="str">
        <f t="array" ref="O78">IF(N78="","",MAX(IF(A:A=N78,K:K)))</f>
        <v/>
      </c>
    </row>
    <row r="79" spans="1:15" x14ac:dyDescent="0.75">
      <c r="A79" s="309">
        <f t="shared" si="15"/>
        <v>11</v>
      </c>
      <c r="B79" s="310">
        <v>72</v>
      </c>
      <c r="C79" s="746">
        <f>IF('User Dashboard'!Z$12=5,
IF('SIR Model Patient Calcs'!B79&lt;'User Dashboard'!AJ$15,'User Dashboard'!AN$14,
IF('SIR Model Patient Calcs'!B79&lt;'User Dashboard'!AJ$16,'User Dashboard'!AN$15,
IF('SIR Model Patient Calcs'!B79&lt;'User Dashboard'!AJ$17,'User Dashboard'!AN$16,
IF('SIR Model Patient Calcs'!B79&lt;'User Dashboard'!AJ$18,'User Dashboard'!AN$17,
'User Dashboard'!AN$18)))),
IF('User Dashboard'!Z$12=4,
IF('SIR Model Patient Calcs'!B79&lt;'User Dashboard'!AJ$15,'User Dashboard'!AN$14,
IF('SIR Model Patient Calcs'!B79&lt;'User Dashboard'!AJ$16,'User Dashboard'!AN$15,
IF('SIR Model Patient Calcs'!B79&lt;'User Dashboard'!AJ$17,'User Dashboard'!AN$16,
'User Dashboard'!AN$17))),
IF('User Dashboard'!Z$12=3,
IF('SIR Model Patient Calcs'!B79&lt;'User Dashboard'!AJ$15,'User Dashboard'!AN$14,
IF('SIR Model Patient Calcs'!B79&lt;'User Dashboard'!AJ$16,'User Dashboard'!AN$15,
'User Dashboard'!AN$16)),
IF('User Dashboard'!Z$12=2,
IF('SIR Model Patient Calcs'!B79&lt;'User Dashboard'!AJ$15,'User Dashboard'!AN$14,
'User Dashboard'!AN$15),
IF('User Dashboard'!Z$12=1,
'User Dashboard'!AN$14)))))</f>
        <v>15.209356603107825</v>
      </c>
      <c r="D79" s="747">
        <f>'User Dashboard'!X$15</f>
        <v>2.2072878851804097E-2</v>
      </c>
      <c r="E79" s="739">
        <f t="shared" si="12"/>
        <v>9.1306104687305725E-8</v>
      </c>
      <c r="F79" s="739">
        <f t="shared" si="9"/>
        <v>9.1306104687305725E-8</v>
      </c>
      <c r="G79" s="749">
        <f>1/'User Dashboard'!X$12</f>
        <v>0.14285714285714285</v>
      </c>
      <c r="H79" s="385">
        <f t="shared" si="13"/>
        <v>3320672.9688959019</v>
      </c>
      <c r="I79" s="751">
        <f t="shared" si="16"/>
        <v>197415.17495770293</v>
      </c>
      <c r="J79" s="752">
        <f t="shared" si="14"/>
        <v>158711.85614639521</v>
      </c>
      <c r="K79" s="385">
        <f t="shared" si="17"/>
        <v>356127.03110409813</v>
      </c>
      <c r="L79" s="752">
        <f t="shared" si="18"/>
        <v>52181.050740895851</v>
      </c>
      <c r="N79" s="309" t="str">
        <f t="shared" si="19"/>
        <v/>
      </c>
      <c r="O79" s="752" t="str">
        <f t="array" ref="O79">IF(N79="","",MAX(IF(A:A=N79,K:K)))</f>
        <v/>
      </c>
    </row>
    <row r="80" spans="1:15" x14ac:dyDescent="0.75">
      <c r="A80" s="309">
        <f t="shared" si="15"/>
        <v>11</v>
      </c>
      <c r="B80" s="310">
        <v>73</v>
      </c>
      <c r="C80" s="746">
        <f>IF('User Dashboard'!Z$12=5,
IF('SIR Model Patient Calcs'!B80&lt;'User Dashboard'!AJ$15,'User Dashboard'!AN$14,
IF('SIR Model Patient Calcs'!B80&lt;'User Dashboard'!AJ$16,'User Dashboard'!AN$15,
IF('SIR Model Patient Calcs'!B80&lt;'User Dashboard'!AJ$17,'User Dashboard'!AN$16,
IF('SIR Model Patient Calcs'!B80&lt;'User Dashboard'!AJ$18,'User Dashboard'!AN$17,
'User Dashboard'!AN$18)))),
IF('User Dashboard'!Z$12=4,
IF('SIR Model Patient Calcs'!B80&lt;'User Dashboard'!AJ$15,'User Dashboard'!AN$14,
IF('SIR Model Patient Calcs'!B80&lt;'User Dashboard'!AJ$16,'User Dashboard'!AN$15,
IF('SIR Model Patient Calcs'!B80&lt;'User Dashboard'!AJ$17,'User Dashboard'!AN$16,
'User Dashboard'!AN$17))),
IF('User Dashboard'!Z$12=3,
IF('SIR Model Patient Calcs'!B80&lt;'User Dashboard'!AJ$15,'User Dashboard'!AN$14,
IF('SIR Model Patient Calcs'!B80&lt;'User Dashboard'!AJ$16,'User Dashboard'!AN$15,
'User Dashboard'!AN$16)),
IF('User Dashboard'!Z$12=2,
IF('SIR Model Patient Calcs'!B80&lt;'User Dashboard'!AJ$15,'User Dashboard'!AN$14,
'User Dashboard'!AN$15),
IF('User Dashboard'!Z$12=1,
'User Dashboard'!AN$14)))))</f>
        <v>15.209356603107825</v>
      </c>
      <c r="D80" s="747">
        <f>'User Dashboard'!X$15</f>
        <v>2.2072878851804097E-2</v>
      </c>
      <c r="E80" s="739">
        <f t="shared" si="12"/>
        <v>9.1306104687305725E-8</v>
      </c>
      <c r="F80" s="739">
        <f t="shared" ref="F80:F143" si="20">AVERAGE(E71:E80)</f>
        <v>9.1306104687305725E-8</v>
      </c>
      <c r="G80" s="749">
        <f>1/'User Dashboard'!X$12</f>
        <v>0.14285714285714285</v>
      </c>
      <c r="H80" s="385">
        <f t="shared" si="13"/>
        <v>3260817.1391930562</v>
      </c>
      <c r="I80" s="751">
        <f t="shared" si="16"/>
        <v>229068.83680944826</v>
      </c>
      <c r="J80" s="752">
        <f t="shared" si="14"/>
        <v>186914.02399749562</v>
      </c>
      <c r="K80" s="385">
        <f t="shared" si="17"/>
        <v>415982.86080694385</v>
      </c>
      <c r="L80" s="752">
        <f t="shared" si="18"/>
        <v>59855.829702845716</v>
      </c>
      <c r="N80" s="309" t="str">
        <f t="shared" si="19"/>
        <v/>
      </c>
      <c r="O80" s="752" t="str">
        <f t="array" ref="O80">IF(N80="","",MAX(IF(A:A=N80,K:K)))</f>
        <v/>
      </c>
    </row>
    <row r="81" spans="1:15" x14ac:dyDescent="0.75">
      <c r="A81" s="309">
        <f t="shared" si="15"/>
        <v>11</v>
      </c>
      <c r="B81" s="310">
        <v>74</v>
      </c>
      <c r="C81" s="746">
        <f>IF('User Dashboard'!Z$12=5,
IF('SIR Model Patient Calcs'!B81&lt;'User Dashboard'!AJ$15,'User Dashboard'!AN$14,
IF('SIR Model Patient Calcs'!B81&lt;'User Dashboard'!AJ$16,'User Dashboard'!AN$15,
IF('SIR Model Patient Calcs'!B81&lt;'User Dashboard'!AJ$17,'User Dashboard'!AN$16,
IF('SIR Model Patient Calcs'!B81&lt;'User Dashboard'!AJ$18,'User Dashboard'!AN$17,
'User Dashboard'!AN$18)))),
IF('User Dashboard'!Z$12=4,
IF('SIR Model Patient Calcs'!B81&lt;'User Dashboard'!AJ$15,'User Dashboard'!AN$14,
IF('SIR Model Patient Calcs'!B81&lt;'User Dashboard'!AJ$16,'User Dashboard'!AN$15,
IF('SIR Model Patient Calcs'!B81&lt;'User Dashboard'!AJ$17,'User Dashboard'!AN$16,
'User Dashboard'!AN$17))),
IF('User Dashboard'!Z$12=3,
IF('SIR Model Patient Calcs'!B81&lt;'User Dashboard'!AJ$15,'User Dashboard'!AN$14,
IF('SIR Model Patient Calcs'!B81&lt;'User Dashboard'!AJ$16,'User Dashboard'!AN$15,
'User Dashboard'!AN$16)),
IF('User Dashboard'!Z$12=2,
IF('SIR Model Patient Calcs'!B81&lt;'User Dashboard'!AJ$15,'User Dashboard'!AN$14,
'User Dashboard'!AN$15),
IF('User Dashboard'!Z$12=1,
'User Dashboard'!AN$14)))))</f>
        <v>15.209356603107825</v>
      </c>
      <c r="D81" s="747">
        <f>'User Dashboard'!X$15</f>
        <v>2.2072878851804097E-2</v>
      </c>
      <c r="E81" s="739">
        <f t="shared" si="12"/>
        <v>9.1306104687305725E-8</v>
      </c>
      <c r="F81" s="739">
        <f t="shared" si="20"/>
        <v>9.1306104687305725E-8</v>
      </c>
      <c r="G81" s="749">
        <f>1/'User Dashboard'!X$12</f>
        <v>0.14285714285714285</v>
      </c>
      <c r="H81" s="385">
        <f t="shared" si="13"/>
        <v>3192615.8992002178</v>
      </c>
      <c r="I81" s="751">
        <f t="shared" si="16"/>
        <v>264545.95725807967</v>
      </c>
      <c r="J81" s="752">
        <f t="shared" si="14"/>
        <v>219638.14354170251</v>
      </c>
      <c r="K81" s="385">
        <f t="shared" si="17"/>
        <v>484184.1007997822</v>
      </c>
      <c r="L81" s="752">
        <f t="shared" si="18"/>
        <v>68201.239992838353</v>
      </c>
      <c r="N81" s="309" t="str">
        <f t="shared" si="19"/>
        <v/>
      </c>
      <c r="O81" s="752" t="str">
        <f t="array" ref="O81">IF(N81="","",MAX(IF(A:A=N81,K:K)))</f>
        <v/>
      </c>
    </row>
    <row r="82" spans="1:15" x14ac:dyDescent="0.75">
      <c r="A82" s="309">
        <f t="shared" si="15"/>
        <v>11</v>
      </c>
      <c r="B82" s="310">
        <v>75</v>
      </c>
      <c r="C82" s="746">
        <f>IF('User Dashboard'!Z$12=5,
IF('SIR Model Patient Calcs'!B82&lt;'User Dashboard'!AJ$15,'User Dashboard'!AN$14,
IF('SIR Model Patient Calcs'!B82&lt;'User Dashboard'!AJ$16,'User Dashboard'!AN$15,
IF('SIR Model Patient Calcs'!B82&lt;'User Dashboard'!AJ$17,'User Dashboard'!AN$16,
IF('SIR Model Patient Calcs'!B82&lt;'User Dashboard'!AJ$18,'User Dashboard'!AN$17,
'User Dashboard'!AN$18)))),
IF('User Dashboard'!Z$12=4,
IF('SIR Model Patient Calcs'!B82&lt;'User Dashboard'!AJ$15,'User Dashboard'!AN$14,
IF('SIR Model Patient Calcs'!B82&lt;'User Dashboard'!AJ$16,'User Dashboard'!AN$15,
IF('SIR Model Patient Calcs'!B82&lt;'User Dashboard'!AJ$17,'User Dashboard'!AN$16,
'User Dashboard'!AN$17))),
IF('User Dashboard'!Z$12=3,
IF('SIR Model Patient Calcs'!B82&lt;'User Dashboard'!AJ$15,'User Dashboard'!AN$14,
IF('SIR Model Patient Calcs'!B82&lt;'User Dashboard'!AJ$16,'User Dashboard'!AN$15,
'User Dashboard'!AN$16)),
IF('User Dashboard'!Z$12=2,
IF('SIR Model Patient Calcs'!B82&lt;'User Dashboard'!AJ$15,'User Dashboard'!AN$14,
'User Dashboard'!AN$15),
IF('User Dashboard'!Z$12=1,
'User Dashboard'!AN$14)))))</f>
        <v>15.209356603107825</v>
      </c>
      <c r="D82" s="747">
        <f>'User Dashboard'!X$15</f>
        <v>2.2072878851804097E-2</v>
      </c>
      <c r="E82" s="739">
        <f t="shared" si="12"/>
        <v>9.1306104687305725E-8</v>
      </c>
      <c r="F82" s="739">
        <f t="shared" si="20"/>
        <v>9.1306104687305725E-8</v>
      </c>
      <c r="G82" s="749">
        <f>1/'User Dashboard'!X$12</f>
        <v>0.14285714285714285</v>
      </c>
      <c r="H82" s="385">
        <f t="shared" si="13"/>
        <v>3115499.3448732207</v>
      </c>
      <c r="I82" s="751">
        <f t="shared" si="16"/>
        <v>303870.23197677976</v>
      </c>
      <c r="J82" s="752">
        <f t="shared" si="14"/>
        <v>257430.42314999961</v>
      </c>
      <c r="K82" s="385">
        <f t="shared" si="17"/>
        <v>561300.65512677934</v>
      </c>
      <c r="L82" s="752">
        <f t="shared" si="18"/>
        <v>77116.554326997139</v>
      </c>
      <c r="N82" s="309" t="str">
        <f t="shared" si="19"/>
        <v/>
      </c>
      <c r="O82" s="752" t="str">
        <f t="array" ref="O82">IF(N82="","",MAX(IF(A:A=N82,K:K)))</f>
        <v/>
      </c>
    </row>
    <row r="83" spans="1:15" x14ac:dyDescent="0.75">
      <c r="A83" s="309">
        <f t="shared" si="15"/>
        <v>11</v>
      </c>
      <c r="B83" s="310">
        <v>76</v>
      </c>
      <c r="C83" s="746">
        <f>IF('User Dashboard'!Z$12=5,
IF('SIR Model Patient Calcs'!B83&lt;'User Dashboard'!AJ$15,'User Dashboard'!AN$14,
IF('SIR Model Patient Calcs'!B83&lt;'User Dashboard'!AJ$16,'User Dashboard'!AN$15,
IF('SIR Model Patient Calcs'!B83&lt;'User Dashboard'!AJ$17,'User Dashboard'!AN$16,
IF('SIR Model Patient Calcs'!B83&lt;'User Dashboard'!AJ$18,'User Dashboard'!AN$17,
'User Dashboard'!AN$18)))),
IF('User Dashboard'!Z$12=4,
IF('SIR Model Patient Calcs'!B83&lt;'User Dashboard'!AJ$15,'User Dashboard'!AN$14,
IF('SIR Model Patient Calcs'!B83&lt;'User Dashboard'!AJ$16,'User Dashboard'!AN$15,
IF('SIR Model Patient Calcs'!B83&lt;'User Dashboard'!AJ$17,'User Dashboard'!AN$16,
'User Dashboard'!AN$17))),
IF('User Dashboard'!Z$12=3,
IF('SIR Model Patient Calcs'!B83&lt;'User Dashboard'!AJ$15,'User Dashboard'!AN$14,
IF('SIR Model Patient Calcs'!B83&lt;'User Dashboard'!AJ$16,'User Dashboard'!AN$15,
'User Dashboard'!AN$16)),
IF('User Dashboard'!Z$12=2,
IF('SIR Model Patient Calcs'!B83&lt;'User Dashboard'!AJ$15,'User Dashboard'!AN$14,
'User Dashboard'!AN$15),
IF('User Dashboard'!Z$12=1,
'User Dashboard'!AN$14)))))</f>
        <v>15.209356603107825</v>
      </c>
      <c r="D83" s="747">
        <f>'User Dashboard'!X$15</f>
        <v>2.2072878851804097E-2</v>
      </c>
      <c r="E83" s="739">
        <f t="shared" si="12"/>
        <v>9.1306104687305725E-8</v>
      </c>
      <c r="F83" s="739">
        <f t="shared" si="20"/>
        <v>9.1306104687305725E-8</v>
      </c>
      <c r="G83" s="749">
        <f>1/'User Dashboard'!X$12</f>
        <v>0.14285714285714285</v>
      </c>
      <c r="H83" s="385">
        <f t="shared" si="13"/>
        <v>3029059.1699801534</v>
      </c>
      <c r="I83" s="751">
        <f t="shared" si="16"/>
        <v>346900.37373030704</v>
      </c>
      <c r="J83" s="752">
        <f t="shared" si="14"/>
        <v>300840.45628953958</v>
      </c>
      <c r="K83" s="385">
        <f t="shared" si="17"/>
        <v>647740.83001984656</v>
      </c>
      <c r="L83" s="752">
        <f t="shared" si="18"/>
        <v>86440.174893067218</v>
      </c>
      <c r="N83" s="309" t="str">
        <f t="shared" si="19"/>
        <v/>
      </c>
      <c r="O83" s="752" t="str">
        <f t="array" ref="O83">IF(N83="","",MAX(IF(A:A=N83,K:K)))</f>
        <v/>
      </c>
    </row>
    <row r="84" spans="1:15" x14ac:dyDescent="0.75">
      <c r="A84" s="309">
        <f t="shared" si="15"/>
        <v>11</v>
      </c>
      <c r="B84" s="310">
        <v>77</v>
      </c>
      <c r="C84" s="746">
        <f>IF('User Dashboard'!Z$12=5,
IF('SIR Model Patient Calcs'!B84&lt;'User Dashboard'!AJ$15,'User Dashboard'!AN$14,
IF('SIR Model Patient Calcs'!B84&lt;'User Dashboard'!AJ$16,'User Dashboard'!AN$15,
IF('SIR Model Patient Calcs'!B84&lt;'User Dashboard'!AJ$17,'User Dashboard'!AN$16,
IF('SIR Model Patient Calcs'!B84&lt;'User Dashboard'!AJ$18,'User Dashboard'!AN$17,
'User Dashboard'!AN$18)))),
IF('User Dashboard'!Z$12=4,
IF('SIR Model Patient Calcs'!B84&lt;'User Dashboard'!AJ$15,'User Dashboard'!AN$14,
IF('SIR Model Patient Calcs'!B84&lt;'User Dashboard'!AJ$16,'User Dashboard'!AN$15,
IF('SIR Model Patient Calcs'!B84&lt;'User Dashboard'!AJ$17,'User Dashboard'!AN$16,
'User Dashboard'!AN$17))),
IF('User Dashboard'!Z$12=3,
IF('SIR Model Patient Calcs'!B84&lt;'User Dashboard'!AJ$15,'User Dashboard'!AN$14,
IF('SIR Model Patient Calcs'!B84&lt;'User Dashboard'!AJ$16,'User Dashboard'!AN$15,
'User Dashboard'!AN$16)),
IF('User Dashboard'!Z$12=2,
IF('SIR Model Patient Calcs'!B84&lt;'User Dashboard'!AJ$15,'User Dashboard'!AN$14,
'User Dashboard'!AN$15),
IF('User Dashboard'!Z$12=1,
'User Dashboard'!AN$14)))))</f>
        <v>15.209356603107825</v>
      </c>
      <c r="D84" s="747">
        <f>'User Dashboard'!X$15</f>
        <v>2.2072878851804097E-2</v>
      </c>
      <c r="E84" s="739">
        <f t="shared" si="12"/>
        <v>9.1306104687305725E-8</v>
      </c>
      <c r="F84" s="739">
        <f t="shared" si="20"/>
        <v>9.1306104687305725E-8</v>
      </c>
      <c r="G84" s="749">
        <f>1/'User Dashboard'!X$12</f>
        <v>0.14285714285714285</v>
      </c>
      <c r="H84" s="385">
        <f t="shared" si="13"/>
        <v>2933116.3807699815</v>
      </c>
      <c r="I84" s="751">
        <f t="shared" si="16"/>
        <v>393285.96669329231</v>
      </c>
      <c r="J84" s="752">
        <f t="shared" si="14"/>
        <v>350397.65253672632</v>
      </c>
      <c r="K84" s="385">
        <f t="shared" si="17"/>
        <v>743683.6192300187</v>
      </c>
      <c r="L84" s="752">
        <f t="shared" si="18"/>
        <v>95942.789210172137</v>
      </c>
      <c r="N84" s="309" t="str">
        <f t="shared" si="19"/>
        <v/>
      </c>
      <c r="O84" s="752" t="str">
        <f t="array" ref="O84">IF(N84="","",MAX(IF(A:A=N84,K:K)))</f>
        <v/>
      </c>
    </row>
    <row r="85" spans="1:15" x14ac:dyDescent="0.75">
      <c r="A85" s="309">
        <f t="shared" si="15"/>
        <v>12</v>
      </c>
      <c r="B85" s="310">
        <v>78</v>
      </c>
      <c r="C85" s="746">
        <f>IF('User Dashboard'!Z$12=5,
IF('SIR Model Patient Calcs'!B85&lt;'User Dashboard'!AJ$15,'User Dashboard'!AN$14,
IF('SIR Model Patient Calcs'!B85&lt;'User Dashboard'!AJ$16,'User Dashboard'!AN$15,
IF('SIR Model Patient Calcs'!B85&lt;'User Dashboard'!AJ$17,'User Dashboard'!AN$16,
IF('SIR Model Patient Calcs'!B85&lt;'User Dashboard'!AJ$18,'User Dashboard'!AN$17,
'User Dashboard'!AN$18)))),
IF('User Dashboard'!Z$12=4,
IF('SIR Model Patient Calcs'!B85&lt;'User Dashboard'!AJ$15,'User Dashboard'!AN$14,
IF('SIR Model Patient Calcs'!B85&lt;'User Dashboard'!AJ$16,'User Dashboard'!AN$15,
IF('SIR Model Patient Calcs'!B85&lt;'User Dashboard'!AJ$17,'User Dashboard'!AN$16,
'User Dashboard'!AN$17))),
IF('User Dashboard'!Z$12=3,
IF('SIR Model Patient Calcs'!B85&lt;'User Dashboard'!AJ$15,'User Dashboard'!AN$14,
IF('SIR Model Patient Calcs'!B85&lt;'User Dashboard'!AJ$16,'User Dashboard'!AN$15,
'User Dashboard'!AN$16)),
IF('User Dashboard'!Z$12=2,
IF('SIR Model Patient Calcs'!B85&lt;'User Dashboard'!AJ$15,'User Dashboard'!AN$14,
'User Dashboard'!AN$15),
IF('User Dashboard'!Z$12=1,
'User Dashboard'!AN$14)))))</f>
        <v>15.209356603107825</v>
      </c>
      <c r="D85" s="747">
        <f>'User Dashboard'!X$15</f>
        <v>2.2072878851804097E-2</v>
      </c>
      <c r="E85" s="739">
        <f t="shared" si="12"/>
        <v>9.1306104687305712E-8</v>
      </c>
      <c r="F85" s="739">
        <f t="shared" si="20"/>
        <v>9.1306104687305725E-8</v>
      </c>
      <c r="G85" s="749">
        <f>1/'User Dashboard'!X$12</f>
        <v>0.14285714285714285</v>
      </c>
      <c r="H85" s="385">
        <f t="shared" si="13"/>
        <v>2827789.9031107449</v>
      </c>
      <c r="I85" s="751">
        <f t="shared" si="16"/>
        <v>442428.734824916</v>
      </c>
      <c r="J85" s="752">
        <f t="shared" si="14"/>
        <v>406581.36206433951</v>
      </c>
      <c r="K85" s="385">
        <f t="shared" si="17"/>
        <v>849010.09688925557</v>
      </c>
      <c r="L85" s="752">
        <f t="shared" si="18"/>
        <v>105326.47765923687</v>
      </c>
      <c r="N85" s="309" t="str">
        <f t="shared" si="19"/>
        <v/>
      </c>
      <c r="O85" s="752" t="str">
        <f t="array" ref="O85">IF(N85="","",MAX(IF(A:A=N85,K:K)))</f>
        <v/>
      </c>
    </row>
    <row r="86" spans="1:15" x14ac:dyDescent="0.75">
      <c r="A86" s="309">
        <f t="shared" si="15"/>
        <v>12</v>
      </c>
      <c r="B86" s="310">
        <v>79</v>
      </c>
      <c r="C86" s="746">
        <f>IF('User Dashboard'!Z$12=5,
IF('SIR Model Patient Calcs'!B86&lt;'User Dashboard'!AJ$15,'User Dashboard'!AN$14,
IF('SIR Model Patient Calcs'!B86&lt;'User Dashboard'!AJ$16,'User Dashboard'!AN$15,
IF('SIR Model Patient Calcs'!B86&lt;'User Dashboard'!AJ$17,'User Dashboard'!AN$16,
IF('SIR Model Patient Calcs'!B86&lt;'User Dashboard'!AJ$18,'User Dashboard'!AN$17,
'User Dashboard'!AN$18)))),
IF('User Dashboard'!Z$12=4,
IF('SIR Model Patient Calcs'!B86&lt;'User Dashboard'!AJ$15,'User Dashboard'!AN$14,
IF('SIR Model Patient Calcs'!B86&lt;'User Dashboard'!AJ$16,'User Dashboard'!AN$15,
IF('SIR Model Patient Calcs'!B86&lt;'User Dashboard'!AJ$17,'User Dashboard'!AN$16,
'User Dashboard'!AN$17))),
IF('User Dashboard'!Z$12=3,
IF('SIR Model Patient Calcs'!B86&lt;'User Dashboard'!AJ$15,'User Dashboard'!AN$14,
IF('SIR Model Patient Calcs'!B86&lt;'User Dashboard'!AJ$16,'User Dashboard'!AN$15,
'User Dashboard'!AN$16)),
IF('User Dashboard'!Z$12=2,
IF('SIR Model Patient Calcs'!B86&lt;'User Dashboard'!AJ$15,'User Dashboard'!AN$14,
'User Dashboard'!AN$15),
IF('User Dashboard'!Z$12=1,
'User Dashboard'!AN$14)))))</f>
        <v>15.209356603107825</v>
      </c>
      <c r="D86" s="747">
        <f>'User Dashboard'!X$15</f>
        <v>2.2072878851804097E-2</v>
      </c>
      <c r="E86" s="739">
        <f t="shared" si="12"/>
        <v>9.1306104687305712E-8</v>
      </c>
      <c r="F86" s="739">
        <f t="shared" si="20"/>
        <v>9.1306104687305725E-8</v>
      </c>
      <c r="G86" s="749">
        <f>1/'User Dashboard'!X$12</f>
        <v>0.14285714285714285</v>
      </c>
      <c r="H86" s="385">
        <f t="shared" si="13"/>
        <v>2713557.2455753763</v>
      </c>
      <c r="I86" s="751">
        <f t="shared" si="16"/>
        <v>493457.2873852966</v>
      </c>
      <c r="J86" s="752">
        <f t="shared" si="14"/>
        <v>469785.46703932749</v>
      </c>
      <c r="K86" s="385">
        <f t="shared" si="17"/>
        <v>963242.75442462415</v>
      </c>
      <c r="L86" s="752">
        <f t="shared" si="18"/>
        <v>114232.65753536858</v>
      </c>
      <c r="N86" s="309" t="str">
        <f t="shared" si="19"/>
        <v/>
      </c>
      <c r="O86" s="752" t="str">
        <f t="array" ref="O86">IF(N86="","",MAX(IF(A:A=N86,K:K)))</f>
        <v/>
      </c>
    </row>
    <row r="87" spans="1:15" x14ac:dyDescent="0.75">
      <c r="A87" s="309">
        <f t="shared" si="15"/>
        <v>12</v>
      </c>
      <c r="B87" s="310">
        <v>80</v>
      </c>
      <c r="C87" s="746">
        <f>IF('User Dashboard'!Z$12=5,
IF('SIR Model Patient Calcs'!B87&lt;'User Dashboard'!AJ$15,'User Dashboard'!AN$14,
IF('SIR Model Patient Calcs'!B87&lt;'User Dashboard'!AJ$16,'User Dashboard'!AN$15,
IF('SIR Model Patient Calcs'!B87&lt;'User Dashboard'!AJ$17,'User Dashboard'!AN$16,
IF('SIR Model Patient Calcs'!B87&lt;'User Dashboard'!AJ$18,'User Dashboard'!AN$17,
'User Dashboard'!AN$18)))),
IF('User Dashboard'!Z$12=4,
IF('SIR Model Patient Calcs'!B87&lt;'User Dashboard'!AJ$15,'User Dashboard'!AN$14,
IF('SIR Model Patient Calcs'!B87&lt;'User Dashboard'!AJ$16,'User Dashboard'!AN$15,
IF('SIR Model Patient Calcs'!B87&lt;'User Dashboard'!AJ$17,'User Dashboard'!AN$16,
'User Dashboard'!AN$17))),
IF('User Dashboard'!Z$12=3,
IF('SIR Model Patient Calcs'!B87&lt;'User Dashboard'!AJ$15,'User Dashboard'!AN$14,
IF('SIR Model Patient Calcs'!B87&lt;'User Dashboard'!AJ$16,'User Dashboard'!AN$15,
'User Dashboard'!AN$16)),
IF('User Dashboard'!Z$12=2,
IF('SIR Model Patient Calcs'!B87&lt;'User Dashboard'!AJ$15,'User Dashboard'!AN$14,
'User Dashboard'!AN$15),
IF('User Dashboard'!Z$12=1,
'User Dashboard'!AN$14)))))</f>
        <v>15.209356603107825</v>
      </c>
      <c r="D87" s="747">
        <f>'User Dashboard'!X$15</f>
        <v>2.2072878851804097E-2</v>
      </c>
      <c r="E87" s="739">
        <f t="shared" si="12"/>
        <v>9.1306104687305725E-8</v>
      </c>
      <c r="F87" s="739">
        <f t="shared" si="20"/>
        <v>9.1306104687305725E-8</v>
      </c>
      <c r="G87" s="749">
        <f>1/'User Dashboard'!X$12</f>
        <v>0.14285714285714285</v>
      </c>
      <c r="H87" s="385">
        <f t="shared" si="13"/>
        <v>2591296.1254911064</v>
      </c>
      <c r="I87" s="751">
        <f t="shared" si="16"/>
        <v>545224.50927166699</v>
      </c>
      <c r="J87" s="752">
        <f t="shared" si="14"/>
        <v>540279.36523722694</v>
      </c>
      <c r="K87" s="385">
        <f t="shared" si="17"/>
        <v>1085503.874508894</v>
      </c>
      <c r="L87" s="752">
        <f t="shared" si="18"/>
        <v>122261.1200842699</v>
      </c>
      <c r="N87" s="309" t="str">
        <f t="shared" si="19"/>
        <v/>
      </c>
      <c r="O87" s="752" t="str">
        <f t="array" ref="O87">IF(N87="","",MAX(IF(A:A=N87,K:K)))</f>
        <v/>
      </c>
    </row>
    <row r="88" spans="1:15" x14ac:dyDescent="0.75">
      <c r="A88" s="309">
        <f t="shared" si="15"/>
        <v>12</v>
      </c>
      <c r="B88" s="310">
        <v>81</v>
      </c>
      <c r="C88" s="746">
        <f>IF('User Dashboard'!Z$12=5,
IF('SIR Model Patient Calcs'!B88&lt;'User Dashboard'!AJ$15,'User Dashboard'!AN$14,
IF('SIR Model Patient Calcs'!B88&lt;'User Dashboard'!AJ$16,'User Dashboard'!AN$15,
IF('SIR Model Patient Calcs'!B88&lt;'User Dashboard'!AJ$17,'User Dashboard'!AN$16,
IF('SIR Model Patient Calcs'!B88&lt;'User Dashboard'!AJ$18,'User Dashboard'!AN$17,
'User Dashboard'!AN$18)))),
IF('User Dashboard'!Z$12=4,
IF('SIR Model Patient Calcs'!B88&lt;'User Dashboard'!AJ$15,'User Dashboard'!AN$14,
IF('SIR Model Patient Calcs'!B88&lt;'User Dashboard'!AJ$16,'User Dashboard'!AN$15,
IF('SIR Model Patient Calcs'!B88&lt;'User Dashboard'!AJ$17,'User Dashboard'!AN$16,
'User Dashboard'!AN$17))),
IF('User Dashboard'!Z$12=3,
IF('SIR Model Patient Calcs'!B88&lt;'User Dashboard'!AJ$15,'User Dashboard'!AN$14,
IF('SIR Model Patient Calcs'!B88&lt;'User Dashboard'!AJ$16,'User Dashboard'!AN$15,
'User Dashboard'!AN$16)),
IF('User Dashboard'!Z$12=2,
IF('SIR Model Patient Calcs'!B88&lt;'User Dashboard'!AJ$15,'User Dashboard'!AN$14,
'User Dashboard'!AN$15),
IF('User Dashboard'!Z$12=1,
'User Dashboard'!AN$14)))))</f>
        <v>15.209356603107825</v>
      </c>
      <c r="D88" s="747">
        <f>'User Dashboard'!X$15</f>
        <v>2.2072878851804097E-2</v>
      </c>
      <c r="E88" s="739">
        <f t="shared" si="12"/>
        <v>9.1306104687305712E-8</v>
      </c>
      <c r="F88" s="739">
        <f t="shared" si="20"/>
        <v>9.1306104687305725E-8</v>
      </c>
      <c r="G88" s="749">
        <f>1/'User Dashboard'!X$12</f>
        <v>0.14285714285714285</v>
      </c>
      <c r="H88" s="385">
        <f t="shared" si="13"/>
        <v>2462295.3766941563</v>
      </c>
      <c r="I88" s="751">
        <f t="shared" si="16"/>
        <v>596336.04245837894</v>
      </c>
      <c r="J88" s="752">
        <f t="shared" si="14"/>
        <v>618168.58084746508</v>
      </c>
      <c r="K88" s="385">
        <f t="shared" si="17"/>
        <v>1214504.6233058441</v>
      </c>
      <c r="L88" s="752">
        <f t="shared" si="18"/>
        <v>129000.74879695009</v>
      </c>
      <c r="N88" s="309" t="str">
        <f t="shared" si="19"/>
        <v/>
      </c>
      <c r="O88" s="752" t="str">
        <f t="array" ref="O88">IF(N88="","",MAX(IF(A:A=N88,K:K)))</f>
        <v/>
      </c>
    </row>
    <row r="89" spans="1:15" x14ac:dyDescent="0.75">
      <c r="A89" s="309">
        <f t="shared" si="15"/>
        <v>12</v>
      </c>
      <c r="B89" s="310">
        <v>82</v>
      </c>
      <c r="C89" s="746">
        <f>IF('User Dashboard'!Z$12=5,
IF('SIR Model Patient Calcs'!B89&lt;'User Dashboard'!AJ$15,'User Dashboard'!AN$14,
IF('SIR Model Patient Calcs'!B89&lt;'User Dashboard'!AJ$16,'User Dashboard'!AN$15,
IF('SIR Model Patient Calcs'!B89&lt;'User Dashboard'!AJ$17,'User Dashboard'!AN$16,
IF('SIR Model Patient Calcs'!B89&lt;'User Dashboard'!AJ$18,'User Dashboard'!AN$17,
'User Dashboard'!AN$18)))),
IF('User Dashboard'!Z$12=4,
IF('SIR Model Patient Calcs'!B89&lt;'User Dashboard'!AJ$15,'User Dashboard'!AN$14,
IF('SIR Model Patient Calcs'!B89&lt;'User Dashboard'!AJ$16,'User Dashboard'!AN$15,
IF('SIR Model Patient Calcs'!B89&lt;'User Dashboard'!AJ$17,'User Dashboard'!AN$16,
'User Dashboard'!AN$17))),
IF('User Dashboard'!Z$12=3,
IF('SIR Model Patient Calcs'!B89&lt;'User Dashboard'!AJ$15,'User Dashboard'!AN$14,
IF('SIR Model Patient Calcs'!B89&lt;'User Dashboard'!AJ$16,'User Dashboard'!AN$15,
'User Dashboard'!AN$16)),
IF('User Dashboard'!Z$12=2,
IF('SIR Model Patient Calcs'!B89&lt;'User Dashboard'!AJ$15,'User Dashboard'!AN$14,
'User Dashboard'!AN$15),
IF('User Dashboard'!Z$12=1,
'User Dashboard'!AN$14)))))</f>
        <v>15.209356603107825</v>
      </c>
      <c r="D89" s="747">
        <f>'User Dashboard'!X$15</f>
        <v>2.2072878851804097E-2</v>
      </c>
      <c r="E89" s="739">
        <f t="shared" si="12"/>
        <v>9.1306104687305725E-8</v>
      </c>
      <c r="F89" s="739">
        <f t="shared" si="20"/>
        <v>9.1306104687305712E-8</v>
      </c>
      <c r="G89" s="749">
        <f>1/'User Dashboard'!X$12</f>
        <v>0.14285714285714285</v>
      </c>
      <c r="H89" s="385">
        <f t="shared" si="13"/>
        <v>2328225.5574915814</v>
      </c>
      <c r="I89" s="751">
        <f t="shared" si="16"/>
        <v>645214.99845261383</v>
      </c>
      <c r="J89" s="752">
        <f t="shared" si="14"/>
        <v>703359.44405580498</v>
      </c>
      <c r="K89" s="385">
        <f t="shared" si="17"/>
        <v>1348574.4425084188</v>
      </c>
      <c r="L89" s="752">
        <f t="shared" si="18"/>
        <v>134069.81920257467</v>
      </c>
      <c r="N89" s="309" t="str">
        <f t="shared" si="19"/>
        <v/>
      </c>
      <c r="O89" s="752" t="str">
        <f t="array" ref="O89">IF(N89="","",MAX(IF(A:A=N89,K:K)))</f>
        <v/>
      </c>
    </row>
    <row r="90" spans="1:15" x14ac:dyDescent="0.75">
      <c r="A90" s="309">
        <f t="shared" si="15"/>
        <v>12</v>
      </c>
      <c r="B90" s="310">
        <v>83</v>
      </c>
      <c r="C90" s="746">
        <f>IF('User Dashboard'!Z$12=5,
IF('SIR Model Patient Calcs'!B90&lt;'User Dashboard'!AJ$15,'User Dashboard'!AN$14,
IF('SIR Model Patient Calcs'!B90&lt;'User Dashboard'!AJ$16,'User Dashboard'!AN$15,
IF('SIR Model Patient Calcs'!B90&lt;'User Dashboard'!AJ$17,'User Dashboard'!AN$16,
IF('SIR Model Patient Calcs'!B90&lt;'User Dashboard'!AJ$18,'User Dashboard'!AN$17,
'User Dashboard'!AN$18)))),
IF('User Dashboard'!Z$12=4,
IF('SIR Model Patient Calcs'!B90&lt;'User Dashboard'!AJ$15,'User Dashboard'!AN$14,
IF('SIR Model Patient Calcs'!B90&lt;'User Dashboard'!AJ$16,'User Dashboard'!AN$15,
IF('SIR Model Patient Calcs'!B90&lt;'User Dashboard'!AJ$17,'User Dashboard'!AN$16,
'User Dashboard'!AN$17))),
IF('User Dashboard'!Z$12=3,
IF('SIR Model Patient Calcs'!B90&lt;'User Dashboard'!AJ$15,'User Dashboard'!AN$14,
IF('SIR Model Patient Calcs'!B90&lt;'User Dashboard'!AJ$16,'User Dashboard'!AN$15,
'User Dashboard'!AN$16)),
IF('User Dashboard'!Z$12=2,
IF('SIR Model Patient Calcs'!B90&lt;'User Dashboard'!AJ$15,'User Dashboard'!AN$14,
'User Dashboard'!AN$15),
IF('User Dashboard'!Z$12=1,
'User Dashboard'!AN$14)))))</f>
        <v>15.209356603107825</v>
      </c>
      <c r="D90" s="747">
        <f>'User Dashboard'!X$15</f>
        <v>2.2072878851804097E-2</v>
      </c>
      <c r="E90" s="739">
        <f t="shared" si="12"/>
        <v>9.1306104687305712E-8</v>
      </c>
      <c r="F90" s="739">
        <f t="shared" si="20"/>
        <v>9.1306104687305712E-8</v>
      </c>
      <c r="G90" s="749">
        <f>1/'User Dashboard'!X$12</f>
        <v>0.14285714285714285</v>
      </c>
      <c r="H90" s="385">
        <f t="shared" si="13"/>
        <v>2191064.9746763799</v>
      </c>
      <c r="I90" s="751">
        <f t="shared" si="16"/>
        <v>690202.01006029896</v>
      </c>
      <c r="J90" s="752">
        <f t="shared" si="14"/>
        <v>795533.01526332123</v>
      </c>
      <c r="K90" s="385">
        <f t="shared" si="17"/>
        <v>1485735.0253236201</v>
      </c>
      <c r="L90" s="752">
        <f t="shared" si="18"/>
        <v>137160.58281520125</v>
      </c>
      <c r="N90" s="309" t="str">
        <f t="shared" si="19"/>
        <v/>
      </c>
      <c r="O90" s="752" t="str">
        <f t="array" ref="O90">IF(N90="","",MAX(IF(A:A=N90,K:K)))</f>
        <v/>
      </c>
    </row>
    <row r="91" spans="1:15" x14ac:dyDescent="0.75">
      <c r="A91" s="309">
        <f t="shared" si="15"/>
        <v>12</v>
      </c>
      <c r="B91" s="310">
        <v>84</v>
      </c>
      <c r="C91" s="746">
        <f>IF('User Dashboard'!Z$12=5,
IF('SIR Model Patient Calcs'!B91&lt;'User Dashboard'!AJ$15,'User Dashboard'!AN$14,
IF('SIR Model Patient Calcs'!B91&lt;'User Dashboard'!AJ$16,'User Dashboard'!AN$15,
IF('SIR Model Patient Calcs'!B91&lt;'User Dashboard'!AJ$17,'User Dashboard'!AN$16,
IF('SIR Model Patient Calcs'!B91&lt;'User Dashboard'!AJ$18,'User Dashboard'!AN$17,
'User Dashboard'!AN$18)))),
IF('User Dashboard'!Z$12=4,
IF('SIR Model Patient Calcs'!B91&lt;'User Dashboard'!AJ$15,'User Dashboard'!AN$14,
IF('SIR Model Patient Calcs'!B91&lt;'User Dashboard'!AJ$16,'User Dashboard'!AN$15,
IF('SIR Model Patient Calcs'!B91&lt;'User Dashboard'!AJ$17,'User Dashboard'!AN$16,
'User Dashboard'!AN$17))),
IF('User Dashboard'!Z$12=3,
IF('SIR Model Patient Calcs'!B91&lt;'User Dashboard'!AJ$15,'User Dashboard'!AN$14,
IF('SIR Model Patient Calcs'!B91&lt;'User Dashboard'!AJ$16,'User Dashboard'!AN$15,
'User Dashboard'!AN$16)),
IF('User Dashboard'!Z$12=2,
IF('SIR Model Patient Calcs'!B91&lt;'User Dashboard'!AJ$15,'User Dashboard'!AN$14,
'User Dashboard'!AN$15),
IF('User Dashboard'!Z$12=1,
'User Dashboard'!AN$14)))))</f>
        <v>15.209356603107825</v>
      </c>
      <c r="D91" s="747">
        <f>'User Dashboard'!X$15</f>
        <v>2.2072878851804097E-2</v>
      </c>
      <c r="E91" s="739">
        <f t="shared" si="12"/>
        <v>9.1306104687305725E-8</v>
      </c>
      <c r="F91" s="739">
        <f t="shared" si="20"/>
        <v>9.1306104687305725E-8</v>
      </c>
      <c r="G91" s="749">
        <f>1/'User Dashboard'!X$12</f>
        <v>0.14285714285714285</v>
      </c>
      <c r="H91" s="385">
        <f t="shared" si="13"/>
        <v>2052984.8115383354</v>
      </c>
      <c r="I91" s="751">
        <f t="shared" si="16"/>
        <v>729681.88604687224</v>
      </c>
      <c r="J91" s="752">
        <f t="shared" si="14"/>
        <v>894133.30241479247</v>
      </c>
      <c r="K91" s="385">
        <f t="shared" si="17"/>
        <v>1623815.1884616646</v>
      </c>
      <c r="L91" s="752">
        <f t="shared" si="18"/>
        <v>138080.16313804453</v>
      </c>
      <c r="N91" s="309" t="str">
        <f t="shared" si="19"/>
        <v/>
      </c>
      <c r="O91" s="752" t="str">
        <f t="array" ref="O91">IF(N91="","",MAX(IF(A:A=N91,K:K)))</f>
        <v/>
      </c>
    </row>
    <row r="92" spans="1:15" x14ac:dyDescent="0.75">
      <c r="A92" s="309">
        <f t="shared" si="15"/>
        <v>13</v>
      </c>
      <c r="B92" s="310">
        <v>85</v>
      </c>
      <c r="C92" s="746">
        <f>IF('User Dashboard'!Z$12=5,
IF('SIR Model Patient Calcs'!B92&lt;'User Dashboard'!AJ$15,'User Dashboard'!AN$14,
IF('SIR Model Patient Calcs'!B92&lt;'User Dashboard'!AJ$16,'User Dashboard'!AN$15,
IF('SIR Model Patient Calcs'!B92&lt;'User Dashboard'!AJ$17,'User Dashboard'!AN$16,
IF('SIR Model Patient Calcs'!B92&lt;'User Dashboard'!AJ$18,'User Dashboard'!AN$17,
'User Dashboard'!AN$18)))),
IF('User Dashboard'!Z$12=4,
IF('SIR Model Patient Calcs'!B92&lt;'User Dashboard'!AJ$15,'User Dashboard'!AN$14,
IF('SIR Model Patient Calcs'!B92&lt;'User Dashboard'!AJ$16,'User Dashboard'!AN$15,
IF('SIR Model Patient Calcs'!B92&lt;'User Dashboard'!AJ$17,'User Dashboard'!AN$16,
'User Dashboard'!AN$17))),
IF('User Dashboard'!Z$12=3,
IF('SIR Model Patient Calcs'!B92&lt;'User Dashboard'!AJ$15,'User Dashboard'!AN$14,
IF('SIR Model Patient Calcs'!B92&lt;'User Dashboard'!AJ$16,'User Dashboard'!AN$15,
'User Dashboard'!AN$16)),
IF('User Dashboard'!Z$12=2,
IF('SIR Model Patient Calcs'!B92&lt;'User Dashboard'!AJ$15,'User Dashboard'!AN$14,
'User Dashboard'!AN$15),
IF('User Dashboard'!Z$12=1,
'User Dashboard'!AN$14)))))</f>
        <v>15.209356603107825</v>
      </c>
      <c r="D92" s="747">
        <f>'User Dashboard'!X$15</f>
        <v>2.2072878851804097E-2</v>
      </c>
      <c r="E92" s="739">
        <f t="shared" si="12"/>
        <v>9.1306104687305712E-8</v>
      </c>
      <c r="F92" s="739">
        <f t="shared" si="20"/>
        <v>9.1306104687305712E-8</v>
      </c>
      <c r="G92" s="749">
        <f>1/'User Dashboard'!X$12</f>
        <v>0.14285714285714285</v>
      </c>
      <c r="H92" s="385">
        <f t="shared" si="13"/>
        <v>1916205.9083431712</v>
      </c>
      <c r="I92" s="751">
        <f t="shared" si="16"/>
        <v>762220.51980676898</v>
      </c>
      <c r="J92" s="752">
        <f t="shared" si="14"/>
        <v>998373.5718500599</v>
      </c>
      <c r="K92" s="385">
        <f t="shared" si="17"/>
        <v>1760594.0916568288</v>
      </c>
      <c r="L92" s="752">
        <f t="shared" si="18"/>
        <v>136778.90319516417</v>
      </c>
      <c r="N92" s="309" t="str">
        <f t="shared" si="19"/>
        <v/>
      </c>
      <c r="O92" s="752" t="str">
        <f t="array" ref="O92">IF(N92="","",MAX(IF(A:A=N92,K:K)))</f>
        <v/>
      </c>
    </row>
    <row r="93" spans="1:15" x14ac:dyDescent="0.75">
      <c r="A93" s="309">
        <f t="shared" si="15"/>
        <v>13</v>
      </c>
      <c r="B93" s="310">
        <v>86</v>
      </c>
      <c r="C93" s="746">
        <f>IF('User Dashboard'!Z$12=5,
IF('SIR Model Patient Calcs'!B93&lt;'User Dashboard'!AJ$15,'User Dashboard'!AN$14,
IF('SIR Model Patient Calcs'!B93&lt;'User Dashboard'!AJ$16,'User Dashboard'!AN$15,
IF('SIR Model Patient Calcs'!B93&lt;'User Dashboard'!AJ$17,'User Dashboard'!AN$16,
IF('SIR Model Patient Calcs'!B93&lt;'User Dashboard'!AJ$18,'User Dashboard'!AN$17,
'User Dashboard'!AN$18)))),
IF('User Dashboard'!Z$12=4,
IF('SIR Model Patient Calcs'!B93&lt;'User Dashboard'!AJ$15,'User Dashboard'!AN$14,
IF('SIR Model Patient Calcs'!B93&lt;'User Dashboard'!AJ$16,'User Dashboard'!AN$15,
IF('SIR Model Patient Calcs'!B93&lt;'User Dashboard'!AJ$17,'User Dashboard'!AN$16,
'User Dashboard'!AN$17))),
IF('User Dashboard'!Z$12=3,
IF('SIR Model Patient Calcs'!B93&lt;'User Dashboard'!AJ$15,'User Dashboard'!AN$14,
IF('SIR Model Patient Calcs'!B93&lt;'User Dashboard'!AJ$16,'User Dashboard'!AN$15,
'User Dashboard'!AN$16)),
IF('User Dashboard'!Z$12=2,
IF('SIR Model Patient Calcs'!B93&lt;'User Dashboard'!AJ$15,'User Dashboard'!AN$14,
'User Dashboard'!AN$15),
IF('User Dashboard'!Z$12=1,
'User Dashboard'!AN$14)))))</f>
        <v>15.209356603107825</v>
      </c>
      <c r="D93" s="747">
        <f>'User Dashboard'!X$15</f>
        <v>2.2072878851804097E-2</v>
      </c>
      <c r="E93" s="739">
        <f t="shared" si="12"/>
        <v>9.1306104687305725E-8</v>
      </c>
      <c r="F93" s="739">
        <f t="shared" si="20"/>
        <v>9.1306104687305712E-8</v>
      </c>
      <c r="G93" s="749">
        <f>1/'User Dashboard'!X$12</f>
        <v>0.14285714285714285</v>
      </c>
      <c r="H93" s="385">
        <f t="shared" si="13"/>
        <v>1782846.8173922584</v>
      </c>
      <c r="I93" s="751">
        <f t="shared" si="16"/>
        <v>786690.96507100051</v>
      </c>
      <c r="J93" s="752">
        <f t="shared" si="14"/>
        <v>1107262.2175367412</v>
      </c>
      <c r="K93" s="385">
        <f t="shared" si="17"/>
        <v>1893953.1826077416</v>
      </c>
      <c r="L93" s="752">
        <f t="shared" si="18"/>
        <v>133359.0909509128</v>
      </c>
      <c r="N93" s="309" t="str">
        <f t="shared" si="19"/>
        <v/>
      </c>
      <c r="O93" s="752" t="str">
        <f t="array" ref="O93">IF(N93="","",MAX(IF(A:A=N93,K:K)))</f>
        <v/>
      </c>
    </row>
    <row r="94" spans="1:15" x14ac:dyDescent="0.75">
      <c r="A94" s="309">
        <f t="shared" si="15"/>
        <v>13</v>
      </c>
      <c r="B94" s="310">
        <v>87</v>
      </c>
      <c r="C94" s="746">
        <f>IF('User Dashboard'!Z$12=5,
IF('SIR Model Patient Calcs'!B94&lt;'User Dashboard'!AJ$15,'User Dashboard'!AN$14,
IF('SIR Model Patient Calcs'!B94&lt;'User Dashboard'!AJ$16,'User Dashboard'!AN$15,
IF('SIR Model Patient Calcs'!B94&lt;'User Dashboard'!AJ$17,'User Dashboard'!AN$16,
IF('SIR Model Patient Calcs'!B94&lt;'User Dashboard'!AJ$18,'User Dashboard'!AN$17,
'User Dashboard'!AN$18)))),
IF('User Dashboard'!Z$12=4,
IF('SIR Model Patient Calcs'!B94&lt;'User Dashboard'!AJ$15,'User Dashboard'!AN$14,
IF('SIR Model Patient Calcs'!B94&lt;'User Dashboard'!AJ$16,'User Dashboard'!AN$15,
IF('SIR Model Patient Calcs'!B94&lt;'User Dashboard'!AJ$17,'User Dashboard'!AN$16,
'User Dashboard'!AN$17))),
IF('User Dashboard'!Z$12=3,
IF('SIR Model Patient Calcs'!B94&lt;'User Dashboard'!AJ$15,'User Dashboard'!AN$14,
IF('SIR Model Patient Calcs'!B94&lt;'User Dashboard'!AJ$16,'User Dashboard'!AN$15,
'User Dashboard'!AN$16)),
IF('User Dashboard'!Z$12=2,
IF('SIR Model Patient Calcs'!B94&lt;'User Dashboard'!AJ$15,'User Dashboard'!AN$14,
'User Dashboard'!AN$15),
IF('User Dashboard'!Z$12=1,
'User Dashboard'!AN$14)))))</f>
        <v>15.209356603107825</v>
      </c>
      <c r="D94" s="747">
        <f>'User Dashboard'!X$15</f>
        <v>2.2072878851804097E-2</v>
      </c>
      <c r="E94" s="739">
        <f t="shared" si="12"/>
        <v>9.1306104687305725E-8</v>
      </c>
      <c r="F94" s="739">
        <f t="shared" si="20"/>
        <v>9.1306104687305712E-8</v>
      </c>
      <c r="G94" s="749">
        <f>1/'User Dashboard'!X$12</f>
        <v>0.14285714285714285</v>
      </c>
      <c r="H94" s="385">
        <f t="shared" si="13"/>
        <v>1654785.4874365523</v>
      </c>
      <c r="I94" s="751">
        <f t="shared" si="16"/>
        <v>802367.8714451351</v>
      </c>
      <c r="J94" s="752">
        <f t="shared" si="14"/>
        <v>1219646.6411183127</v>
      </c>
      <c r="K94" s="385">
        <f t="shared" si="17"/>
        <v>2022014.5125634479</v>
      </c>
      <c r="L94" s="752">
        <f t="shared" si="18"/>
        <v>128061.32995570637</v>
      </c>
      <c r="N94" s="309" t="str">
        <f t="shared" si="19"/>
        <v/>
      </c>
      <c r="O94" s="752" t="str">
        <f t="array" ref="O94">IF(N94="","",MAX(IF(A:A=N94,K:K)))</f>
        <v/>
      </c>
    </row>
    <row r="95" spans="1:15" x14ac:dyDescent="0.75">
      <c r="A95" s="309">
        <f t="shared" si="15"/>
        <v>13</v>
      </c>
      <c r="B95" s="310">
        <v>88</v>
      </c>
      <c r="C95" s="746">
        <f>IF('User Dashboard'!Z$12=5,
IF('SIR Model Patient Calcs'!B95&lt;'User Dashboard'!AJ$15,'User Dashboard'!AN$14,
IF('SIR Model Patient Calcs'!B95&lt;'User Dashboard'!AJ$16,'User Dashboard'!AN$15,
IF('SIR Model Patient Calcs'!B95&lt;'User Dashboard'!AJ$17,'User Dashboard'!AN$16,
IF('SIR Model Patient Calcs'!B95&lt;'User Dashboard'!AJ$18,'User Dashboard'!AN$17,
'User Dashboard'!AN$18)))),
IF('User Dashboard'!Z$12=4,
IF('SIR Model Patient Calcs'!B95&lt;'User Dashboard'!AJ$15,'User Dashboard'!AN$14,
IF('SIR Model Patient Calcs'!B95&lt;'User Dashboard'!AJ$16,'User Dashboard'!AN$15,
IF('SIR Model Patient Calcs'!B95&lt;'User Dashboard'!AJ$17,'User Dashboard'!AN$16,
'User Dashboard'!AN$17))),
IF('User Dashboard'!Z$12=3,
IF('SIR Model Patient Calcs'!B95&lt;'User Dashboard'!AJ$15,'User Dashboard'!AN$14,
IF('SIR Model Patient Calcs'!B95&lt;'User Dashboard'!AJ$16,'User Dashboard'!AN$15,
'User Dashboard'!AN$16)),
IF('User Dashboard'!Z$12=2,
IF('SIR Model Patient Calcs'!B95&lt;'User Dashboard'!AJ$15,'User Dashboard'!AN$14,
'User Dashboard'!AN$15),
IF('User Dashboard'!Z$12=1,
'User Dashboard'!AN$14)))))</f>
        <v>15.209356603107825</v>
      </c>
      <c r="D95" s="747">
        <f>'User Dashboard'!X$15</f>
        <v>2.2072878851804097E-2</v>
      </c>
      <c r="E95" s="739">
        <f t="shared" si="12"/>
        <v>9.1306104687305725E-8</v>
      </c>
      <c r="F95" s="739">
        <f t="shared" si="20"/>
        <v>9.1306104687305712E-8</v>
      </c>
      <c r="G95" s="749">
        <f>1/'User Dashboard'!X$12</f>
        <v>0.14285714285714285</v>
      </c>
      <c r="H95" s="385">
        <f t="shared" si="13"/>
        <v>1533554.1074032935</v>
      </c>
      <c r="I95" s="751">
        <f t="shared" si="16"/>
        <v>808975.26984337461</v>
      </c>
      <c r="J95" s="752">
        <f t="shared" si="14"/>
        <v>1334270.6227533319</v>
      </c>
      <c r="K95" s="385">
        <f t="shared" si="17"/>
        <v>2143245.8925967067</v>
      </c>
      <c r="L95" s="752">
        <f t="shared" si="18"/>
        <v>121231.38003325881</v>
      </c>
      <c r="N95" s="309" t="str">
        <f t="shared" si="19"/>
        <v/>
      </c>
      <c r="O95" s="752" t="str">
        <f t="array" ref="O95">IF(N95="","",MAX(IF(A:A=N95,K:K)))</f>
        <v/>
      </c>
    </row>
    <row r="96" spans="1:15" x14ac:dyDescent="0.75">
      <c r="A96" s="309">
        <f t="shared" si="15"/>
        <v>13</v>
      </c>
      <c r="B96" s="310">
        <v>89</v>
      </c>
      <c r="C96" s="746">
        <f>IF('User Dashboard'!Z$12=5,
IF('SIR Model Patient Calcs'!B96&lt;'User Dashboard'!AJ$15,'User Dashboard'!AN$14,
IF('SIR Model Patient Calcs'!B96&lt;'User Dashboard'!AJ$16,'User Dashboard'!AN$15,
IF('SIR Model Patient Calcs'!B96&lt;'User Dashboard'!AJ$17,'User Dashboard'!AN$16,
IF('SIR Model Patient Calcs'!B96&lt;'User Dashboard'!AJ$18,'User Dashboard'!AN$17,
'User Dashboard'!AN$18)))),
IF('User Dashboard'!Z$12=4,
IF('SIR Model Patient Calcs'!B96&lt;'User Dashboard'!AJ$15,'User Dashboard'!AN$14,
IF('SIR Model Patient Calcs'!B96&lt;'User Dashboard'!AJ$16,'User Dashboard'!AN$15,
IF('SIR Model Patient Calcs'!B96&lt;'User Dashboard'!AJ$17,'User Dashboard'!AN$16,
'User Dashboard'!AN$17))),
IF('User Dashboard'!Z$12=3,
IF('SIR Model Patient Calcs'!B96&lt;'User Dashboard'!AJ$15,'User Dashboard'!AN$14,
IF('SIR Model Patient Calcs'!B96&lt;'User Dashboard'!AJ$16,'User Dashboard'!AN$15,
'User Dashboard'!AN$16)),
IF('User Dashboard'!Z$12=2,
IF('SIR Model Patient Calcs'!B96&lt;'User Dashboard'!AJ$15,'User Dashboard'!AN$14,
'User Dashboard'!AN$15),
IF('User Dashboard'!Z$12=1,
'User Dashboard'!AN$14)))))</f>
        <v>15.209356603107825</v>
      </c>
      <c r="D96" s="747">
        <f>'User Dashboard'!X$15</f>
        <v>2.2072878851804097E-2</v>
      </c>
      <c r="E96" s="739">
        <f t="shared" si="12"/>
        <v>9.1306104687305712E-8</v>
      </c>
      <c r="F96" s="739">
        <f t="shared" si="20"/>
        <v>9.1306104687305712E-8</v>
      </c>
      <c r="G96" s="749">
        <f>1/'User Dashboard'!X$12</f>
        <v>0.14285714285714285</v>
      </c>
      <c r="H96" s="385">
        <f t="shared" si="13"/>
        <v>1420279.0830241134</v>
      </c>
      <c r="I96" s="751">
        <f t="shared" si="16"/>
        <v>806682.39853064413</v>
      </c>
      <c r="J96" s="752">
        <f t="shared" si="14"/>
        <v>1449838.5184452427</v>
      </c>
      <c r="K96" s="385">
        <f t="shared" si="17"/>
        <v>2256520.9169758866</v>
      </c>
      <c r="L96" s="752">
        <f t="shared" si="18"/>
        <v>113275.02437917981</v>
      </c>
      <c r="N96" s="309" t="str">
        <f t="shared" si="19"/>
        <v/>
      </c>
      <c r="O96" s="752" t="str">
        <f t="array" ref="O96">IF(N96="","",MAX(IF(A:A=N96,K:K)))</f>
        <v/>
      </c>
    </row>
    <row r="97" spans="1:15" x14ac:dyDescent="0.75">
      <c r="A97" s="309">
        <f t="shared" si="15"/>
        <v>13</v>
      </c>
      <c r="B97" s="310">
        <v>90</v>
      </c>
      <c r="C97" s="746">
        <f>IF('User Dashboard'!Z$12=5,
IF('SIR Model Patient Calcs'!B97&lt;'User Dashboard'!AJ$15,'User Dashboard'!AN$14,
IF('SIR Model Patient Calcs'!B97&lt;'User Dashboard'!AJ$16,'User Dashboard'!AN$15,
IF('SIR Model Patient Calcs'!B97&lt;'User Dashboard'!AJ$17,'User Dashboard'!AN$16,
IF('SIR Model Patient Calcs'!B97&lt;'User Dashboard'!AJ$18,'User Dashboard'!AN$17,
'User Dashboard'!AN$18)))),
IF('User Dashboard'!Z$12=4,
IF('SIR Model Patient Calcs'!B97&lt;'User Dashboard'!AJ$15,'User Dashboard'!AN$14,
IF('SIR Model Patient Calcs'!B97&lt;'User Dashboard'!AJ$16,'User Dashboard'!AN$15,
IF('SIR Model Patient Calcs'!B97&lt;'User Dashboard'!AJ$17,'User Dashboard'!AN$16,
'User Dashboard'!AN$17))),
IF('User Dashboard'!Z$12=3,
IF('SIR Model Patient Calcs'!B97&lt;'User Dashboard'!AJ$15,'User Dashboard'!AN$14,
IF('SIR Model Patient Calcs'!B97&lt;'User Dashboard'!AJ$16,'User Dashboard'!AN$15,
'User Dashboard'!AN$16)),
IF('User Dashboard'!Z$12=2,
IF('SIR Model Patient Calcs'!B97&lt;'User Dashboard'!AJ$15,'User Dashboard'!AN$14,
'User Dashboard'!AN$15),
IF('User Dashboard'!Z$12=1,
'User Dashboard'!AN$14)))))</f>
        <v>15.209356603107825</v>
      </c>
      <c r="D97" s="747">
        <f>'User Dashboard'!X$15</f>
        <v>2.2072878851804097E-2</v>
      </c>
      <c r="E97" s="739">
        <f t="shared" si="12"/>
        <v>9.1306104687305712E-8</v>
      </c>
      <c r="F97" s="739">
        <f t="shared" si="20"/>
        <v>9.1306104687305712E-8</v>
      </c>
      <c r="G97" s="749">
        <f>1/'User Dashboard'!X$12</f>
        <v>0.14285714285714285</v>
      </c>
      <c r="H97" s="385">
        <f t="shared" si="13"/>
        <v>1315668.3880641921</v>
      </c>
      <c r="I97" s="751">
        <f t="shared" si="16"/>
        <v>796052.75084333052</v>
      </c>
      <c r="J97" s="752">
        <f t="shared" si="14"/>
        <v>1565078.8610924776</v>
      </c>
      <c r="K97" s="385">
        <f t="shared" si="17"/>
        <v>2361131.6119358083</v>
      </c>
      <c r="L97" s="752">
        <f t="shared" si="18"/>
        <v>104610.69495992176</v>
      </c>
      <c r="N97" s="309" t="str">
        <f t="shared" si="19"/>
        <v/>
      </c>
      <c r="O97" s="752" t="str">
        <f t="array" ref="O97">IF(N97="","",MAX(IF(A:A=N97,K:K)))</f>
        <v/>
      </c>
    </row>
    <row r="98" spans="1:15" x14ac:dyDescent="0.75">
      <c r="A98" s="309">
        <f t="shared" si="15"/>
        <v>13</v>
      </c>
      <c r="B98" s="310">
        <v>91</v>
      </c>
      <c r="C98" s="746">
        <f>IF('User Dashboard'!Z$12=5,
IF('SIR Model Patient Calcs'!B98&lt;'User Dashboard'!AJ$15,'User Dashboard'!AN$14,
IF('SIR Model Patient Calcs'!B98&lt;'User Dashboard'!AJ$16,'User Dashboard'!AN$15,
IF('SIR Model Patient Calcs'!B98&lt;'User Dashboard'!AJ$17,'User Dashboard'!AN$16,
IF('SIR Model Patient Calcs'!B98&lt;'User Dashboard'!AJ$18,'User Dashboard'!AN$17,
'User Dashboard'!AN$18)))),
IF('User Dashboard'!Z$12=4,
IF('SIR Model Patient Calcs'!B98&lt;'User Dashboard'!AJ$15,'User Dashboard'!AN$14,
IF('SIR Model Patient Calcs'!B98&lt;'User Dashboard'!AJ$16,'User Dashboard'!AN$15,
IF('SIR Model Patient Calcs'!B98&lt;'User Dashboard'!AJ$17,'User Dashboard'!AN$16,
'User Dashboard'!AN$17))),
IF('User Dashboard'!Z$12=3,
IF('SIR Model Patient Calcs'!B98&lt;'User Dashboard'!AJ$15,'User Dashboard'!AN$14,
IF('SIR Model Patient Calcs'!B98&lt;'User Dashboard'!AJ$16,'User Dashboard'!AN$15,
'User Dashboard'!AN$16)),
IF('User Dashboard'!Z$12=2,
IF('SIR Model Patient Calcs'!B98&lt;'User Dashboard'!AJ$15,'User Dashboard'!AN$14,
'User Dashboard'!AN$15),
IF('User Dashboard'!Z$12=1,
'User Dashboard'!AN$14)))))</f>
        <v>15.209356603107825</v>
      </c>
      <c r="D98" s="747">
        <f>'User Dashboard'!X$15</f>
        <v>2.2072878851804097E-2</v>
      </c>
      <c r="E98" s="739">
        <f t="shared" si="12"/>
        <v>9.1306104687305725E-8</v>
      </c>
      <c r="F98" s="739">
        <f t="shared" si="20"/>
        <v>9.1306104687305712E-8</v>
      </c>
      <c r="G98" s="749">
        <f>1/'User Dashboard'!X$12</f>
        <v>0.14285714285714285</v>
      </c>
      <c r="H98" s="385">
        <f t="shared" si="13"/>
        <v>1220039.7209443806</v>
      </c>
      <c r="I98" s="751">
        <f t="shared" si="16"/>
        <v>777959.59641409479</v>
      </c>
      <c r="J98" s="752">
        <f t="shared" si="14"/>
        <v>1678800.6826415248</v>
      </c>
      <c r="K98" s="385">
        <f t="shared" si="17"/>
        <v>2456760.2790556196</v>
      </c>
      <c r="L98" s="752">
        <f t="shared" si="18"/>
        <v>95628.667119811289</v>
      </c>
      <c r="N98" s="309" t="str">
        <f t="shared" si="19"/>
        <v/>
      </c>
      <c r="O98" s="752" t="str">
        <f t="array" ref="O98">IF(N98="","",MAX(IF(A:A=N98,K:K)))</f>
        <v/>
      </c>
    </row>
    <row r="99" spans="1:15" x14ac:dyDescent="0.75">
      <c r="A99" s="309">
        <f t="shared" si="15"/>
        <v>14</v>
      </c>
      <c r="B99" s="310">
        <v>92</v>
      </c>
      <c r="C99" s="746">
        <f>IF('User Dashboard'!Z$12=5,
IF('SIR Model Patient Calcs'!B99&lt;'User Dashboard'!AJ$15,'User Dashboard'!AN$14,
IF('SIR Model Patient Calcs'!B99&lt;'User Dashboard'!AJ$16,'User Dashboard'!AN$15,
IF('SIR Model Patient Calcs'!B99&lt;'User Dashboard'!AJ$17,'User Dashboard'!AN$16,
IF('SIR Model Patient Calcs'!B99&lt;'User Dashboard'!AJ$18,'User Dashboard'!AN$17,
'User Dashboard'!AN$18)))),
IF('User Dashboard'!Z$12=4,
IF('SIR Model Patient Calcs'!B99&lt;'User Dashboard'!AJ$15,'User Dashboard'!AN$14,
IF('SIR Model Patient Calcs'!B99&lt;'User Dashboard'!AJ$16,'User Dashboard'!AN$15,
IF('SIR Model Patient Calcs'!B99&lt;'User Dashboard'!AJ$17,'User Dashboard'!AN$16,
'User Dashboard'!AN$17))),
IF('User Dashboard'!Z$12=3,
IF('SIR Model Patient Calcs'!B99&lt;'User Dashboard'!AJ$15,'User Dashboard'!AN$14,
IF('SIR Model Patient Calcs'!B99&lt;'User Dashboard'!AJ$16,'User Dashboard'!AN$15,
'User Dashboard'!AN$16)),
IF('User Dashboard'!Z$12=2,
IF('SIR Model Patient Calcs'!B99&lt;'User Dashboard'!AJ$15,'User Dashboard'!AN$14,
'User Dashboard'!AN$15),
IF('User Dashboard'!Z$12=1,
'User Dashboard'!AN$14)))))</f>
        <v>15.209356603107825</v>
      </c>
      <c r="D99" s="747">
        <f>'User Dashboard'!X$15</f>
        <v>2.2072878851804097E-2</v>
      </c>
      <c r="E99" s="739">
        <f t="shared" si="12"/>
        <v>9.1306104687305712E-8</v>
      </c>
      <c r="F99" s="739">
        <f t="shared" si="20"/>
        <v>9.1306104687305712E-8</v>
      </c>
      <c r="G99" s="749">
        <f>1/'User Dashboard'!X$12</f>
        <v>0.14285714285714285</v>
      </c>
      <c r="H99" s="385">
        <f t="shared" si="13"/>
        <v>1133377.2978377049</v>
      </c>
      <c r="I99" s="751">
        <f t="shared" si="16"/>
        <v>753484.93431875703</v>
      </c>
      <c r="J99" s="752">
        <f t="shared" si="14"/>
        <v>1789937.7678435384</v>
      </c>
      <c r="K99" s="385">
        <f t="shared" si="17"/>
        <v>2543422.7021622956</v>
      </c>
      <c r="L99" s="752">
        <f t="shared" si="18"/>
        <v>86662.423106675968</v>
      </c>
      <c r="N99" s="309" t="str">
        <f t="shared" si="19"/>
        <v/>
      </c>
      <c r="O99" s="752" t="str">
        <f t="array" ref="O99">IF(N99="","",MAX(IF(A:A=N99,K:K)))</f>
        <v/>
      </c>
    </row>
    <row r="100" spans="1:15" x14ac:dyDescent="0.75">
      <c r="A100" s="309">
        <f t="shared" si="15"/>
        <v>14</v>
      </c>
      <c r="B100" s="310">
        <v>93</v>
      </c>
      <c r="C100" s="746">
        <f>IF('User Dashboard'!Z$12=5,
IF('SIR Model Patient Calcs'!B100&lt;'User Dashboard'!AJ$15,'User Dashboard'!AN$14,
IF('SIR Model Patient Calcs'!B100&lt;'User Dashboard'!AJ$16,'User Dashboard'!AN$15,
IF('SIR Model Patient Calcs'!B100&lt;'User Dashboard'!AJ$17,'User Dashboard'!AN$16,
IF('SIR Model Patient Calcs'!B100&lt;'User Dashboard'!AJ$18,'User Dashboard'!AN$17,
'User Dashboard'!AN$18)))),
IF('User Dashboard'!Z$12=4,
IF('SIR Model Patient Calcs'!B100&lt;'User Dashboard'!AJ$15,'User Dashboard'!AN$14,
IF('SIR Model Patient Calcs'!B100&lt;'User Dashboard'!AJ$16,'User Dashboard'!AN$15,
IF('SIR Model Patient Calcs'!B100&lt;'User Dashboard'!AJ$17,'User Dashboard'!AN$16,
'User Dashboard'!AN$17))),
IF('User Dashboard'!Z$12=3,
IF('SIR Model Patient Calcs'!B100&lt;'User Dashboard'!AJ$15,'User Dashboard'!AN$14,
IF('SIR Model Patient Calcs'!B100&lt;'User Dashboard'!AJ$16,'User Dashboard'!AN$15,
'User Dashboard'!AN$16)),
IF('User Dashboard'!Z$12=2,
IF('SIR Model Patient Calcs'!B100&lt;'User Dashboard'!AJ$15,'User Dashboard'!AN$14,
'User Dashboard'!AN$15),
IF('User Dashboard'!Z$12=1,
'User Dashboard'!AN$14)))))</f>
        <v>15.209356603107825</v>
      </c>
      <c r="D100" s="747">
        <f>'User Dashboard'!X$15</f>
        <v>2.2072878851804097E-2</v>
      </c>
      <c r="E100" s="739">
        <f t="shared" si="12"/>
        <v>9.1306104687305712E-8</v>
      </c>
      <c r="F100" s="739">
        <f t="shared" si="20"/>
        <v>9.1306104687305712E-8</v>
      </c>
      <c r="G100" s="749">
        <f>1/'User Dashboard'!X$12</f>
        <v>0.14285714285714285</v>
      </c>
      <c r="H100" s="385">
        <f t="shared" si="13"/>
        <v>1055403.4623120113</v>
      </c>
      <c r="I100" s="751">
        <f t="shared" si="16"/>
        <v>723818.0649417711</v>
      </c>
      <c r="J100" s="752">
        <f t="shared" si="14"/>
        <v>1897578.4727462181</v>
      </c>
      <c r="K100" s="385">
        <f t="shared" si="17"/>
        <v>2621396.537687989</v>
      </c>
      <c r="L100" s="752">
        <f t="shared" si="18"/>
        <v>77973.835525693372</v>
      </c>
      <c r="N100" s="309" t="str">
        <f t="shared" si="19"/>
        <v/>
      </c>
      <c r="O100" s="752" t="str">
        <f t="array" ref="O100">IF(N100="","",MAX(IF(A:A=N100,K:K)))</f>
        <v/>
      </c>
    </row>
    <row r="101" spans="1:15" x14ac:dyDescent="0.75">
      <c r="A101" s="309">
        <f t="shared" si="15"/>
        <v>14</v>
      </c>
      <c r="B101" s="310">
        <v>94</v>
      </c>
      <c r="C101" s="746">
        <f>IF('User Dashboard'!Z$12=5,
IF('SIR Model Patient Calcs'!B101&lt;'User Dashboard'!AJ$15,'User Dashboard'!AN$14,
IF('SIR Model Patient Calcs'!B101&lt;'User Dashboard'!AJ$16,'User Dashboard'!AN$15,
IF('SIR Model Patient Calcs'!B101&lt;'User Dashboard'!AJ$17,'User Dashboard'!AN$16,
IF('SIR Model Patient Calcs'!B101&lt;'User Dashboard'!AJ$18,'User Dashboard'!AN$17,
'User Dashboard'!AN$18)))),
IF('User Dashboard'!Z$12=4,
IF('SIR Model Patient Calcs'!B101&lt;'User Dashboard'!AJ$15,'User Dashboard'!AN$14,
IF('SIR Model Patient Calcs'!B101&lt;'User Dashboard'!AJ$16,'User Dashboard'!AN$15,
IF('SIR Model Patient Calcs'!B101&lt;'User Dashboard'!AJ$17,'User Dashboard'!AN$16,
'User Dashboard'!AN$17))),
IF('User Dashboard'!Z$12=3,
IF('SIR Model Patient Calcs'!B101&lt;'User Dashboard'!AJ$15,'User Dashboard'!AN$14,
IF('SIR Model Patient Calcs'!B101&lt;'User Dashboard'!AJ$16,'User Dashboard'!AN$15,
'User Dashboard'!AN$16)),
IF('User Dashboard'!Z$12=2,
IF('SIR Model Patient Calcs'!B101&lt;'User Dashboard'!AJ$15,'User Dashboard'!AN$14,
'User Dashboard'!AN$15),
IF('User Dashboard'!Z$12=1,
'User Dashboard'!AN$14)))))</f>
        <v>15.209356603107825</v>
      </c>
      <c r="D101" s="747">
        <f>'User Dashboard'!X$15</f>
        <v>2.2072878851804097E-2</v>
      </c>
      <c r="E101" s="739">
        <f t="shared" si="12"/>
        <v>9.1306104687305712E-8</v>
      </c>
      <c r="F101" s="739">
        <f t="shared" si="20"/>
        <v>9.1306104687305712E-8</v>
      </c>
      <c r="G101" s="749">
        <f>1/'User Dashboard'!X$12</f>
        <v>0.14285714285714285</v>
      </c>
      <c r="H101" s="385">
        <f t="shared" si="13"/>
        <v>985652.89443523623</v>
      </c>
      <c r="I101" s="751">
        <f t="shared" si="16"/>
        <v>690166.05211257876</v>
      </c>
      <c r="J101" s="752">
        <f t="shared" si="14"/>
        <v>2000981.0534521854</v>
      </c>
      <c r="K101" s="385">
        <f t="shared" si="17"/>
        <v>2691147.1055647642</v>
      </c>
      <c r="L101" s="752">
        <f t="shared" si="18"/>
        <v>69750.567876775283</v>
      </c>
      <c r="N101" s="309" t="str">
        <f t="shared" si="19"/>
        <v/>
      </c>
      <c r="O101" s="752" t="str">
        <f t="array" ref="O101">IF(N101="","",MAX(IF(A:A=N101,K:K)))</f>
        <v/>
      </c>
    </row>
    <row r="102" spans="1:15" x14ac:dyDescent="0.75">
      <c r="A102" s="309">
        <f t="shared" si="15"/>
        <v>14</v>
      </c>
      <c r="B102" s="310">
        <v>95</v>
      </c>
      <c r="C102" s="746">
        <f>IF('User Dashboard'!Z$12=5,
IF('SIR Model Patient Calcs'!B102&lt;'User Dashboard'!AJ$15,'User Dashboard'!AN$14,
IF('SIR Model Patient Calcs'!B102&lt;'User Dashboard'!AJ$16,'User Dashboard'!AN$15,
IF('SIR Model Patient Calcs'!B102&lt;'User Dashboard'!AJ$17,'User Dashboard'!AN$16,
IF('SIR Model Patient Calcs'!B102&lt;'User Dashboard'!AJ$18,'User Dashboard'!AN$17,
'User Dashboard'!AN$18)))),
IF('User Dashboard'!Z$12=4,
IF('SIR Model Patient Calcs'!B102&lt;'User Dashboard'!AJ$15,'User Dashboard'!AN$14,
IF('SIR Model Patient Calcs'!B102&lt;'User Dashboard'!AJ$16,'User Dashboard'!AN$15,
IF('SIR Model Patient Calcs'!B102&lt;'User Dashboard'!AJ$17,'User Dashboard'!AN$16,
'User Dashboard'!AN$17))),
IF('User Dashboard'!Z$12=3,
IF('SIR Model Patient Calcs'!B102&lt;'User Dashboard'!AJ$15,'User Dashboard'!AN$14,
IF('SIR Model Patient Calcs'!B102&lt;'User Dashboard'!AJ$16,'User Dashboard'!AN$15,
'User Dashboard'!AN$16)),
IF('User Dashboard'!Z$12=2,
IF('SIR Model Patient Calcs'!B102&lt;'User Dashboard'!AJ$15,'User Dashboard'!AN$14,
'User Dashboard'!AN$15),
IF('User Dashboard'!Z$12=1,
'User Dashboard'!AN$14)))))</f>
        <v>15.209356603107825</v>
      </c>
      <c r="D102" s="747">
        <f>'User Dashboard'!X$15</f>
        <v>2.2072878851804097E-2</v>
      </c>
      <c r="E102" s="739">
        <f t="shared" si="12"/>
        <v>9.1306104687305725E-8</v>
      </c>
      <c r="F102" s="739">
        <f t="shared" si="20"/>
        <v>9.1306104687305725E-8</v>
      </c>
      <c r="G102" s="749">
        <f>1/'User Dashboard'!X$12</f>
        <v>0.14285714285714285</v>
      </c>
      <c r="H102" s="385">
        <f t="shared" si="13"/>
        <v>923540.62319672131</v>
      </c>
      <c r="I102" s="751">
        <f t="shared" si="16"/>
        <v>653683.17304929672</v>
      </c>
      <c r="J102" s="752">
        <f t="shared" si="14"/>
        <v>2099576.2037539822</v>
      </c>
      <c r="K102" s="385">
        <f t="shared" si="17"/>
        <v>2753259.3768032789</v>
      </c>
      <c r="L102" s="752">
        <f t="shared" si="18"/>
        <v>62112.271238514688</v>
      </c>
      <c r="N102" s="309" t="str">
        <f t="shared" si="19"/>
        <v/>
      </c>
      <c r="O102" s="752" t="str">
        <f t="array" ref="O102">IF(N102="","",MAX(IF(A:A=N102,K:K)))</f>
        <v/>
      </c>
    </row>
    <row r="103" spans="1:15" x14ac:dyDescent="0.75">
      <c r="A103" s="309">
        <f t="shared" si="15"/>
        <v>14</v>
      </c>
      <c r="B103" s="310">
        <v>96</v>
      </c>
      <c r="C103" s="746">
        <f>IF('User Dashboard'!Z$12=5,
IF('SIR Model Patient Calcs'!B103&lt;'User Dashboard'!AJ$15,'User Dashboard'!AN$14,
IF('SIR Model Patient Calcs'!B103&lt;'User Dashboard'!AJ$16,'User Dashboard'!AN$15,
IF('SIR Model Patient Calcs'!B103&lt;'User Dashboard'!AJ$17,'User Dashboard'!AN$16,
IF('SIR Model Patient Calcs'!B103&lt;'User Dashboard'!AJ$18,'User Dashboard'!AN$17,
'User Dashboard'!AN$18)))),
IF('User Dashboard'!Z$12=4,
IF('SIR Model Patient Calcs'!B103&lt;'User Dashboard'!AJ$15,'User Dashboard'!AN$14,
IF('SIR Model Patient Calcs'!B103&lt;'User Dashboard'!AJ$16,'User Dashboard'!AN$15,
IF('SIR Model Patient Calcs'!B103&lt;'User Dashboard'!AJ$17,'User Dashboard'!AN$16,
'User Dashboard'!AN$17))),
IF('User Dashboard'!Z$12=3,
IF('SIR Model Patient Calcs'!B103&lt;'User Dashboard'!AJ$15,'User Dashboard'!AN$14,
IF('SIR Model Patient Calcs'!B103&lt;'User Dashboard'!AJ$16,'User Dashboard'!AN$15,
'User Dashboard'!AN$16)),
IF('User Dashboard'!Z$12=2,
IF('SIR Model Patient Calcs'!B103&lt;'User Dashboard'!AJ$15,'User Dashboard'!AN$14,
'User Dashboard'!AN$15),
IF('User Dashboard'!Z$12=1,
'User Dashboard'!AN$14)))))</f>
        <v>15.209356603107825</v>
      </c>
      <c r="D103" s="747">
        <f>'User Dashboard'!X$15</f>
        <v>2.2072878851804097E-2</v>
      </c>
      <c r="E103" s="739">
        <f t="shared" si="12"/>
        <v>9.1306104687305725E-8</v>
      </c>
      <c r="F103" s="739">
        <f t="shared" si="20"/>
        <v>9.1306104687305712E-8</v>
      </c>
      <c r="G103" s="749">
        <f>1/'User Dashboard'!X$12</f>
        <v>0.14285714285714285</v>
      </c>
      <c r="H103" s="385">
        <f t="shared" si="13"/>
        <v>868418.85707337572</v>
      </c>
      <c r="I103" s="751">
        <f t="shared" si="16"/>
        <v>615421.62873702857</v>
      </c>
      <c r="J103" s="752">
        <f t="shared" si="14"/>
        <v>2192959.5141895958</v>
      </c>
      <c r="K103" s="385">
        <f t="shared" si="17"/>
        <v>2808381.1429266245</v>
      </c>
      <c r="L103" s="752">
        <f t="shared" si="18"/>
        <v>55121.766123345587</v>
      </c>
      <c r="N103" s="309" t="str">
        <f t="shared" si="19"/>
        <v/>
      </c>
      <c r="O103" s="752" t="str">
        <f t="array" ref="O103">IF(N103="","",MAX(IF(A:A=N103,K:K)))</f>
        <v/>
      </c>
    </row>
    <row r="104" spans="1:15" x14ac:dyDescent="0.75">
      <c r="A104" s="309">
        <f t="shared" si="15"/>
        <v>14</v>
      </c>
      <c r="B104" s="310">
        <v>97</v>
      </c>
      <c r="C104" s="746">
        <f>IF('User Dashboard'!Z$12=5,
IF('SIR Model Patient Calcs'!B104&lt;'User Dashboard'!AJ$15,'User Dashboard'!AN$14,
IF('SIR Model Patient Calcs'!B104&lt;'User Dashboard'!AJ$16,'User Dashboard'!AN$15,
IF('SIR Model Patient Calcs'!B104&lt;'User Dashboard'!AJ$17,'User Dashboard'!AN$16,
IF('SIR Model Patient Calcs'!B104&lt;'User Dashboard'!AJ$18,'User Dashboard'!AN$17,
'User Dashboard'!AN$18)))),
IF('User Dashboard'!Z$12=4,
IF('SIR Model Patient Calcs'!B104&lt;'User Dashboard'!AJ$15,'User Dashboard'!AN$14,
IF('SIR Model Patient Calcs'!B104&lt;'User Dashboard'!AJ$16,'User Dashboard'!AN$15,
IF('SIR Model Patient Calcs'!B104&lt;'User Dashboard'!AJ$17,'User Dashboard'!AN$16,
'User Dashboard'!AN$17))),
IF('User Dashboard'!Z$12=3,
IF('SIR Model Patient Calcs'!B104&lt;'User Dashboard'!AJ$15,'User Dashboard'!AN$14,
IF('SIR Model Patient Calcs'!B104&lt;'User Dashboard'!AJ$16,'User Dashboard'!AN$15,
'User Dashboard'!AN$16)),
IF('User Dashboard'!Z$12=2,
IF('SIR Model Patient Calcs'!B104&lt;'User Dashboard'!AJ$15,'User Dashboard'!AN$14,
'User Dashboard'!AN$15),
IF('User Dashboard'!Z$12=1,
'User Dashboard'!AN$14)))))</f>
        <v>15.209356603107825</v>
      </c>
      <c r="D104" s="747">
        <f>'User Dashboard'!X$15</f>
        <v>2.2072878851804097E-2</v>
      </c>
      <c r="E104" s="739">
        <f t="shared" si="12"/>
        <v>9.1306104687305725E-8</v>
      </c>
      <c r="F104" s="739">
        <f t="shared" si="20"/>
        <v>9.1306104687305712E-8</v>
      </c>
      <c r="G104" s="749">
        <f>1/'User Dashboard'!X$12</f>
        <v>0.14285714285714285</v>
      </c>
      <c r="H104" s="385">
        <f t="shared" si="13"/>
        <v>819620.88031959115</v>
      </c>
      <c r="I104" s="751">
        <f t="shared" si="16"/>
        <v>576302.22995695192</v>
      </c>
      <c r="J104" s="752">
        <f t="shared" si="14"/>
        <v>2280876.8897234569</v>
      </c>
      <c r="K104" s="385">
        <f t="shared" si="17"/>
        <v>2857179.1196804089</v>
      </c>
      <c r="L104" s="752">
        <f t="shared" si="18"/>
        <v>48797.976753784344</v>
      </c>
      <c r="N104" s="309" t="str">
        <f t="shared" si="19"/>
        <v/>
      </c>
      <c r="O104" s="752" t="str">
        <f t="array" ref="O104">IF(N104="","",MAX(IF(A:A=N104,K:K)))</f>
        <v/>
      </c>
    </row>
    <row r="105" spans="1:15" x14ac:dyDescent="0.75">
      <c r="A105" s="309">
        <f t="shared" si="15"/>
        <v>14</v>
      </c>
      <c r="B105" s="310">
        <v>98</v>
      </c>
      <c r="C105" s="746">
        <f>IF('User Dashboard'!Z$12=5,
IF('SIR Model Patient Calcs'!B105&lt;'User Dashboard'!AJ$15,'User Dashboard'!AN$14,
IF('SIR Model Patient Calcs'!B105&lt;'User Dashboard'!AJ$16,'User Dashboard'!AN$15,
IF('SIR Model Patient Calcs'!B105&lt;'User Dashboard'!AJ$17,'User Dashboard'!AN$16,
IF('SIR Model Patient Calcs'!B105&lt;'User Dashboard'!AJ$18,'User Dashboard'!AN$17,
'User Dashboard'!AN$18)))),
IF('User Dashboard'!Z$12=4,
IF('SIR Model Patient Calcs'!B105&lt;'User Dashboard'!AJ$15,'User Dashboard'!AN$14,
IF('SIR Model Patient Calcs'!B105&lt;'User Dashboard'!AJ$16,'User Dashboard'!AN$15,
IF('SIR Model Patient Calcs'!B105&lt;'User Dashboard'!AJ$17,'User Dashboard'!AN$16,
'User Dashboard'!AN$17))),
IF('User Dashboard'!Z$12=3,
IF('SIR Model Patient Calcs'!B105&lt;'User Dashboard'!AJ$15,'User Dashboard'!AN$14,
IF('SIR Model Patient Calcs'!B105&lt;'User Dashboard'!AJ$16,'User Dashboard'!AN$15,
'User Dashboard'!AN$16)),
IF('User Dashboard'!Z$12=2,
IF('SIR Model Patient Calcs'!B105&lt;'User Dashboard'!AJ$15,'User Dashboard'!AN$14,
'User Dashboard'!AN$15),
IF('User Dashboard'!Z$12=1,
'User Dashboard'!AN$14)))))</f>
        <v>15.209356603107825</v>
      </c>
      <c r="D105" s="747">
        <f>'User Dashboard'!X$15</f>
        <v>2.2072878851804097E-2</v>
      </c>
      <c r="E105" s="739">
        <f t="shared" si="12"/>
        <v>9.1306104687305725E-8</v>
      </c>
      <c r="F105" s="739">
        <f t="shared" si="20"/>
        <v>9.1306104687305712E-8</v>
      </c>
      <c r="G105" s="749">
        <f>1/'User Dashboard'!X$12</f>
        <v>0.14285714285714285</v>
      </c>
      <c r="H105" s="385">
        <f t="shared" si="13"/>
        <v>776492.50193693186</v>
      </c>
      <c r="I105" s="751">
        <f t="shared" si="16"/>
        <v>537101.71834576095</v>
      </c>
      <c r="J105" s="752">
        <f t="shared" si="14"/>
        <v>2363205.7797173071</v>
      </c>
      <c r="K105" s="385">
        <f t="shared" si="17"/>
        <v>2900307.4980630679</v>
      </c>
      <c r="L105" s="752">
        <f t="shared" si="18"/>
        <v>43128.378382659052</v>
      </c>
      <c r="N105" s="309" t="str">
        <f t="shared" si="19"/>
        <v/>
      </c>
      <c r="O105" s="752" t="str">
        <f t="array" ref="O105">IF(N105="","",MAX(IF(A:A=N105,K:K)))</f>
        <v/>
      </c>
    </row>
    <row r="106" spans="1:15" x14ac:dyDescent="0.75">
      <c r="A106" s="309">
        <f t="shared" si="15"/>
        <v>15</v>
      </c>
      <c r="B106" s="310">
        <v>99</v>
      </c>
      <c r="C106" s="746">
        <f>IF('User Dashboard'!Z$12=5,
IF('SIR Model Patient Calcs'!B106&lt;'User Dashboard'!AJ$15,'User Dashboard'!AN$14,
IF('SIR Model Patient Calcs'!B106&lt;'User Dashboard'!AJ$16,'User Dashboard'!AN$15,
IF('SIR Model Patient Calcs'!B106&lt;'User Dashboard'!AJ$17,'User Dashboard'!AN$16,
IF('SIR Model Patient Calcs'!B106&lt;'User Dashboard'!AJ$18,'User Dashboard'!AN$17,
'User Dashboard'!AN$18)))),
IF('User Dashboard'!Z$12=4,
IF('SIR Model Patient Calcs'!B106&lt;'User Dashboard'!AJ$15,'User Dashboard'!AN$14,
IF('SIR Model Patient Calcs'!B106&lt;'User Dashboard'!AJ$16,'User Dashboard'!AN$15,
IF('SIR Model Patient Calcs'!B106&lt;'User Dashboard'!AJ$17,'User Dashboard'!AN$16,
'User Dashboard'!AN$17))),
IF('User Dashboard'!Z$12=3,
IF('SIR Model Patient Calcs'!B106&lt;'User Dashboard'!AJ$15,'User Dashboard'!AN$14,
IF('SIR Model Patient Calcs'!B106&lt;'User Dashboard'!AJ$16,'User Dashboard'!AN$15,
'User Dashboard'!AN$16)),
IF('User Dashboard'!Z$12=2,
IF('SIR Model Patient Calcs'!B106&lt;'User Dashboard'!AJ$15,'User Dashboard'!AN$14,
'User Dashboard'!AN$15),
IF('User Dashboard'!Z$12=1,
'User Dashboard'!AN$14)))))</f>
        <v>15.209356603107825</v>
      </c>
      <c r="D106" s="747">
        <f>'User Dashboard'!X$15</f>
        <v>2.2072878851804097E-2</v>
      </c>
      <c r="E106" s="739">
        <f t="shared" si="12"/>
        <v>9.1306104687305725E-8</v>
      </c>
      <c r="F106" s="739">
        <f t="shared" si="20"/>
        <v>9.1306104687305712E-8</v>
      </c>
      <c r="G106" s="749">
        <f>1/'User Dashboard'!X$12</f>
        <v>0.14285714285714285</v>
      </c>
      <c r="H106" s="385">
        <f t="shared" si="13"/>
        <v>738412.79271301918</v>
      </c>
      <c r="I106" s="751">
        <f t="shared" si="16"/>
        <v>498452.61066313629</v>
      </c>
      <c r="J106" s="752">
        <f t="shared" si="14"/>
        <v>2439934.5966238445</v>
      </c>
      <c r="K106" s="385">
        <f t="shared" si="17"/>
        <v>2938387.2072869809</v>
      </c>
      <c r="L106" s="752">
        <f t="shared" si="18"/>
        <v>38079.709223913029</v>
      </c>
      <c r="N106" s="309" t="str">
        <f t="shared" si="19"/>
        <v/>
      </c>
      <c r="O106" s="752" t="str">
        <f t="array" ref="O106">IF(N106="","",MAX(IF(A:A=N106,K:K)))</f>
        <v/>
      </c>
    </row>
    <row r="107" spans="1:15" x14ac:dyDescent="0.75">
      <c r="A107" s="309">
        <f t="shared" si="15"/>
        <v>15</v>
      </c>
      <c r="B107" s="310">
        <v>100</v>
      </c>
      <c r="C107" s="746">
        <f>IF('User Dashboard'!Z$12=5,
IF('SIR Model Patient Calcs'!B107&lt;'User Dashboard'!AJ$15,'User Dashboard'!AN$14,
IF('SIR Model Patient Calcs'!B107&lt;'User Dashboard'!AJ$16,'User Dashboard'!AN$15,
IF('SIR Model Patient Calcs'!B107&lt;'User Dashboard'!AJ$17,'User Dashboard'!AN$16,
IF('SIR Model Patient Calcs'!B107&lt;'User Dashboard'!AJ$18,'User Dashboard'!AN$17,
'User Dashboard'!AN$18)))),
IF('User Dashboard'!Z$12=4,
IF('SIR Model Patient Calcs'!B107&lt;'User Dashboard'!AJ$15,'User Dashboard'!AN$14,
IF('SIR Model Patient Calcs'!B107&lt;'User Dashboard'!AJ$16,'User Dashboard'!AN$15,
IF('SIR Model Patient Calcs'!B107&lt;'User Dashboard'!AJ$17,'User Dashboard'!AN$16,
'User Dashboard'!AN$17))),
IF('User Dashboard'!Z$12=3,
IF('SIR Model Patient Calcs'!B107&lt;'User Dashboard'!AJ$15,'User Dashboard'!AN$14,
IF('SIR Model Patient Calcs'!B107&lt;'User Dashboard'!AJ$16,'User Dashboard'!AN$15,
'User Dashboard'!AN$16)),
IF('User Dashboard'!Z$12=2,
IF('SIR Model Patient Calcs'!B107&lt;'User Dashboard'!AJ$15,'User Dashboard'!AN$14,
'User Dashboard'!AN$15),
IF('User Dashboard'!Z$12=1,
'User Dashboard'!AN$14)))))</f>
        <v>15.209356603107825</v>
      </c>
      <c r="D107" s="747">
        <f>'User Dashboard'!X$15</f>
        <v>2.2072878851804097E-2</v>
      </c>
      <c r="E107" s="739">
        <f t="shared" si="12"/>
        <v>9.1306104687305725E-8</v>
      </c>
      <c r="F107" s="739">
        <f t="shared" si="20"/>
        <v>9.1306104687305712E-8</v>
      </c>
      <c r="G107" s="749">
        <f>1/'User Dashboard'!X$12</f>
        <v>0.14285714285714285</v>
      </c>
      <c r="H107" s="385">
        <f t="shared" si="13"/>
        <v>704806.32229441276</v>
      </c>
      <c r="I107" s="751">
        <f t="shared" si="16"/>
        <v>460851.56527272327</v>
      </c>
      <c r="J107" s="752">
        <f t="shared" si="14"/>
        <v>2511142.112432864</v>
      </c>
      <c r="K107" s="385">
        <f t="shared" si="17"/>
        <v>2971993.6777055874</v>
      </c>
      <c r="L107" s="752">
        <f t="shared" si="18"/>
        <v>33606.470418606419</v>
      </c>
      <c r="N107" s="309" t="str">
        <f t="shared" si="19"/>
        <v/>
      </c>
      <c r="O107" s="752" t="str">
        <f t="array" ref="O107">IF(N107="","",MAX(IF(A:A=N107,K:K)))</f>
        <v/>
      </c>
    </row>
    <row r="108" spans="1:15" x14ac:dyDescent="0.75">
      <c r="A108" s="309">
        <f t="shared" si="15"/>
        <v>15</v>
      </c>
      <c r="B108" s="310">
        <v>101</v>
      </c>
      <c r="C108" s="746">
        <f>IF('User Dashboard'!Z$12=5,
IF('SIR Model Patient Calcs'!B108&lt;'User Dashboard'!AJ$15,'User Dashboard'!AN$14,
IF('SIR Model Patient Calcs'!B108&lt;'User Dashboard'!AJ$16,'User Dashboard'!AN$15,
IF('SIR Model Patient Calcs'!B108&lt;'User Dashboard'!AJ$17,'User Dashboard'!AN$16,
IF('SIR Model Patient Calcs'!B108&lt;'User Dashboard'!AJ$18,'User Dashboard'!AN$17,
'User Dashboard'!AN$18)))),
IF('User Dashboard'!Z$12=4,
IF('SIR Model Patient Calcs'!B108&lt;'User Dashboard'!AJ$15,'User Dashboard'!AN$14,
IF('SIR Model Patient Calcs'!B108&lt;'User Dashboard'!AJ$16,'User Dashboard'!AN$15,
IF('SIR Model Patient Calcs'!B108&lt;'User Dashboard'!AJ$17,'User Dashboard'!AN$16,
'User Dashboard'!AN$17))),
IF('User Dashboard'!Z$12=3,
IF('SIR Model Patient Calcs'!B108&lt;'User Dashboard'!AJ$15,'User Dashboard'!AN$14,
IF('SIR Model Patient Calcs'!B108&lt;'User Dashboard'!AJ$16,'User Dashboard'!AN$15,
'User Dashboard'!AN$16)),
IF('User Dashboard'!Z$12=2,
IF('SIR Model Patient Calcs'!B108&lt;'User Dashboard'!AJ$15,'User Dashboard'!AN$14,
'User Dashboard'!AN$15),
IF('User Dashboard'!Z$12=1,
'User Dashboard'!AN$14)))))</f>
        <v>15.209356603107825</v>
      </c>
      <c r="D108" s="747">
        <f>'User Dashboard'!X$15</f>
        <v>2.2072878851804097E-2</v>
      </c>
      <c r="E108" s="739">
        <f t="shared" si="12"/>
        <v>9.1306104687305725E-8</v>
      </c>
      <c r="F108" s="739">
        <f t="shared" si="20"/>
        <v>9.1306104687305712E-8</v>
      </c>
      <c r="G108" s="749">
        <f>1/'User Dashboard'!X$12</f>
        <v>0.14285714285714285</v>
      </c>
      <c r="H108" s="385">
        <f t="shared" si="13"/>
        <v>675149.0862824223</v>
      </c>
      <c r="I108" s="751">
        <f t="shared" si="16"/>
        <v>424672.86338861036</v>
      </c>
      <c r="J108" s="752">
        <f t="shared" si="14"/>
        <v>2576978.0503289672</v>
      </c>
      <c r="K108" s="385">
        <f t="shared" si="17"/>
        <v>3001650.9137175777</v>
      </c>
      <c r="L108" s="752">
        <f t="shared" si="18"/>
        <v>29657.236011990346</v>
      </c>
      <c r="N108" s="309" t="str">
        <f t="shared" ref="N108:N122" si="21">IF(OR(N107=0,N107=""),"",N107-1)</f>
        <v/>
      </c>
      <c r="O108" s="752" t="str">
        <f t="array" ref="O108">IF(N108="","",MAX(IF(A:A=N108,K:K)))</f>
        <v/>
      </c>
    </row>
    <row r="109" spans="1:15" x14ac:dyDescent="0.75">
      <c r="A109" s="309">
        <f t="shared" si="15"/>
        <v>15</v>
      </c>
      <c r="B109" s="310">
        <v>102</v>
      </c>
      <c r="C109" s="746">
        <f>IF('User Dashboard'!Z$12=5,
IF('SIR Model Patient Calcs'!B109&lt;'User Dashboard'!AJ$15,'User Dashboard'!AN$14,
IF('SIR Model Patient Calcs'!B109&lt;'User Dashboard'!AJ$16,'User Dashboard'!AN$15,
IF('SIR Model Patient Calcs'!B109&lt;'User Dashboard'!AJ$17,'User Dashboard'!AN$16,
IF('SIR Model Patient Calcs'!B109&lt;'User Dashboard'!AJ$18,'User Dashboard'!AN$17,
'User Dashboard'!AN$18)))),
IF('User Dashboard'!Z$12=4,
IF('SIR Model Patient Calcs'!B109&lt;'User Dashboard'!AJ$15,'User Dashboard'!AN$14,
IF('SIR Model Patient Calcs'!B109&lt;'User Dashboard'!AJ$16,'User Dashboard'!AN$15,
IF('SIR Model Patient Calcs'!B109&lt;'User Dashboard'!AJ$17,'User Dashboard'!AN$16,
'User Dashboard'!AN$17))),
IF('User Dashboard'!Z$12=3,
IF('SIR Model Patient Calcs'!B109&lt;'User Dashboard'!AJ$15,'User Dashboard'!AN$14,
IF('SIR Model Patient Calcs'!B109&lt;'User Dashboard'!AJ$16,'User Dashboard'!AN$15,
'User Dashboard'!AN$16)),
IF('User Dashboard'!Z$12=2,
IF('SIR Model Patient Calcs'!B109&lt;'User Dashboard'!AJ$15,'User Dashboard'!AN$14,
'User Dashboard'!AN$15),
IF('User Dashboard'!Z$12=1,
'User Dashboard'!AN$14)))))</f>
        <v>15.209356603107825</v>
      </c>
      <c r="D109" s="747">
        <f>'User Dashboard'!X$15</f>
        <v>2.2072878851804097E-2</v>
      </c>
      <c r="E109" s="739">
        <f t="shared" si="12"/>
        <v>9.1306104687305725E-8</v>
      </c>
      <c r="F109" s="739">
        <f t="shared" si="20"/>
        <v>9.1306104687305712E-8</v>
      </c>
      <c r="G109" s="749">
        <f>1/'User Dashboard'!X$12</f>
        <v>0.14285714285714285</v>
      </c>
      <c r="H109" s="385">
        <f t="shared" si="13"/>
        <v>648970.02860565612</v>
      </c>
      <c r="I109" s="751">
        <f t="shared" si="16"/>
        <v>390184.36915271787</v>
      </c>
      <c r="J109" s="752">
        <f t="shared" si="14"/>
        <v>2637645.602241626</v>
      </c>
      <c r="K109" s="385">
        <f t="shared" si="17"/>
        <v>3027829.9713943438</v>
      </c>
      <c r="L109" s="752">
        <f t="shared" si="18"/>
        <v>26179.057676766068</v>
      </c>
      <c r="N109" s="309" t="str">
        <f t="shared" si="21"/>
        <v/>
      </c>
      <c r="O109" s="752" t="str">
        <f t="array" ref="O109">IF(N109="","",MAX(IF(A:A=N109,K:K)))</f>
        <v/>
      </c>
    </row>
    <row r="110" spans="1:15" x14ac:dyDescent="0.75">
      <c r="A110" s="309">
        <f t="shared" si="15"/>
        <v>15</v>
      </c>
      <c r="B110" s="310">
        <v>103</v>
      </c>
      <c r="C110" s="746">
        <f>IF('User Dashboard'!Z$12=5,
IF('SIR Model Patient Calcs'!B110&lt;'User Dashboard'!AJ$15,'User Dashboard'!AN$14,
IF('SIR Model Patient Calcs'!B110&lt;'User Dashboard'!AJ$16,'User Dashboard'!AN$15,
IF('SIR Model Patient Calcs'!B110&lt;'User Dashboard'!AJ$17,'User Dashboard'!AN$16,
IF('SIR Model Patient Calcs'!B110&lt;'User Dashboard'!AJ$18,'User Dashboard'!AN$17,
'User Dashboard'!AN$18)))),
IF('User Dashboard'!Z$12=4,
IF('SIR Model Patient Calcs'!B110&lt;'User Dashboard'!AJ$15,'User Dashboard'!AN$14,
IF('SIR Model Patient Calcs'!B110&lt;'User Dashboard'!AJ$16,'User Dashboard'!AN$15,
IF('SIR Model Patient Calcs'!B110&lt;'User Dashboard'!AJ$17,'User Dashboard'!AN$16,
'User Dashboard'!AN$17))),
IF('User Dashboard'!Z$12=3,
IF('SIR Model Patient Calcs'!B110&lt;'User Dashboard'!AJ$15,'User Dashboard'!AN$14,
IF('SIR Model Patient Calcs'!B110&lt;'User Dashboard'!AJ$16,'User Dashboard'!AN$15,
'User Dashboard'!AN$16)),
IF('User Dashboard'!Z$12=2,
IF('SIR Model Patient Calcs'!B110&lt;'User Dashboard'!AJ$15,'User Dashboard'!AN$14,
'User Dashboard'!AN$15),
IF('User Dashboard'!Z$12=1,
'User Dashboard'!AN$14)))))</f>
        <v>15.209356603107825</v>
      </c>
      <c r="D110" s="747">
        <f>'User Dashboard'!X$15</f>
        <v>2.2072878851804097E-2</v>
      </c>
      <c r="E110" s="739">
        <f t="shared" si="12"/>
        <v>9.1306104687305725E-8</v>
      </c>
      <c r="F110" s="739">
        <f t="shared" si="20"/>
        <v>9.1306104687305712E-8</v>
      </c>
      <c r="G110" s="749">
        <f>1/'User Dashboard'!X$12</f>
        <v>0.14285714285714285</v>
      </c>
      <c r="H110" s="385">
        <f t="shared" si="13"/>
        <v>625849.6829306623</v>
      </c>
      <c r="I110" s="751">
        <f t="shared" si="16"/>
        <v>357564.09066303767</v>
      </c>
      <c r="J110" s="752">
        <f t="shared" si="14"/>
        <v>2693386.2264063</v>
      </c>
      <c r="K110" s="385">
        <f t="shared" si="17"/>
        <v>3050950.3170693377</v>
      </c>
      <c r="L110" s="752">
        <f t="shared" si="18"/>
        <v>23120.345674993936</v>
      </c>
      <c r="N110" s="309" t="str">
        <f t="shared" si="21"/>
        <v/>
      </c>
      <c r="O110" s="752" t="str">
        <f t="array" ref="O110">IF(N110="","",MAX(IF(A:A=N110,K:K)))</f>
        <v/>
      </c>
    </row>
    <row r="111" spans="1:15" x14ac:dyDescent="0.75">
      <c r="A111" s="309">
        <f t="shared" si="15"/>
        <v>15</v>
      </c>
      <c r="B111" s="310">
        <v>104</v>
      </c>
      <c r="C111" s="746">
        <f>IF('User Dashboard'!Z$12=5,
IF('SIR Model Patient Calcs'!B111&lt;'User Dashboard'!AJ$15,'User Dashboard'!AN$14,
IF('SIR Model Patient Calcs'!B111&lt;'User Dashboard'!AJ$16,'User Dashboard'!AN$15,
IF('SIR Model Patient Calcs'!B111&lt;'User Dashboard'!AJ$17,'User Dashboard'!AN$16,
IF('SIR Model Patient Calcs'!B111&lt;'User Dashboard'!AJ$18,'User Dashboard'!AN$17,
'User Dashboard'!AN$18)))),
IF('User Dashboard'!Z$12=4,
IF('SIR Model Patient Calcs'!B111&lt;'User Dashboard'!AJ$15,'User Dashboard'!AN$14,
IF('SIR Model Patient Calcs'!B111&lt;'User Dashboard'!AJ$16,'User Dashboard'!AN$15,
IF('SIR Model Patient Calcs'!B111&lt;'User Dashboard'!AJ$17,'User Dashboard'!AN$16,
'User Dashboard'!AN$17))),
IF('User Dashboard'!Z$12=3,
IF('SIR Model Patient Calcs'!B111&lt;'User Dashboard'!AJ$15,'User Dashboard'!AN$14,
IF('SIR Model Patient Calcs'!B111&lt;'User Dashboard'!AJ$16,'User Dashboard'!AN$15,
'User Dashboard'!AN$16)),
IF('User Dashboard'!Z$12=2,
IF('SIR Model Patient Calcs'!B111&lt;'User Dashboard'!AJ$15,'User Dashboard'!AN$14,
'User Dashboard'!AN$15),
IF('User Dashboard'!Z$12=1,
'User Dashboard'!AN$14)))))</f>
        <v>15.209356603107825</v>
      </c>
      <c r="D111" s="747">
        <f>'User Dashboard'!X$15</f>
        <v>2.2072878851804097E-2</v>
      </c>
      <c r="E111" s="739">
        <f t="shared" si="12"/>
        <v>9.1306104687305725E-8</v>
      </c>
      <c r="F111" s="739">
        <f t="shared" si="20"/>
        <v>9.1306104687305725E-8</v>
      </c>
      <c r="G111" s="749">
        <f>1/'User Dashboard'!X$12</f>
        <v>0.14285714285714285</v>
      </c>
      <c r="H111" s="385">
        <f t="shared" si="13"/>
        <v>605417.07748156041</v>
      </c>
      <c r="I111" s="751">
        <f t="shared" si="16"/>
        <v>326916.11173170555</v>
      </c>
      <c r="J111" s="752">
        <f t="shared" si="14"/>
        <v>2744466.8107867339</v>
      </c>
      <c r="K111" s="385">
        <f t="shared" si="17"/>
        <v>3071382.9225184396</v>
      </c>
      <c r="L111" s="752">
        <f t="shared" si="18"/>
        <v>20432.605449101888</v>
      </c>
      <c r="N111" s="309" t="str">
        <f t="shared" si="21"/>
        <v/>
      </c>
      <c r="O111" s="752" t="str">
        <f t="array" ref="O111">IF(N111="","",MAX(IF(A:A=N111,K:K)))</f>
        <v/>
      </c>
    </row>
    <row r="112" spans="1:15" x14ac:dyDescent="0.75">
      <c r="A112" s="309">
        <f t="shared" si="15"/>
        <v>15</v>
      </c>
      <c r="B112" s="310">
        <v>105</v>
      </c>
      <c r="C112" s="746">
        <f>IF('User Dashboard'!Z$12=5,
IF('SIR Model Patient Calcs'!B112&lt;'User Dashboard'!AJ$15,'User Dashboard'!AN$14,
IF('SIR Model Patient Calcs'!B112&lt;'User Dashboard'!AJ$16,'User Dashboard'!AN$15,
IF('SIR Model Patient Calcs'!B112&lt;'User Dashboard'!AJ$17,'User Dashboard'!AN$16,
IF('SIR Model Patient Calcs'!B112&lt;'User Dashboard'!AJ$18,'User Dashboard'!AN$17,
'User Dashboard'!AN$18)))),
IF('User Dashboard'!Z$12=4,
IF('SIR Model Patient Calcs'!B112&lt;'User Dashboard'!AJ$15,'User Dashboard'!AN$14,
IF('SIR Model Patient Calcs'!B112&lt;'User Dashboard'!AJ$16,'User Dashboard'!AN$15,
IF('SIR Model Patient Calcs'!B112&lt;'User Dashboard'!AJ$17,'User Dashboard'!AN$16,
'User Dashboard'!AN$17))),
IF('User Dashboard'!Z$12=3,
IF('SIR Model Patient Calcs'!B112&lt;'User Dashboard'!AJ$15,'User Dashboard'!AN$14,
IF('SIR Model Patient Calcs'!B112&lt;'User Dashboard'!AJ$16,'User Dashboard'!AN$15,
'User Dashboard'!AN$16)),
IF('User Dashboard'!Z$12=2,
IF('SIR Model Patient Calcs'!B112&lt;'User Dashboard'!AJ$15,'User Dashboard'!AN$14,
'User Dashboard'!AN$15),
IF('User Dashboard'!Z$12=1,
'User Dashboard'!AN$14)))))</f>
        <v>15.209356603107825</v>
      </c>
      <c r="D112" s="747">
        <f>'User Dashboard'!X$15</f>
        <v>2.2072878851804097E-2</v>
      </c>
      <c r="E112" s="739">
        <f t="shared" si="12"/>
        <v>9.1306104687305725E-8</v>
      </c>
      <c r="F112" s="739">
        <f t="shared" si="20"/>
        <v>9.1306104687305725E-8</v>
      </c>
      <c r="G112" s="749">
        <f>1/'User Dashboard'!X$12</f>
        <v>0.14285714285714285</v>
      </c>
      <c r="H112" s="385">
        <f t="shared" si="13"/>
        <v>587345.71873701259</v>
      </c>
      <c r="I112" s="751">
        <f t="shared" si="16"/>
        <v>298285.16880029545</v>
      </c>
      <c r="J112" s="752">
        <f t="shared" si="14"/>
        <v>2791169.112462692</v>
      </c>
      <c r="K112" s="385">
        <f t="shared" si="17"/>
        <v>3089454.2812629873</v>
      </c>
      <c r="L112" s="752">
        <f t="shared" si="18"/>
        <v>18071.358744547702</v>
      </c>
      <c r="N112" s="309" t="str">
        <f t="shared" si="21"/>
        <v/>
      </c>
      <c r="O112" s="752" t="str">
        <f t="array" ref="O112">IF(N112="","",MAX(IF(A:A=N112,K:K)))</f>
        <v/>
      </c>
    </row>
    <row r="113" spans="1:15" x14ac:dyDescent="0.75">
      <c r="A113" s="309">
        <f t="shared" si="15"/>
        <v>16</v>
      </c>
      <c r="B113" s="310">
        <v>106</v>
      </c>
      <c r="C113" s="746">
        <f>IF('User Dashboard'!Z$12=5,
IF('SIR Model Patient Calcs'!B113&lt;'User Dashboard'!AJ$15,'User Dashboard'!AN$14,
IF('SIR Model Patient Calcs'!B113&lt;'User Dashboard'!AJ$16,'User Dashboard'!AN$15,
IF('SIR Model Patient Calcs'!B113&lt;'User Dashboard'!AJ$17,'User Dashboard'!AN$16,
IF('SIR Model Patient Calcs'!B113&lt;'User Dashboard'!AJ$18,'User Dashboard'!AN$17,
'User Dashboard'!AN$18)))),
IF('User Dashboard'!Z$12=4,
IF('SIR Model Patient Calcs'!B113&lt;'User Dashboard'!AJ$15,'User Dashboard'!AN$14,
IF('SIR Model Patient Calcs'!B113&lt;'User Dashboard'!AJ$16,'User Dashboard'!AN$15,
IF('SIR Model Patient Calcs'!B113&lt;'User Dashboard'!AJ$17,'User Dashboard'!AN$16,
'User Dashboard'!AN$17))),
IF('User Dashboard'!Z$12=3,
IF('SIR Model Patient Calcs'!B113&lt;'User Dashboard'!AJ$15,'User Dashboard'!AN$14,
IF('SIR Model Patient Calcs'!B113&lt;'User Dashboard'!AJ$16,'User Dashboard'!AN$15,
'User Dashboard'!AN$16)),
IF('User Dashboard'!Z$12=2,
IF('SIR Model Patient Calcs'!B113&lt;'User Dashboard'!AJ$15,'User Dashboard'!AN$14,
'User Dashboard'!AN$15),
IF('User Dashboard'!Z$12=1,
'User Dashboard'!AN$14)))))</f>
        <v>15.209356603107825</v>
      </c>
      <c r="D113" s="747">
        <f>'User Dashboard'!X$15</f>
        <v>2.2072878851804097E-2</v>
      </c>
      <c r="E113" s="739">
        <f t="shared" si="12"/>
        <v>9.1306104687305725E-8</v>
      </c>
      <c r="F113" s="739">
        <f t="shared" si="20"/>
        <v>9.1306104687305725E-8</v>
      </c>
      <c r="G113" s="749">
        <f>1/'User Dashboard'!X$12</f>
        <v>0.14285714285714285</v>
      </c>
      <c r="H113" s="385">
        <f t="shared" si="13"/>
        <v>571349.20722796116</v>
      </c>
      <c r="I113" s="751">
        <f t="shared" si="16"/>
        <v>271669.51333787607</v>
      </c>
      <c r="J113" s="752">
        <f t="shared" si="14"/>
        <v>2833781.2794341627</v>
      </c>
      <c r="K113" s="385">
        <f t="shared" si="17"/>
        <v>3105450.7927720388</v>
      </c>
      <c r="L113" s="752">
        <f t="shared" si="18"/>
        <v>15996.511509051546</v>
      </c>
      <c r="N113" s="309" t="str">
        <f t="shared" si="21"/>
        <v/>
      </c>
      <c r="O113" s="752" t="str">
        <f t="array" ref="O113">IF(N113="","",MAX(IF(A:A=N113,K:K)))</f>
        <v/>
      </c>
    </row>
    <row r="114" spans="1:15" x14ac:dyDescent="0.75">
      <c r="A114" s="309">
        <f t="shared" si="15"/>
        <v>16</v>
      </c>
      <c r="B114" s="310">
        <v>107</v>
      </c>
      <c r="C114" s="746">
        <f>IF('User Dashboard'!Z$12=5,
IF('SIR Model Patient Calcs'!B114&lt;'User Dashboard'!AJ$15,'User Dashboard'!AN$14,
IF('SIR Model Patient Calcs'!B114&lt;'User Dashboard'!AJ$16,'User Dashboard'!AN$15,
IF('SIR Model Patient Calcs'!B114&lt;'User Dashboard'!AJ$17,'User Dashboard'!AN$16,
IF('SIR Model Patient Calcs'!B114&lt;'User Dashboard'!AJ$18,'User Dashboard'!AN$17,
'User Dashboard'!AN$18)))),
IF('User Dashboard'!Z$12=4,
IF('SIR Model Patient Calcs'!B114&lt;'User Dashboard'!AJ$15,'User Dashboard'!AN$14,
IF('SIR Model Patient Calcs'!B114&lt;'User Dashboard'!AJ$16,'User Dashboard'!AN$15,
IF('SIR Model Patient Calcs'!B114&lt;'User Dashboard'!AJ$17,'User Dashboard'!AN$16,
'User Dashboard'!AN$17))),
IF('User Dashboard'!Z$12=3,
IF('SIR Model Patient Calcs'!B114&lt;'User Dashboard'!AJ$15,'User Dashboard'!AN$14,
IF('SIR Model Patient Calcs'!B114&lt;'User Dashboard'!AJ$16,'User Dashboard'!AN$15,
'User Dashboard'!AN$16)),
IF('User Dashboard'!Z$12=2,
IF('SIR Model Patient Calcs'!B114&lt;'User Dashboard'!AJ$15,'User Dashboard'!AN$14,
'User Dashboard'!AN$15),
IF('User Dashboard'!Z$12=1,
'User Dashboard'!AN$14)))))</f>
        <v>15.209356603107825</v>
      </c>
      <c r="D114" s="747">
        <f>'User Dashboard'!X$15</f>
        <v>2.2072878851804097E-2</v>
      </c>
      <c r="E114" s="739">
        <f t="shared" si="12"/>
        <v>9.1306104687305725E-8</v>
      </c>
      <c r="F114" s="739">
        <f t="shared" si="20"/>
        <v>9.1306104687305725E-8</v>
      </c>
      <c r="G114" s="749">
        <f>1/'User Dashboard'!X$12</f>
        <v>0.14285714285714285</v>
      </c>
      <c r="H114" s="385">
        <f t="shared" si="13"/>
        <v>557176.84156360384</v>
      </c>
      <c r="I114" s="751">
        <f t="shared" si="16"/>
        <v>247031.94852539396</v>
      </c>
      <c r="J114" s="752">
        <f t="shared" si="14"/>
        <v>2872591.2099110023</v>
      </c>
      <c r="K114" s="385">
        <f t="shared" si="17"/>
        <v>3119623.1584363962</v>
      </c>
      <c r="L114" s="752">
        <f t="shared" si="18"/>
        <v>14172.365664357319</v>
      </c>
      <c r="N114" s="309" t="str">
        <f t="shared" si="21"/>
        <v/>
      </c>
      <c r="O114" s="752" t="str">
        <f t="array" ref="O114">IF(N114="","",MAX(IF(A:A=N114,K:K)))</f>
        <v/>
      </c>
    </row>
    <row r="115" spans="1:15" x14ac:dyDescent="0.75">
      <c r="A115" s="309">
        <f t="shared" si="15"/>
        <v>16</v>
      </c>
      <c r="B115" s="310">
        <v>108</v>
      </c>
      <c r="C115" s="746">
        <f>IF('User Dashboard'!Z$12=5,
IF('SIR Model Patient Calcs'!B115&lt;'User Dashboard'!AJ$15,'User Dashboard'!AN$14,
IF('SIR Model Patient Calcs'!B115&lt;'User Dashboard'!AJ$16,'User Dashboard'!AN$15,
IF('SIR Model Patient Calcs'!B115&lt;'User Dashboard'!AJ$17,'User Dashboard'!AN$16,
IF('SIR Model Patient Calcs'!B115&lt;'User Dashboard'!AJ$18,'User Dashboard'!AN$17,
'User Dashboard'!AN$18)))),
IF('User Dashboard'!Z$12=4,
IF('SIR Model Patient Calcs'!B115&lt;'User Dashboard'!AJ$15,'User Dashboard'!AN$14,
IF('SIR Model Patient Calcs'!B115&lt;'User Dashboard'!AJ$16,'User Dashboard'!AN$15,
IF('SIR Model Patient Calcs'!B115&lt;'User Dashboard'!AJ$17,'User Dashboard'!AN$16,
'User Dashboard'!AN$17))),
IF('User Dashboard'!Z$12=3,
IF('SIR Model Patient Calcs'!B115&lt;'User Dashboard'!AJ$15,'User Dashboard'!AN$14,
IF('SIR Model Patient Calcs'!B115&lt;'User Dashboard'!AJ$16,'User Dashboard'!AN$15,
'User Dashboard'!AN$16)),
IF('User Dashboard'!Z$12=2,
IF('SIR Model Patient Calcs'!B115&lt;'User Dashboard'!AJ$15,'User Dashboard'!AN$14,
'User Dashboard'!AN$15),
IF('User Dashboard'!Z$12=1,
'User Dashboard'!AN$14)))))</f>
        <v>15.209356603107825</v>
      </c>
      <c r="D115" s="747">
        <f>'User Dashboard'!X$15</f>
        <v>2.2072878851804097E-2</v>
      </c>
      <c r="E115" s="739">
        <f t="shared" si="12"/>
        <v>9.1306104687305725E-8</v>
      </c>
      <c r="F115" s="739">
        <f t="shared" si="20"/>
        <v>9.1306104687305725E-8</v>
      </c>
      <c r="G115" s="749">
        <f>1/'User Dashboard'!X$12</f>
        <v>0.14285714285714285</v>
      </c>
      <c r="H115" s="385">
        <f t="shared" si="13"/>
        <v>544609.42541038827</v>
      </c>
      <c r="I115" s="751">
        <f t="shared" si="16"/>
        <v>224309.08631783901</v>
      </c>
      <c r="J115" s="752">
        <f t="shared" si="14"/>
        <v>2907881.4882717729</v>
      </c>
      <c r="K115" s="385">
        <f t="shared" si="17"/>
        <v>3132190.574589612</v>
      </c>
      <c r="L115" s="752">
        <f t="shared" si="18"/>
        <v>12567.416153215803</v>
      </c>
      <c r="N115" s="309" t="str">
        <f t="shared" si="21"/>
        <v/>
      </c>
      <c r="O115" s="752" t="str">
        <f t="array" ref="O115">IF(N115="","",MAX(IF(A:A=N115,K:K)))</f>
        <v/>
      </c>
    </row>
    <row r="116" spans="1:15" x14ac:dyDescent="0.75">
      <c r="A116" s="309">
        <f t="shared" si="15"/>
        <v>16</v>
      </c>
      <c r="B116" s="310">
        <v>109</v>
      </c>
      <c r="C116" s="746">
        <f>IF('User Dashboard'!Z$12=5,
IF('SIR Model Patient Calcs'!B116&lt;'User Dashboard'!AJ$15,'User Dashboard'!AN$14,
IF('SIR Model Patient Calcs'!B116&lt;'User Dashboard'!AJ$16,'User Dashboard'!AN$15,
IF('SIR Model Patient Calcs'!B116&lt;'User Dashboard'!AJ$17,'User Dashboard'!AN$16,
IF('SIR Model Patient Calcs'!B116&lt;'User Dashboard'!AJ$18,'User Dashboard'!AN$17,
'User Dashboard'!AN$18)))),
IF('User Dashboard'!Z$12=4,
IF('SIR Model Patient Calcs'!B116&lt;'User Dashboard'!AJ$15,'User Dashboard'!AN$14,
IF('SIR Model Patient Calcs'!B116&lt;'User Dashboard'!AJ$16,'User Dashboard'!AN$15,
IF('SIR Model Patient Calcs'!B116&lt;'User Dashboard'!AJ$17,'User Dashboard'!AN$16,
'User Dashboard'!AN$17))),
IF('User Dashboard'!Z$12=3,
IF('SIR Model Patient Calcs'!B116&lt;'User Dashboard'!AJ$15,'User Dashboard'!AN$14,
IF('SIR Model Patient Calcs'!B116&lt;'User Dashboard'!AJ$16,'User Dashboard'!AN$15,
'User Dashboard'!AN$16)),
IF('User Dashboard'!Z$12=2,
IF('SIR Model Patient Calcs'!B116&lt;'User Dashboard'!AJ$15,'User Dashboard'!AN$14,
'User Dashboard'!AN$15),
IF('User Dashboard'!Z$12=1,
'User Dashboard'!AN$14)))))</f>
        <v>15.209356603107825</v>
      </c>
      <c r="D116" s="747">
        <f>'User Dashboard'!X$15</f>
        <v>2.2072878851804097E-2</v>
      </c>
      <c r="E116" s="739">
        <f t="shared" si="12"/>
        <v>9.1306104687305712E-8</v>
      </c>
      <c r="F116" s="739">
        <f t="shared" si="20"/>
        <v>9.1306104687305725E-8</v>
      </c>
      <c r="G116" s="749">
        <f>1/'User Dashboard'!X$12</f>
        <v>0.14285714285714285</v>
      </c>
      <c r="H116" s="385">
        <f t="shared" si="13"/>
        <v>533455.39472599514</v>
      </c>
      <c r="I116" s="751">
        <f t="shared" si="16"/>
        <v>203418.96181396939</v>
      </c>
      <c r="J116" s="752">
        <f t="shared" si="14"/>
        <v>2939925.6434600358</v>
      </c>
      <c r="K116" s="385">
        <f t="shared" si="17"/>
        <v>3143344.6052740053</v>
      </c>
      <c r="L116" s="752">
        <f t="shared" si="18"/>
        <v>11154.030684393365</v>
      </c>
      <c r="N116" s="309" t="str">
        <f t="shared" si="21"/>
        <v/>
      </c>
      <c r="O116" s="752" t="str">
        <f t="array" ref="O116">IF(N116="","",MAX(IF(A:A=N116,K:K)))</f>
        <v/>
      </c>
    </row>
    <row r="117" spans="1:15" x14ac:dyDescent="0.75">
      <c r="A117" s="309">
        <f t="shared" si="15"/>
        <v>16</v>
      </c>
      <c r="B117" s="310">
        <v>110</v>
      </c>
      <c r="C117" s="746">
        <f>IF('User Dashboard'!Z$12=5,
IF('SIR Model Patient Calcs'!B117&lt;'User Dashboard'!AJ$15,'User Dashboard'!AN$14,
IF('SIR Model Patient Calcs'!B117&lt;'User Dashboard'!AJ$16,'User Dashboard'!AN$15,
IF('SIR Model Patient Calcs'!B117&lt;'User Dashboard'!AJ$17,'User Dashboard'!AN$16,
IF('SIR Model Patient Calcs'!B117&lt;'User Dashboard'!AJ$18,'User Dashboard'!AN$17,
'User Dashboard'!AN$18)))),
IF('User Dashboard'!Z$12=4,
IF('SIR Model Patient Calcs'!B117&lt;'User Dashboard'!AJ$15,'User Dashboard'!AN$14,
IF('SIR Model Patient Calcs'!B117&lt;'User Dashboard'!AJ$16,'User Dashboard'!AN$15,
IF('SIR Model Patient Calcs'!B117&lt;'User Dashboard'!AJ$17,'User Dashboard'!AN$16,
'User Dashboard'!AN$17))),
IF('User Dashboard'!Z$12=3,
IF('SIR Model Patient Calcs'!B117&lt;'User Dashboard'!AJ$15,'User Dashboard'!AN$14,
IF('SIR Model Patient Calcs'!B117&lt;'User Dashboard'!AJ$16,'User Dashboard'!AN$15,
'User Dashboard'!AN$16)),
IF('User Dashboard'!Z$12=2,
IF('SIR Model Patient Calcs'!B117&lt;'User Dashboard'!AJ$15,'User Dashboard'!AN$14,
'User Dashboard'!AN$15),
IF('User Dashboard'!Z$12=1,
'User Dashboard'!AN$14)))))</f>
        <v>15.209356603107825</v>
      </c>
      <c r="D117" s="747">
        <f>'User Dashboard'!X$15</f>
        <v>2.2072878851804097E-2</v>
      </c>
      <c r="E117" s="739">
        <f t="shared" si="12"/>
        <v>9.1306104687305725E-8</v>
      </c>
      <c r="F117" s="739">
        <f t="shared" si="20"/>
        <v>9.1306104687305725E-8</v>
      </c>
      <c r="G117" s="749">
        <f>1/'User Dashboard'!X$12</f>
        <v>0.14285714285714285</v>
      </c>
      <c r="H117" s="385">
        <f t="shared" si="13"/>
        <v>523547.31801963266</v>
      </c>
      <c r="I117" s="751">
        <f t="shared" si="16"/>
        <v>184267.18683262193</v>
      </c>
      <c r="J117" s="752">
        <f t="shared" si="14"/>
        <v>2968985.4951477456</v>
      </c>
      <c r="K117" s="385">
        <f t="shared" si="17"/>
        <v>3153252.6819803677</v>
      </c>
      <c r="L117" s="752">
        <f t="shared" si="18"/>
        <v>9908.0767063624226</v>
      </c>
      <c r="N117" s="309" t="str">
        <f t="shared" si="21"/>
        <v/>
      </c>
      <c r="O117" s="752" t="str">
        <f t="array" ref="O117">IF(N117="","",MAX(IF(A:A=N117,K:K)))</f>
        <v/>
      </c>
    </row>
    <row r="118" spans="1:15" x14ac:dyDescent="0.75">
      <c r="A118" s="309">
        <f t="shared" si="15"/>
        <v>16</v>
      </c>
      <c r="B118" s="310">
        <v>111</v>
      </c>
      <c r="C118" s="746">
        <f>IF('User Dashboard'!Z$12=5,
IF('SIR Model Patient Calcs'!B118&lt;'User Dashboard'!AJ$15,'User Dashboard'!AN$14,
IF('SIR Model Patient Calcs'!B118&lt;'User Dashboard'!AJ$16,'User Dashboard'!AN$15,
IF('SIR Model Patient Calcs'!B118&lt;'User Dashboard'!AJ$17,'User Dashboard'!AN$16,
IF('SIR Model Patient Calcs'!B118&lt;'User Dashboard'!AJ$18,'User Dashboard'!AN$17,
'User Dashboard'!AN$18)))),
IF('User Dashboard'!Z$12=4,
IF('SIR Model Patient Calcs'!B118&lt;'User Dashboard'!AJ$15,'User Dashboard'!AN$14,
IF('SIR Model Patient Calcs'!B118&lt;'User Dashboard'!AJ$16,'User Dashboard'!AN$15,
IF('SIR Model Patient Calcs'!B118&lt;'User Dashboard'!AJ$17,'User Dashboard'!AN$16,
'User Dashboard'!AN$17))),
IF('User Dashboard'!Z$12=3,
IF('SIR Model Patient Calcs'!B118&lt;'User Dashboard'!AJ$15,'User Dashboard'!AN$14,
IF('SIR Model Patient Calcs'!B118&lt;'User Dashboard'!AJ$16,'User Dashboard'!AN$15,
'User Dashboard'!AN$16)),
IF('User Dashboard'!Z$12=2,
IF('SIR Model Patient Calcs'!B118&lt;'User Dashboard'!AJ$15,'User Dashboard'!AN$14,
'User Dashboard'!AN$15),
IF('User Dashboard'!Z$12=1,
'User Dashboard'!AN$14)))))</f>
        <v>15.209356603107825</v>
      </c>
      <c r="D118" s="747">
        <f>'User Dashboard'!X$15</f>
        <v>2.2072878851804097E-2</v>
      </c>
      <c r="E118" s="739">
        <f t="shared" si="12"/>
        <v>9.1306104687305712E-8</v>
      </c>
      <c r="F118" s="739">
        <f t="shared" si="20"/>
        <v>9.1306104687305725E-8</v>
      </c>
      <c r="G118" s="749">
        <f>1/'User Dashboard'!X$12</f>
        <v>0.14285714285714285</v>
      </c>
      <c r="H118" s="385">
        <f t="shared" si="13"/>
        <v>514738.78148385161</v>
      </c>
      <c r="I118" s="751">
        <f t="shared" si="16"/>
        <v>166751.83953517128</v>
      </c>
      <c r="J118" s="752">
        <f t="shared" si="14"/>
        <v>2995309.3789809775</v>
      </c>
      <c r="K118" s="385">
        <f t="shared" si="17"/>
        <v>3162061.2185161486</v>
      </c>
      <c r="L118" s="752">
        <f t="shared" si="18"/>
        <v>8808.5365357808769</v>
      </c>
      <c r="N118" s="309" t="str">
        <f t="shared" si="21"/>
        <v/>
      </c>
      <c r="O118" s="752" t="str">
        <f t="array" ref="O118">IF(N118="","",MAX(IF(A:A=N118,K:K)))</f>
        <v/>
      </c>
    </row>
    <row r="119" spans="1:15" x14ac:dyDescent="0.75">
      <c r="A119" s="309">
        <f t="shared" si="15"/>
        <v>16</v>
      </c>
      <c r="B119" s="310">
        <v>112</v>
      </c>
      <c r="C119" s="746">
        <f>IF('User Dashboard'!Z$12=5,
IF('SIR Model Patient Calcs'!B119&lt;'User Dashboard'!AJ$15,'User Dashboard'!AN$14,
IF('SIR Model Patient Calcs'!B119&lt;'User Dashboard'!AJ$16,'User Dashboard'!AN$15,
IF('SIR Model Patient Calcs'!B119&lt;'User Dashboard'!AJ$17,'User Dashboard'!AN$16,
IF('SIR Model Patient Calcs'!B119&lt;'User Dashboard'!AJ$18,'User Dashboard'!AN$17,
'User Dashboard'!AN$18)))),
IF('User Dashboard'!Z$12=4,
IF('SIR Model Patient Calcs'!B119&lt;'User Dashboard'!AJ$15,'User Dashboard'!AN$14,
IF('SIR Model Patient Calcs'!B119&lt;'User Dashboard'!AJ$16,'User Dashboard'!AN$15,
IF('SIR Model Patient Calcs'!B119&lt;'User Dashboard'!AJ$17,'User Dashboard'!AN$16,
'User Dashboard'!AN$17))),
IF('User Dashboard'!Z$12=3,
IF('SIR Model Patient Calcs'!B119&lt;'User Dashboard'!AJ$15,'User Dashboard'!AN$14,
IF('SIR Model Patient Calcs'!B119&lt;'User Dashboard'!AJ$16,'User Dashboard'!AN$15,
'User Dashboard'!AN$16)),
IF('User Dashboard'!Z$12=2,
IF('SIR Model Patient Calcs'!B119&lt;'User Dashboard'!AJ$15,'User Dashboard'!AN$14,
'User Dashboard'!AN$15),
IF('User Dashboard'!Z$12=1,
'User Dashboard'!AN$14)))))</f>
        <v>15.209356603107825</v>
      </c>
      <c r="D119" s="747">
        <f>'User Dashboard'!X$15</f>
        <v>2.2072878851804097E-2</v>
      </c>
      <c r="E119" s="739">
        <f t="shared" si="12"/>
        <v>9.1306104687305725E-8</v>
      </c>
      <c r="F119" s="739">
        <f t="shared" si="20"/>
        <v>9.1306104687305725E-8</v>
      </c>
      <c r="G119" s="749">
        <f>1/'User Dashboard'!X$12</f>
        <v>0.14285714285714285</v>
      </c>
      <c r="H119" s="385">
        <f t="shared" si="13"/>
        <v>506901.64628369955</v>
      </c>
      <c r="I119" s="751">
        <f t="shared" si="16"/>
        <v>150767.28337315601</v>
      </c>
      <c r="J119" s="752">
        <f t="shared" si="14"/>
        <v>3019131.0703431447</v>
      </c>
      <c r="K119" s="385">
        <f t="shared" si="17"/>
        <v>3169898.3537163008</v>
      </c>
      <c r="L119" s="752">
        <f t="shared" si="18"/>
        <v>7837.1352001521736</v>
      </c>
      <c r="N119" s="309" t="str">
        <f t="shared" si="21"/>
        <v/>
      </c>
      <c r="O119" s="752" t="str">
        <f t="array" ref="O119">IF(N119="","",MAX(IF(A:A=N119,K:K)))</f>
        <v/>
      </c>
    </row>
    <row r="120" spans="1:15" x14ac:dyDescent="0.75">
      <c r="A120" s="309">
        <f t="shared" si="15"/>
        <v>17</v>
      </c>
      <c r="B120" s="310">
        <v>113</v>
      </c>
      <c r="C120" s="746">
        <f>IF('User Dashboard'!Z$12=5,
IF('SIR Model Patient Calcs'!B120&lt;'User Dashboard'!AJ$15,'User Dashboard'!AN$14,
IF('SIR Model Patient Calcs'!B120&lt;'User Dashboard'!AJ$16,'User Dashboard'!AN$15,
IF('SIR Model Patient Calcs'!B120&lt;'User Dashboard'!AJ$17,'User Dashboard'!AN$16,
IF('SIR Model Patient Calcs'!B120&lt;'User Dashboard'!AJ$18,'User Dashboard'!AN$17,
'User Dashboard'!AN$18)))),
IF('User Dashboard'!Z$12=4,
IF('SIR Model Patient Calcs'!B120&lt;'User Dashboard'!AJ$15,'User Dashboard'!AN$14,
IF('SIR Model Patient Calcs'!B120&lt;'User Dashboard'!AJ$16,'User Dashboard'!AN$15,
IF('SIR Model Patient Calcs'!B120&lt;'User Dashboard'!AJ$17,'User Dashboard'!AN$16,
'User Dashboard'!AN$17))),
IF('User Dashboard'!Z$12=3,
IF('SIR Model Patient Calcs'!B120&lt;'User Dashboard'!AJ$15,'User Dashboard'!AN$14,
IF('SIR Model Patient Calcs'!B120&lt;'User Dashboard'!AJ$16,'User Dashboard'!AN$15,
'User Dashboard'!AN$16)),
IF('User Dashboard'!Z$12=2,
IF('SIR Model Patient Calcs'!B120&lt;'User Dashboard'!AJ$15,'User Dashboard'!AN$14,
'User Dashboard'!AN$15),
IF('User Dashboard'!Z$12=1,
'User Dashboard'!AN$14)))))</f>
        <v>15.209356603107825</v>
      </c>
      <c r="D120" s="747">
        <f>'User Dashboard'!X$15</f>
        <v>2.2072878851804097E-2</v>
      </c>
      <c r="E120" s="739">
        <f t="shared" si="12"/>
        <v>9.1306104687305725E-8</v>
      </c>
      <c r="F120" s="739">
        <f t="shared" si="20"/>
        <v>9.1306104687305712E-8</v>
      </c>
      <c r="G120" s="749">
        <f>1/'User Dashboard'!X$12</f>
        <v>0.14285714285714285</v>
      </c>
      <c r="H120" s="385">
        <f t="shared" si="13"/>
        <v>499923.65172527923</v>
      </c>
      <c r="I120" s="751">
        <f t="shared" si="16"/>
        <v>136207.09459255403</v>
      </c>
      <c r="J120" s="752">
        <f t="shared" si="14"/>
        <v>3040669.2536821668</v>
      </c>
      <c r="K120" s="385">
        <f t="shared" si="17"/>
        <v>3176876.3482747208</v>
      </c>
      <c r="L120" s="752">
        <f t="shared" si="18"/>
        <v>6977.9945584200323</v>
      </c>
      <c r="N120" s="309" t="str">
        <f t="shared" si="21"/>
        <v/>
      </c>
      <c r="O120" s="752" t="str">
        <f t="array" ref="O120">IF(N120="","",MAX(IF(A:A=N120,K:K)))</f>
        <v/>
      </c>
    </row>
    <row r="121" spans="1:15" x14ac:dyDescent="0.75">
      <c r="A121" s="309">
        <f t="shared" si="15"/>
        <v>17</v>
      </c>
      <c r="B121" s="310">
        <v>114</v>
      </c>
      <c r="C121" s="746">
        <f>IF('User Dashboard'!Z$12=5,
IF('SIR Model Patient Calcs'!B121&lt;'User Dashboard'!AJ$15,'User Dashboard'!AN$14,
IF('SIR Model Patient Calcs'!B121&lt;'User Dashboard'!AJ$16,'User Dashboard'!AN$15,
IF('SIR Model Patient Calcs'!B121&lt;'User Dashboard'!AJ$17,'User Dashboard'!AN$16,
IF('SIR Model Patient Calcs'!B121&lt;'User Dashboard'!AJ$18,'User Dashboard'!AN$17,
'User Dashboard'!AN$18)))),
IF('User Dashboard'!Z$12=4,
IF('SIR Model Patient Calcs'!B121&lt;'User Dashboard'!AJ$15,'User Dashboard'!AN$14,
IF('SIR Model Patient Calcs'!B121&lt;'User Dashboard'!AJ$16,'User Dashboard'!AN$15,
IF('SIR Model Patient Calcs'!B121&lt;'User Dashboard'!AJ$17,'User Dashboard'!AN$16,
'User Dashboard'!AN$17))),
IF('User Dashboard'!Z$12=3,
IF('SIR Model Patient Calcs'!B121&lt;'User Dashboard'!AJ$15,'User Dashboard'!AN$14,
IF('SIR Model Patient Calcs'!B121&lt;'User Dashboard'!AJ$16,'User Dashboard'!AN$15,
'User Dashboard'!AN$16)),
IF('User Dashboard'!Z$12=2,
IF('SIR Model Patient Calcs'!B121&lt;'User Dashboard'!AJ$15,'User Dashboard'!AN$14,
'User Dashboard'!AN$15),
IF('User Dashboard'!Z$12=1,
'User Dashboard'!AN$14)))))</f>
        <v>15.209356603107825</v>
      </c>
      <c r="D121" s="747">
        <f>'User Dashboard'!X$15</f>
        <v>2.2072878851804097E-2</v>
      </c>
      <c r="E121" s="739">
        <f t="shared" si="12"/>
        <v>9.1306104687305725E-8</v>
      </c>
      <c r="F121" s="739">
        <f t="shared" si="20"/>
        <v>9.1306104687305725E-8</v>
      </c>
      <c r="G121" s="749">
        <f>1/'User Dashboard'!X$12</f>
        <v>0.14285714285714285</v>
      </c>
      <c r="H121" s="385">
        <f t="shared" si="13"/>
        <v>493706.3316145828</v>
      </c>
      <c r="I121" s="751">
        <f t="shared" si="16"/>
        <v>122966.2583328856</v>
      </c>
      <c r="J121" s="752">
        <f t="shared" si="14"/>
        <v>3060127.4100525319</v>
      </c>
      <c r="K121" s="385">
        <f t="shared" si="17"/>
        <v>3183093.6683854177</v>
      </c>
      <c r="L121" s="752">
        <f t="shared" si="18"/>
        <v>6217.3201106968336</v>
      </c>
      <c r="N121" s="309" t="str">
        <f t="shared" si="21"/>
        <v/>
      </c>
      <c r="O121" s="752" t="str">
        <f t="array" ref="O121">IF(N121="","",MAX(IF(A:A=N121,K:K)))</f>
        <v/>
      </c>
    </row>
    <row r="122" spans="1:15" x14ac:dyDescent="0.75">
      <c r="A122" s="309">
        <f t="shared" si="15"/>
        <v>17</v>
      </c>
      <c r="B122" s="310">
        <v>115</v>
      </c>
      <c r="C122" s="746">
        <f>IF('User Dashboard'!Z$12=5,
IF('SIR Model Patient Calcs'!B122&lt;'User Dashboard'!AJ$15,'User Dashboard'!AN$14,
IF('SIR Model Patient Calcs'!B122&lt;'User Dashboard'!AJ$16,'User Dashboard'!AN$15,
IF('SIR Model Patient Calcs'!B122&lt;'User Dashboard'!AJ$17,'User Dashboard'!AN$16,
IF('SIR Model Patient Calcs'!B122&lt;'User Dashboard'!AJ$18,'User Dashboard'!AN$17,
'User Dashboard'!AN$18)))),
IF('User Dashboard'!Z$12=4,
IF('SIR Model Patient Calcs'!B122&lt;'User Dashboard'!AJ$15,'User Dashboard'!AN$14,
IF('SIR Model Patient Calcs'!B122&lt;'User Dashboard'!AJ$16,'User Dashboard'!AN$15,
IF('SIR Model Patient Calcs'!B122&lt;'User Dashboard'!AJ$17,'User Dashboard'!AN$16,
'User Dashboard'!AN$17))),
IF('User Dashboard'!Z$12=3,
IF('SIR Model Patient Calcs'!B122&lt;'User Dashboard'!AJ$15,'User Dashboard'!AN$14,
IF('SIR Model Patient Calcs'!B122&lt;'User Dashboard'!AJ$16,'User Dashboard'!AN$15,
'User Dashboard'!AN$16)),
IF('User Dashboard'!Z$12=2,
IF('SIR Model Patient Calcs'!B122&lt;'User Dashboard'!AJ$15,'User Dashboard'!AN$14,
'User Dashboard'!AN$15),
IF('User Dashboard'!Z$12=1,
'User Dashboard'!AN$14)))))</f>
        <v>15.209356603107825</v>
      </c>
      <c r="D122" s="747">
        <f>'User Dashboard'!X$15</f>
        <v>2.2072878851804097E-2</v>
      </c>
      <c r="E122" s="739">
        <f t="shared" si="12"/>
        <v>9.1306104687305712E-8</v>
      </c>
      <c r="F122" s="739">
        <f t="shared" si="20"/>
        <v>9.1306104687305712E-8</v>
      </c>
      <c r="G122" s="749">
        <f>1/'User Dashboard'!X$12</f>
        <v>0.14285714285714285</v>
      </c>
      <c r="H122" s="385">
        <f t="shared" si="13"/>
        <v>488163.20918911713</v>
      </c>
      <c r="I122" s="751">
        <f t="shared" si="16"/>
        <v>110942.7724250819</v>
      </c>
      <c r="J122" s="752">
        <f t="shared" si="14"/>
        <v>3077694.0183858015</v>
      </c>
      <c r="K122" s="385">
        <f t="shared" si="17"/>
        <v>3188636.7908108835</v>
      </c>
      <c r="L122" s="752">
        <f t="shared" si="18"/>
        <v>5543.1224254658446</v>
      </c>
      <c r="N122" s="309" t="str">
        <f t="shared" si="21"/>
        <v/>
      </c>
      <c r="O122" s="752" t="str">
        <f t="array" ref="O122">IF(N122="","",MAX(IF(A:A=N122,K:K)))</f>
        <v/>
      </c>
    </row>
    <row r="123" spans="1:15" x14ac:dyDescent="0.75">
      <c r="A123" s="309">
        <f t="shared" si="15"/>
        <v>17</v>
      </c>
      <c r="B123" s="310">
        <v>116</v>
      </c>
      <c r="C123" s="746">
        <f>IF('User Dashboard'!Z$12=5,
IF('SIR Model Patient Calcs'!B123&lt;'User Dashboard'!AJ$15,'User Dashboard'!AN$14,
IF('SIR Model Patient Calcs'!B123&lt;'User Dashboard'!AJ$16,'User Dashboard'!AN$15,
IF('SIR Model Patient Calcs'!B123&lt;'User Dashboard'!AJ$17,'User Dashboard'!AN$16,
IF('SIR Model Patient Calcs'!B123&lt;'User Dashboard'!AJ$18,'User Dashboard'!AN$17,
'User Dashboard'!AN$18)))),
IF('User Dashboard'!Z$12=4,
IF('SIR Model Patient Calcs'!B123&lt;'User Dashboard'!AJ$15,'User Dashboard'!AN$14,
IF('SIR Model Patient Calcs'!B123&lt;'User Dashboard'!AJ$16,'User Dashboard'!AN$15,
IF('SIR Model Patient Calcs'!B123&lt;'User Dashboard'!AJ$17,'User Dashboard'!AN$16,
'User Dashboard'!AN$17))),
IF('User Dashboard'!Z$12=3,
IF('SIR Model Patient Calcs'!B123&lt;'User Dashboard'!AJ$15,'User Dashboard'!AN$14,
IF('SIR Model Patient Calcs'!B123&lt;'User Dashboard'!AJ$16,'User Dashboard'!AN$15,
'User Dashboard'!AN$16)),
IF('User Dashboard'!Z$12=2,
IF('SIR Model Patient Calcs'!B123&lt;'User Dashboard'!AJ$15,'User Dashboard'!AN$14,
'User Dashboard'!AN$15),
IF('User Dashboard'!Z$12=1,
'User Dashboard'!AN$14)))))</f>
        <v>15.209356603107825</v>
      </c>
      <c r="D123" s="747">
        <f>'User Dashboard'!X$15</f>
        <v>2.2072878851804097E-2</v>
      </c>
      <c r="E123" s="739">
        <f t="shared" si="12"/>
        <v>9.1306104687305712E-8</v>
      </c>
      <c r="F123" s="739">
        <f t="shared" si="20"/>
        <v>9.1306104687305712E-8</v>
      </c>
      <c r="G123" s="749">
        <f>1/'User Dashboard'!X$12</f>
        <v>0.14285714285714285</v>
      </c>
      <c r="H123" s="385">
        <f t="shared" si="13"/>
        <v>483218.23675249098</v>
      </c>
      <c r="I123" s="751">
        <f t="shared" si="16"/>
        <v>100038.77737241067</v>
      </c>
      <c r="J123" s="752">
        <f t="shared" si="14"/>
        <v>3093542.985875099</v>
      </c>
      <c r="K123" s="385">
        <f t="shared" si="17"/>
        <v>3193581.7632475095</v>
      </c>
      <c r="L123" s="752">
        <f t="shared" si="18"/>
        <v>4944.9724366259761</v>
      </c>
    </row>
    <row r="124" spans="1:15" x14ac:dyDescent="0.75">
      <c r="A124" s="309">
        <f t="shared" si="15"/>
        <v>17</v>
      </c>
      <c r="B124" s="310">
        <v>117</v>
      </c>
      <c r="C124" s="746">
        <f>IF('User Dashboard'!Z$12=5,
IF('SIR Model Patient Calcs'!B124&lt;'User Dashboard'!AJ$15,'User Dashboard'!AN$14,
IF('SIR Model Patient Calcs'!B124&lt;'User Dashboard'!AJ$16,'User Dashboard'!AN$15,
IF('SIR Model Patient Calcs'!B124&lt;'User Dashboard'!AJ$17,'User Dashboard'!AN$16,
IF('SIR Model Patient Calcs'!B124&lt;'User Dashboard'!AJ$18,'User Dashboard'!AN$17,
'User Dashboard'!AN$18)))),
IF('User Dashboard'!Z$12=4,
IF('SIR Model Patient Calcs'!B124&lt;'User Dashboard'!AJ$15,'User Dashboard'!AN$14,
IF('SIR Model Patient Calcs'!B124&lt;'User Dashboard'!AJ$16,'User Dashboard'!AN$15,
IF('SIR Model Patient Calcs'!B124&lt;'User Dashboard'!AJ$17,'User Dashboard'!AN$16,
'User Dashboard'!AN$17))),
IF('User Dashboard'!Z$12=3,
IF('SIR Model Patient Calcs'!B124&lt;'User Dashboard'!AJ$15,'User Dashboard'!AN$14,
IF('SIR Model Patient Calcs'!B124&lt;'User Dashboard'!AJ$16,'User Dashboard'!AN$15,
'User Dashboard'!AN$16)),
IF('User Dashboard'!Z$12=2,
IF('SIR Model Patient Calcs'!B124&lt;'User Dashboard'!AJ$15,'User Dashboard'!AN$14,
'User Dashboard'!AN$15),
IF('User Dashboard'!Z$12=1,
'User Dashboard'!AN$14)))))</f>
        <v>15.209356603107825</v>
      </c>
      <c r="D124" s="747">
        <f>'User Dashboard'!X$15</f>
        <v>2.2072878851804097E-2</v>
      </c>
      <c r="E124" s="739">
        <f t="shared" si="12"/>
        <v>9.1306104687305698E-8</v>
      </c>
      <c r="F124" s="739">
        <f t="shared" si="20"/>
        <v>9.1306104687305712E-8</v>
      </c>
      <c r="G124" s="749">
        <f>1/'User Dashboard'!X$12</f>
        <v>0.14285714285714285</v>
      </c>
      <c r="H124" s="385">
        <f t="shared" si="13"/>
        <v>478804.44837359735</v>
      </c>
      <c r="I124" s="751">
        <f t="shared" si="16"/>
        <v>90161.311840959912</v>
      </c>
      <c r="J124" s="752">
        <f t="shared" si="14"/>
        <v>3107834.2397854435</v>
      </c>
      <c r="K124" s="385">
        <f t="shared" si="17"/>
        <v>3197995.5516264034</v>
      </c>
      <c r="L124" s="752">
        <f t="shared" si="18"/>
        <v>4413.7883788938634</v>
      </c>
    </row>
    <row r="125" spans="1:15" x14ac:dyDescent="0.75">
      <c r="A125" s="309">
        <f t="shared" si="15"/>
        <v>17</v>
      </c>
      <c r="B125" s="310">
        <v>118</v>
      </c>
      <c r="C125" s="746">
        <f>IF('User Dashboard'!Z$12=5,
IF('SIR Model Patient Calcs'!B125&lt;'User Dashboard'!AJ$15,'User Dashboard'!AN$14,
IF('SIR Model Patient Calcs'!B125&lt;'User Dashboard'!AJ$16,'User Dashboard'!AN$15,
IF('SIR Model Patient Calcs'!B125&lt;'User Dashboard'!AJ$17,'User Dashboard'!AN$16,
IF('SIR Model Patient Calcs'!B125&lt;'User Dashboard'!AJ$18,'User Dashboard'!AN$17,
'User Dashboard'!AN$18)))),
IF('User Dashboard'!Z$12=4,
IF('SIR Model Patient Calcs'!B125&lt;'User Dashboard'!AJ$15,'User Dashboard'!AN$14,
IF('SIR Model Patient Calcs'!B125&lt;'User Dashboard'!AJ$16,'User Dashboard'!AN$15,
IF('SIR Model Patient Calcs'!B125&lt;'User Dashboard'!AJ$17,'User Dashboard'!AN$16,
'User Dashboard'!AN$17))),
IF('User Dashboard'!Z$12=3,
IF('SIR Model Patient Calcs'!B125&lt;'User Dashboard'!AJ$15,'User Dashboard'!AN$14,
IF('SIR Model Patient Calcs'!B125&lt;'User Dashboard'!AJ$16,'User Dashboard'!AN$15,
'User Dashboard'!AN$16)),
IF('User Dashboard'!Z$12=2,
IF('SIR Model Patient Calcs'!B125&lt;'User Dashboard'!AJ$15,'User Dashboard'!AN$14,
'User Dashboard'!AN$15),
IF('User Dashboard'!Z$12=1,
'User Dashboard'!AN$14)))))</f>
        <v>15.209356603107825</v>
      </c>
      <c r="D125" s="747">
        <f>'User Dashboard'!X$15</f>
        <v>2.2072878851804097E-2</v>
      </c>
      <c r="E125" s="739">
        <f t="shared" si="12"/>
        <v>9.1306104687305712E-8</v>
      </c>
      <c r="F125" s="739">
        <f t="shared" si="20"/>
        <v>9.1306104687305712E-8</v>
      </c>
      <c r="G125" s="749">
        <f>1/'User Dashboard'!X$12</f>
        <v>0.14285714285714285</v>
      </c>
      <c r="H125" s="385">
        <f t="shared" si="13"/>
        <v>474862.79696186783</v>
      </c>
      <c r="I125" s="751">
        <f t="shared" si="16"/>
        <v>81222.775846837991</v>
      </c>
      <c r="J125" s="752">
        <f t="shared" si="14"/>
        <v>3120714.4271912947</v>
      </c>
      <c r="K125" s="385">
        <f t="shared" si="17"/>
        <v>3201937.2030381327</v>
      </c>
      <c r="L125" s="752">
        <f t="shared" si="18"/>
        <v>3941.6514117293991</v>
      </c>
    </row>
    <row r="126" spans="1:15" x14ac:dyDescent="0.75">
      <c r="A126" s="309">
        <f t="shared" si="15"/>
        <v>17</v>
      </c>
      <c r="B126" s="310">
        <v>119</v>
      </c>
      <c r="C126" s="746">
        <f>IF('User Dashboard'!Z$12=5,
IF('SIR Model Patient Calcs'!B126&lt;'User Dashboard'!AJ$15,'User Dashboard'!AN$14,
IF('SIR Model Patient Calcs'!B126&lt;'User Dashboard'!AJ$16,'User Dashboard'!AN$15,
IF('SIR Model Patient Calcs'!B126&lt;'User Dashboard'!AJ$17,'User Dashboard'!AN$16,
IF('SIR Model Patient Calcs'!B126&lt;'User Dashboard'!AJ$18,'User Dashboard'!AN$17,
'User Dashboard'!AN$18)))),
IF('User Dashboard'!Z$12=4,
IF('SIR Model Patient Calcs'!B126&lt;'User Dashboard'!AJ$15,'User Dashboard'!AN$14,
IF('SIR Model Patient Calcs'!B126&lt;'User Dashboard'!AJ$16,'User Dashboard'!AN$15,
IF('SIR Model Patient Calcs'!B126&lt;'User Dashboard'!AJ$17,'User Dashboard'!AN$16,
'User Dashboard'!AN$17))),
IF('User Dashboard'!Z$12=3,
IF('SIR Model Patient Calcs'!B126&lt;'User Dashboard'!AJ$15,'User Dashboard'!AN$14,
IF('SIR Model Patient Calcs'!B126&lt;'User Dashboard'!AJ$16,'User Dashboard'!AN$15,
'User Dashboard'!AN$16)),
IF('User Dashboard'!Z$12=2,
IF('SIR Model Patient Calcs'!B126&lt;'User Dashboard'!AJ$15,'User Dashboard'!AN$14,
'User Dashboard'!AN$15),
IF('User Dashboard'!Z$12=1,
'User Dashboard'!AN$14)))))</f>
        <v>15.209356603107825</v>
      </c>
      <c r="D126" s="747">
        <f>'User Dashboard'!X$15</f>
        <v>2.2072878851804097E-2</v>
      </c>
      <c r="E126" s="739">
        <f t="shared" si="12"/>
        <v>9.1306104687305712E-8</v>
      </c>
      <c r="F126" s="739">
        <f t="shared" si="20"/>
        <v>9.1306104687305712E-8</v>
      </c>
      <c r="G126" s="749">
        <f>1/'User Dashboard'!X$12</f>
        <v>0.14285714285714285</v>
      </c>
      <c r="H126" s="385">
        <f t="shared" si="13"/>
        <v>471341.15022278781</v>
      </c>
      <c r="I126" s="751">
        <f t="shared" si="16"/>
        <v>73141.168893512557</v>
      </c>
      <c r="J126" s="752">
        <f t="shared" si="14"/>
        <v>3132317.6808837</v>
      </c>
      <c r="K126" s="385">
        <f t="shared" si="17"/>
        <v>3205458.8497772124</v>
      </c>
      <c r="L126" s="752">
        <f t="shared" si="18"/>
        <v>3521.646739079617</v>
      </c>
    </row>
    <row r="127" spans="1:15" x14ac:dyDescent="0.75">
      <c r="A127" s="309">
        <f t="shared" si="15"/>
        <v>18</v>
      </c>
      <c r="B127" s="310">
        <v>120</v>
      </c>
      <c r="C127" s="746">
        <f>IF('User Dashboard'!Z$12=5,
IF('SIR Model Patient Calcs'!B127&lt;'User Dashboard'!AJ$15,'User Dashboard'!AN$14,
IF('SIR Model Patient Calcs'!B127&lt;'User Dashboard'!AJ$16,'User Dashboard'!AN$15,
IF('SIR Model Patient Calcs'!B127&lt;'User Dashboard'!AJ$17,'User Dashboard'!AN$16,
IF('SIR Model Patient Calcs'!B127&lt;'User Dashboard'!AJ$18,'User Dashboard'!AN$17,
'User Dashboard'!AN$18)))),
IF('User Dashboard'!Z$12=4,
IF('SIR Model Patient Calcs'!B127&lt;'User Dashboard'!AJ$15,'User Dashboard'!AN$14,
IF('SIR Model Patient Calcs'!B127&lt;'User Dashboard'!AJ$16,'User Dashboard'!AN$15,
IF('SIR Model Patient Calcs'!B127&lt;'User Dashboard'!AJ$17,'User Dashboard'!AN$16,
'User Dashboard'!AN$17))),
IF('User Dashboard'!Z$12=3,
IF('SIR Model Patient Calcs'!B127&lt;'User Dashboard'!AJ$15,'User Dashboard'!AN$14,
IF('SIR Model Patient Calcs'!B127&lt;'User Dashboard'!AJ$16,'User Dashboard'!AN$15,
'User Dashboard'!AN$16)),
IF('User Dashboard'!Z$12=2,
IF('SIR Model Patient Calcs'!B127&lt;'User Dashboard'!AJ$15,'User Dashboard'!AN$14,
'User Dashboard'!AN$15),
IF('User Dashboard'!Z$12=1,
'User Dashboard'!AN$14)))))</f>
        <v>15.209356603107825</v>
      </c>
      <c r="D127" s="747">
        <f>'User Dashboard'!X$15</f>
        <v>2.2072878851804097E-2</v>
      </c>
      <c r="E127" s="739">
        <f t="shared" si="12"/>
        <v>9.1306104687305712E-8</v>
      </c>
      <c r="F127" s="739">
        <f t="shared" si="20"/>
        <v>9.1306104687305712E-8</v>
      </c>
      <c r="G127" s="749">
        <f>1/'User Dashboard'!X$12</f>
        <v>0.14285714285714285</v>
      </c>
      <c r="H127" s="385">
        <f t="shared" si="13"/>
        <v>468193.42315087619</v>
      </c>
      <c r="I127" s="751">
        <f t="shared" si="16"/>
        <v>65840.15755206524</v>
      </c>
      <c r="J127" s="752">
        <f t="shared" si="14"/>
        <v>3142766.4192970591</v>
      </c>
      <c r="K127" s="385">
        <f t="shared" si="17"/>
        <v>3208606.5768491244</v>
      </c>
      <c r="L127" s="752">
        <f t="shared" si="18"/>
        <v>3147.7270719120279</v>
      </c>
    </row>
    <row r="128" spans="1:15" x14ac:dyDescent="0.75">
      <c r="A128" s="309">
        <f t="shared" si="15"/>
        <v>18</v>
      </c>
      <c r="B128" s="310">
        <v>121</v>
      </c>
      <c r="C128" s="746">
        <f>IF('User Dashboard'!Z$12=5,
IF('SIR Model Patient Calcs'!B128&lt;'User Dashboard'!AJ$15,'User Dashboard'!AN$14,
IF('SIR Model Patient Calcs'!B128&lt;'User Dashboard'!AJ$16,'User Dashboard'!AN$15,
IF('SIR Model Patient Calcs'!B128&lt;'User Dashboard'!AJ$17,'User Dashboard'!AN$16,
IF('SIR Model Patient Calcs'!B128&lt;'User Dashboard'!AJ$18,'User Dashboard'!AN$17,
'User Dashboard'!AN$18)))),
IF('User Dashboard'!Z$12=4,
IF('SIR Model Patient Calcs'!B128&lt;'User Dashboard'!AJ$15,'User Dashboard'!AN$14,
IF('SIR Model Patient Calcs'!B128&lt;'User Dashboard'!AJ$16,'User Dashboard'!AN$15,
IF('SIR Model Patient Calcs'!B128&lt;'User Dashboard'!AJ$17,'User Dashboard'!AN$16,
'User Dashboard'!AN$17))),
IF('User Dashboard'!Z$12=3,
IF('SIR Model Patient Calcs'!B128&lt;'User Dashboard'!AJ$15,'User Dashboard'!AN$14,
IF('SIR Model Patient Calcs'!B128&lt;'User Dashboard'!AJ$16,'User Dashboard'!AN$15,
'User Dashboard'!AN$16)),
IF('User Dashboard'!Z$12=2,
IF('SIR Model Patient Calcs'!B128&lt;'User Dashboard'!AJ$15,'User Dashboard'!AN$14,
'User Dashboard'!AN$15),
IF('User Dashboard'!Z$12=1,
'User Dashboard'!AN$14)))))</f>
        <v>15.209356603107825</v>
      </c>
      <c r="D128" s="747">
        <f>'User Dashboard'!X$15</f>
        <v>2.2072878851804097E-2</v>
      </c>
      <c r="E128" s="739">
        <f t="shared" si="12"/>
        <v>9.1306104687305712E-8</v>
      </c>
      <c r="F128" s="739">
        <f t="shared" si="20"/>
        <v>9.1306104687305712E-8</v>
      </c>
      <c r="G128" s="749">
        <f>1/'User Dashboard'!X$12</f>
        <v>0.14285714285714285</v>
      </c>
      <c r="H128" s="385">
        <f t="shared" si="13"/>
        <v>465378.82767379319</v>
      </c>
      <c r="I128" s="751">
        <f t="shared" si="16"/>
        <v>59249.016235996081</v>
      </c>
      <c r="J128" s="752">
        <f t="shared" si="14"/>
        <v>3152172.1560902111</v>
      </c>
      <c r="K128" s="385">
        <f t="shared" si="17"/>
        <v>3211421.1723262072</v>
      </c>
      <c r="L128" s="752">
        <f t="shared" si="18"/>
        <v>2814.5954770827666</v>
      </c>
    </row>
    <row r="129" spans="1:12" x14ac:dyDescent="0.75">
      <c r="A129" s="309">
        <f t="shared" si="15"/>
        <v>18</v>
      </c>
      <c r="B129" s="310">
        <v>122</v>
      </c>
      <c r="C129" s="746">
        <f>IF('User Dashboard'!Z$12=5,
IF('SIR Model Patient Calcs'!B129&lt;'User Dashboard'!AJ$15,'User Dashboard'!AN$14,
IF('SIR Model Patient Calcs'!B129&lt;'User Dashboard'!AJ$16,'User Dashboard'!AN$15,
IF('SIR Model Patient Calcs'!B129&lt;'User Dashboard'!AJ$17,'User Dashboard'!AN$16,
IF('SIR Model Patient Calcs'!B129&lt;'User Dashboard'!AJ$18,'User Dashboard'!AN$17,
'User Dashboard'!AN$18)))),
IF('User Dashboard'!Z$12=4,
IF('SIR Model Patient Calcs'!B129&lt;'User Dashboard'!AJ$15,'User Dashboard'!AN$14,
IF('SIR Model Patient Calcs'!B129&lt;'User Dashboard'!AJ$16,'User Dashboard'!AN$15,
IF('SIR Model Patient Calcs'!B129&lt;'User Dashboard'!AJ$17,'User Dashboard'!AN$16,
'User Dashboard'!AN$17))),
IF('User Dashboard'!Z$12=3,
IF('SIR Model Patient Calcs'!B129&lt;'User Dashboard'!AJ$15,'User Dashboard'!AN$14,
IF('SIR Model Patient Calcs'!B129&lt;'User Dashboard'!AJ$16,'User Dashboard'!AN$15,
'User Dashboard'!AN$16)),
IF('User Dashboard'!Z$12=2,
IF('SIR Model Patient Calcs'!B129&lt;'User Dashboard'!AJ$15,'User Dashboard'!AN$14,
'User Dashboard'!AN$15),
IF('User Dashboard'!Z$12=1,
'User Dashboard'!AN$14)))))</f>
        <v>15.209356603107825</v>
      </c>
      <c r="D129" s="747">
        <f>'User Dashboard'!X$15</f>
        <v>2.2072878851804097E-2</v>
      </c>
      <c r="E129" s="739">
        <f t="shared" si="12"/>
        <v>9.1306104687305712E-8</v>
      </c>
      <c r="F129" s="739">
        <f t="shared" si="20"/>
        <v>9.1306104687305712E-8</v>
      </c>
      <c r="G129" s="749">
        <f>1/'User Dashboard'!X$12</f>
        <v>0.14285714285714285</v>
      </c>
      <c r="H129" s="385">
        <f t="shared" si="13"/>
        <v>462861.22274426115</v>
      </c>
      <c r="I129" s="751">
        <f t="shared" si="16"/>
        <v>53302.475988957238</v>
      </c>
      <c r="J129" s="752">
        <f t="shared" si="14"/>
        <v>3160636.301266782</v>
      </c>
      <c r="K129" s="385">
        <f t="shared" si="17"/>
        <v>3213938.7772557391</v>
      </c>
      <c r="L129" s="752">
        <f t="shared" si="18"/>
        <v>2517.6049295319244</v>
      </c>
    </row>
    <row r="130" spans="1:12" x14ac:dyDescent="0.75">
      <c r="A130" s="309">
        <f t="shared" si="15"/>
        <v>18</v>
      </c>
      <c r="B130" s="310">
        <v>123</v>
      </c>
      <c r="C130" s="746">
        <f>IF('User Dashboard'!Z$12=5,
IF('SIR Model Patient Calcs'!B130&lt;'User Dashboard'!AJ$15,'User Dashboard'!AN$14,
IF('SIR Model Patient Calcs'!B130&lt;'User Dashboard'!AJ$16,'User Dashboard'!AN$15,
IF('SIR Model Patient Calcs'!B130&lt;'User Dashboard'!AJ$17,'User Dashboard'!AN$16,
IF('SIR Model Patient Calcs'!B130&lt;'User Dashboard'!AJ$18,'User Dashboard'!AN$17,
'User Dashboard'!AN$18)))),
IF('User Dashboard'!Z$12=4,
IF('SIR Model Patient Calcs'!B130&lt;'User Dashboard'!AJ$15,'User Dashboard'!AN$14,
IF('SIR Model Patient Calcs'!B130&lt;'User Dashboard'!AJ$16,'User Dashboard'!AN$15,
IF('SIR Model Patient Calcs'!B130&lt;'User Dashboard'!AJ$17,'User Dashboard'!AN$16,
'User Dashboard'!AN$17))),
IF('User Dashboard'!Z$12=3,
IF('SIR Model Patient Calcs'!B130&lt;'User Dashboard'!AJ$15,'User Dashboard'!AN$14,
IF('SIR Model Patient Calcs'!B130&lt;'User Dashboard'!AJ$16,'User Dashboard'!AN$15,
'User Dashboard'!AN$16)),
IF('User Dashboard'!Z$12=2,
IF('SIR Model Patient Calcs'!B130&lt;'User Dashboard'!AJ$15,'User Dashboard'!AN$14,
'User Dashboard'!AN$15),
IF('User Dashboard'!Z$12=1,
'User Dashboard'!AN$14)))))</f>
        <v>15.209356603107825</v>
      </c>
      <c r="D130" s="747">
        <f>'User Dashboard'!X$15</f>
        <v>2.2072878851804097E-2</v>
      </c>
      <c r="E130" s="739">
        <f t="shared" si="12"/>
        <v>9.1306104687305725E-8</v>
      </c>
      <c r="F130" s="739">
        <f t="shared" si="20"/>
        <v>9.1306104687305712E-8</v>
      </c>
      <c r="G130" s="749">
        <f>1/'User Dashboard'!X$12</f>
        <v>0.14285714285714285</v>
      </c>
      <c r="H130" s="385">
        <f t="shared" si="13"/>
        <v>460608.5505585433</v>
      </c>
      <c r="I130" s="751">
        <f t="shared" si="16"/>
        <v>47940.50874768119</v>
      </c>
      <c r="J130" s="752">
        <f t="shared" si="14"/>
        <v>3168250.9406937757</v>
      </c>
      <c r="K130" s="385">
        <f t="shared" si="17"/>
        <v>3216191.4494414567</v>
      </c>
      <c r="L130" s="752">
        <f t="shared" si="18"/>
        <v>2252.6721857176162</v>
      </c>
    </row>
    <row r="131" spans="1:12" x14ac:dyDescent="0.75">
      <c r="A131" s="309">
        <f t="shared" si="15"/>
        <v>18</v>
      </c>
      <c r="B131" s="310">
        <v>124</v>
      </c>
      <c r="C131" s="746">
        <f>IF('User Dashboard'!Z$12=5,
IF('SIR Model Patient Calcs'!B131&lt;'User Dashboard'!AJ$15,'User Dashboard'!AN$14,
IF('SIR Model Patient Calcs'!B131&lt;'User Dashboard'!AJ$16,'User Dashboard'!AN$15,
IF('SIR Model Patient Calcs'!B131&lt;'User Dashboard'!AJ$17,'User Dashboard'!AN$16,
IF('SIR Model Patient Calcs'!B131&lt;'User Dashboard'!AJ$18,'User Dashboard'!AN$17,
'User Dashboard'!AN$18)))),
IF('User Dashboard'!Z$12=4,
IF('SIR Model Patient Calcs'!B131&lt;'User Dashboard'!AJ$15,'User Dashboard'!AN$14,
IF('SIR Model Patient Calcs'!B131&lt;'User Dashboard'!AJ$16,'User Dashboard'!AN$15,
IF('SIR Model Patient Calcs'!B131&lt;'User Dashboard'!AJ$17,'User Dashboard'!AN$16,
'User Dashboard'!AN$17))),
IF('User Dashboard'!Z$12=3,
IF('SIR Model Patient Calcs'!B131&lt;'User Dashboard'!AJ$15,'User Dashboard'!AN$14,
IF('SIR Model Patient Calcs'!B131&lt;'User Dashboard'!AJ$16,'User Dashboard'!AN$15,
'User Dashboard'!AN$16)),
IF('User Dashboard'!Z$12=2,
IF('SIR Model Patient Calcs'!B131&lt;'User Dashboard'!AJ$15,'User Dashboard'!AN$14,
'User Dashboard'!AN$15),
IF('User Dashboard'!Z$12=1,
'User Dashboard'!AN$14)))))</f>
        <v>15.209356603107825</v>
      </c>
      <c r="D131" s="747">
        <f>'User Dashboard'!X$15</f>
        <v>2.2072878851804097E-2</v>
      </c>
      <c r="E131" s="739">
        <f t="shared" si="12"/>
        <v>9.1306104687305725E-8</v>
      </c>
      <c r="F131" s="739">
        <f t="shared" si="20"/>
        <v>9.1306104687305712E-8</v>
      </c>
      <c r="G131" s="749">
        <f>1/'User Dashboard'!X$12</f>
        <v>0.14285714285714285</v>
      </c>
      <c r="H131" s="385">
        <f t="shared" si="13"/>
        <v>458592.34666302952</v>
      </c>
      <c r="I131" s="751">
        <f t="shared" si="16"/>
        <v>43108.068536383362</v>
      </c>
      <c r="J131" s="752">
        <f t="shared" si="14"/>
        <v>3175099.584800587</v>
      </c>
      <c r="K131" s="385">
        <f t="shared" si="17"/>
        <v>3218207.6533369706</v>
      </c>
      <c r="L131" s="752">
        <f t="shared" si="18"/>
        <v>2016.2038955138996</v>
      </c>
    </row>
    <row r="132" spans="1:12" x14ac:dyDescent="0.75">
      <c r="A132" s="309">
        <f t="shared" si="15"/>
        <v>18</v>
      </c>
      <c r="B132" s="310">
        <v>125</v>
      </c>
      <c r="C132" s="746">
        <f>IF('User Dashboard'!Z$12=5,
IF('SIR Model Patient Calcs'!B132&lt;'User Dashboard'!AJ$15,'User Dashboard'!AN$14,
IF('SIR Model Patient Calcs'!B132&lt;'User Dashboard'!AJ$16,'User Dashboard'!AN$15,
IF('SIR Model Patient Calcs'!B132&lt;'User Dashboard'!AJ$17,'User Dashboard'!AN$16,
IF('SIR Model Patient Calcs'!B132&lt;'User Dashboard'!AJ$18,'User Dashboard'!AN$17,
'User Dashboard'!AN$18)))),
IF('User Dashboard'!Z$12=4,
IF('SIR Model Patient Calcs'!B132&lt;'User Dashboard'!AJ$15,'User Dashboard'!AN$14,
IF('SIR Model Patient Calcs'!B132&lt;'User Dashboard'!AJ$16,'User Dashboard'!AN$15,
IF('SIR Model Patient Calcs'!B132&lt;'User Dashboard'!AJ$17,'User Dashboard'!AN$16,
'User Dashboard'!AN$17))),
IF('User Dashboard'!Z$12=3,
IF('SIR Model Patient Calcs'!B132&lt;'User Dashboard'!AJ$15,'User Dashboard'!AN$14,
IF('SIR Model Patient Calcs'!B132&lt;'User Dashboard'!AJ$16,'User Dashboard'!AN$15,
'User Dashboard'!AN$16)),
IF('User Dashboard'!Z$12=2,
IF('SIR Model Patient Calcs'!B132&lt;'User Dashboard'!AJ$15,'User Dashboard'!AN$14,
'User Dashboard'!AN$15),
IF('User Dashboard'!Z$12=1,
'User Dashboard'!AN$14)))))</f>
        <v>15.209356603107825</v>
      </c>
      <c r="D132" s="747">
        <f>'User Dashboard'!X$15</f>
        <v>2.2072878851804097E-2</v>
      </c>
      <c r="E132" s="739">
        <f t="shared" si="12"/>
        <v>9.1306104687305725E-8</v>
      </c>
      <c r="F132" s="739">
        <f t="shared" si="20"/>
        <v>9.1306104687305712E-8</v>
      </c>
      <c r="G132" s="749">
        <f>1/'User Dashboard'!X$12</f>
        <v>0.14285714285714285</v>
      </c>
      <c r="H132" s="385">
        <f t="shared" si="13"/>
        <v>456787.31351195887</v>
      </c>
      <c r="I132" s="751">
        <f t="shared" si="16"/>
        <v>38754.806182256361</v>
      </c>
      <c r="J132" s="752">
        <f t="shared" si="14"/>
        <v>3181257.8803057848</v>
      </c>
      <c r="K132" s="385">
        <f t="shared" si="17"/>
        <v>3220012.6864880412</v>
      </c>
      <c r="L132" s="752">
        <f t="shared" si="18"/>
        <v>1805.0331510705873</v>
      </c>
    </row>
    <row r="133" spans="1:12" x14ac:dyDescent="0.75">
      <c r="A133" s="309">
        <f t="shared" si="15"/>
        <v>18</v>
      </c>
      <c r="B133" s="310">
        <v>126</v>
      </c>
      <c r="C133" s="746">
        <f>IF('User Dashboard'!Z$12=5,
IF('SIR Model Patient Calcs'!B133&lt;'User Dashboard'!AJ$15,'User Dashboard'!AN$14,
IF('SIR Model Patient Calcs'!B133&lt;'User Dashboard'!AJ$16,'User Dashboard'!AN$15,
IF('SIR Model Patient Calcs'!B133&lt;'User Dashboard'!AJ$17,'User Dashboard'!AN$16,
IF('SIR Model Patient Calcs'!B133&lt;'User Dashboard'!AJ$18,'User Dashboard'!AN$17,
'User Dashboard'!AN$18)))),
IF('User Dashboard'!Z$12=4,
IF('SIR Model Patient Calcs'!B133&lt;'User Dashboard'!AJ$15,'User Dashboard'!AN$14,
IF('SIR Model Patient Calcs'!B133&lt;'User Dashboard'!AJ$16,'User Dashboard'!AN$15,
IF('SIR Model Patient Calcs'!B133&lt;'User Dashboard'!AJ$17,'User Dashboard'!AN$16,
'User Dashboard'!AN$17))),
IF('User Dashboard'!Z$12=3,
IF('SIR Model Patient Calcs'!B133&lt;'User Dashboard'!AJ$15,'User Dashboard'!AN$14,
IF('SIR Model Patient Calcs'!B133&lt;'User Dashboard'!AJ$16,'User Dashboard'!AN$15,
'User Dashboard'!AN$16)),
IF('User Dashboard'!Z$12=2,
IF('SIR Model Patient Calcs'!B133&lt;'User Dashboard'!AJ$15,'User Dashboard'!AN$14,
'User Dashboard'!AN$15),
IF('User Dashboard'!Z$12=1,
'User Dashboard'!AN$14)))))</f>
        <v>15.209356603107825</v>
      </c>
      <c r="D133" s="747">
        <f>'User Dashboard'!X$15</f>
        <v>2.2072878851804097E-2</v>
      </c>
      <c r="E133" s="739">
        <f t="shared" si="12"/>
        <v>9.1306104687305725E-8</v>
      </c>
      <c r="F133" s="739">
        <f t="shared" si="20"/>
        <v>9.1306104687305712E-8</v>
      </c>
      <c r="G133" s="749">
        <f>1/'User Dashboard'!X$12</f>
        <v>0.14285714285714285</v>
      </c>
      <c r="H133" s="385">
        <f t="shared" si="13"/>
        <v>455170.94858539529</v>
      </c>
      <c r="I133" s="751">
        <f t="shared" si="16"/>
        <v>34834.770225640488</v>
      </c>
      <c r="J133" s="752">
        <f t="shared" si="14"/>
        <v>3186794.2811889644</v>
      </c>
      <c r="K133" s="385">
        <f t="shared" si="17"/>
        <v>3221629.0514146048</v>
      </c>
      <c r="L133" s="752">
        <f t="shared" si="18"/>
        <v>1616.3649265635759</v>
      </c>
    </row>
    <row r="134" spans="1:12" x14ac:dyDescent="0.75">
      <c r="A134" s="309">
        <f t="shared" si="15"/>
        <v>19</v>
      </c>
      <c r="B134" s="310">
        <v>127</v>
      </c>
      <c r="C134" s="746">
        <f>IF('User Dashboard'!Z$12=5,
IF('SIR Model Patient Calcs'!B134&lt;'User Dashboard'!AJ$15,'User Dashboard'!AN$14,
IF('SIR Model Patient Calcs'!B134&lt;'User Dashboard'!AJ$16,'User Dashboard'!AN$15,
IF('SIR Model Patient Calcs'!B134&lt;'User Dashboard'!AJ$17,'User Dashboard'!AN$16,
IF('SIR Model Patient Calcs'!B134&lt;'User Dashboard'!AJ$18,'User Dashboard'!AN$17,
'User Dashboard'!AN$18)))),
IF('User Dashboard'!Z$12=4,
IF('SIR Model Patient Calcs'!B134&lt;'User Dashboard'!AJ$15,'User Dashboard'!AN$14,
IF('SIR Model Patient Calcs'!B134&lt;'User Dashboard'!AJ$16,'User Dashboard'!AN$15,
IF('SIR Model Patient Calcs'!B134&lt;'User Dashboard'!AJ$17,'User Dashboard'!AN$16,
'User Dashboard'!AN$17))),
IF('User Dashboard'!Z$12=3,
IF('SIR Model Patient Calcs'!B134&lt;'User Dashboard'!AJ$15,'User Dashboard'!AN$14,
IF('SIR Model Patient Calcs'!B134&lt;'User Dashboard'!AJ$16,'User Dashboard'!AN$15,
'User Dashboard'!AN$16)),
IF('User Dashboard'!Z$12=2,
IF('SIR Model Patient Calcs'!B134&lt;'User Dashboard'!AJ$15,'User Dashboard'!AN$14,
'User Dashboard'!AN$15),
IF('User Dashboard'!Z$12=1,
'User Dashboard'!AN$14)))))</f>
        <v>15.209356603107825</v>
      </c>
      <c r="D134" s="747">
        <f>'User Dashboard'!X$15</f>
        <v>2.2072878851804097E-2</v>
      </c>
      <c r="E134" s="739">
        <f t="shared" si="12"/>
        <v>9.1306104687305712E-8</v>
      </c>
      <c r="F134" s="739">
        <f t="shared" si="20"/>
        <v>9.1306104687305712E-8</v>
      </c>
      <c r="G134" s="749">
        <f>1/'User Dashboard'!X$12</f>
        <v>0.14285714285714285</v>
      </c>
      <c r="H134" s="385">
        <f t="shared" si="13"/>
        <v>453723.21949615254</v>
      </c>
      <c r="I134" s="751">
        <f t="shared" si="16"/>
        <v>31306.103568363153</v>
      </c>
      <c r="J134" s="752">
        <f t="shared" si="14"/>
        <v>3191770.6769354846</v>
      </c>
      <c r="K134" s="385">
        <f t="shared" si="17"/>
        <v>3223076.7805038476</v>
      </c>
      <c r="L134" s="752">
        <f t="shared" si="18"/>
        <v>1447.7290892428719</v>
      </c>
    </row>
    <row r="135" spans="1:12" x14ac:dyDescent="0.75">
      <c r="A135" s="309">
        <f t="shared" si="15"/>
        <v>19</v>
      </c>
      <c r="B135" s="310">
        <v>128</v>
      </c>
      <c r="C135" s="746">
        <f>IF('User Dashboard'!Z$12=5,
IF('SIR Model Patient Calcs'!B135&lt;'User Dashboard'!AJ$15,'User Dashboard'!AN$14,
IF('SIR Model Patient Calcs'!B135&lt;'User Dashboard'!AJ$16,'User Dashboard'!AN$15,
IF('SIR Model Patient Calcs'!B135&lt;'User Dashboard'!AJ$17,'User Dashboard'!AN$16,
IF('SIR Model Patient Calcs'!B135&lt;'User Dashboard'!AJ$18,'User Dashboard'!AN$17,
'User Dashboard'!AN$18)))),
IF('User Dashboard'!Z$12=4,
IF('SIR Model Patient Calcs'!B135&lt;'User Dashboard'!AJ$15,'User Dashboard'!AN$14,
IF('SIR Model Patient Calcs'!B135&lt;'User Dashboard'!AJ$16,'User Dashboard'!AN$15,
IF('SIR Model Patient Calcs'!B135&lt;'User Dashboard'!AJ$17,'User Dashboard'!AN$16,
'User Dashboard'!AN$17))),
IF('User Dashboard'!Z$12=3,
IF('SIR Model Patient Calcs'!B135&lt;'User Dashboard'!AJ$15,'User Dashboard'!AN$14,
IF('SIR Model Patient Calcs'!B135&lt;'User Dashboard'!AJ$16,'User Dashboard'!AN$15,
'User Dashboard'!AN$16)),
IF('User Dashboard'!Z$12=2,
IF('SIR Model Patient Calcs'!B135&lt;'User Dashboard'!AJ$15,'User Dashboard'!AN$14,
'User Dashboard'!AN$15),
IF('User Dashboard'!Z$12=1,
'User Dashboard'!AN$14)))))</f>
        <v>15.209356603107825</v>
      </c>
      <c r="D135" s="747">
        <f>'User Dashboard'!X$15</f>
        <v>2.2072878851804097E-2</v>
      </c>
      <c r="E135" s="739">
        <f t="shared" ref="E135:E198" si="22">(C135*D135)/SUM(H135:J135)</f>
        <v>9.1306104687305712E-8</v>
      </c>
      <c r="F135" s="739">
        <f t="shared" si="20"/>
        <v>9.1306104687305712E-8</v>
      </c>
      <c r="G135" s="749">
        <f>1/'User Dashboard'!X$12</f>
        <v>0.14285714285714285</v>
      </c>
      <c r="H135" s="385">
        <f t="shared" si="13"/>
        <v>452426.27963629161</v>
      </c>
      <c r="I135" s="751">
        <f t="shared" si="16"/>
        <v>28130.742918457916</v>
      </c>
      <c r="J135" s="752">
        <f t="shared" si="14"/>
        <v>3196242.9774452508</v>
      </c>
      <c r="K135" s="385">
        <f t="shared" si="17"/>
        <v>3224373.7203637087</v>
      </c>
      <c r="L135" s="752">
        <f t="shared" si="18"/>
        <v>1296.9398598610424</v>
      </c>
    </row>
    <row r="136" spans="1:12" x14ac:dyDescent="0.75">
      <c r="A136" s="309">
        <f t="shared" si="15"/>
        <v>19</v>
      </c>
      <c r="B136" s="310">
        <v>129</v>
      </c>
      <c r="C136" s="746">
        <f>IF('User Dashboard'!Z$12=5,
IF('SIR Model Patient Calcs'!B136&lt;'User Dashboard'!AJ$15,'User Dashboard'!AN$14,
IF('SIR Model Patient Calcs'!B136&lt;'User Dashboard'!AJ$16,'User Dashboard'!AN$15,
IF('SIR Model Patient Calcs'!B136&lt;'User Dashboard'!AJ$17,'User Dashboard'!AN$16,
IF('SIR Model Patient Calcs'!B136&lt;'User Dashboard'!AJ$18,'User Dashboard'!AN$17,
'User Dashboard'!AN$18)))),
IF('User Dashboard'!Z$12=4,
IF('SIR Model Patient Calcs'!B136&lt;'User Dashboard'!AJ$15,'User Dashboard'!AN$14,
IF('SIR Model Patient Calcs'!B136&lt;'User Dashboard'!AJ$16,'User Dashboard'!AN$15,
IF('SIR Model Patient Calcs'!B136&lt;'User Dashboard'!AJ$17,'User Dashboard'!AN$16,
'User Dashboard'!AN$17))),
IF('User Dashboard'!Z$12=3,
IF('SIR Model Patient Calcs'!B136&lt;'User Dashboard'!AJ$15,'User Dashboard'!AN$14,
IF('SIR Model Patient Calcs'!B136&lt;'User Dashboard'!AJ$16,'User Dashboard'!AN$15,
'User Dashboard'!AN$16)),
IF('User Dashboard'!Z$12=2,
IF('SIR Model Patient Calcs'!B136&lt;'User Dashboard'!AJ$15,'User Dashboard'!AN$14,
'User Dashboard'!AN$15),
IF('User Dashboard'!Z$12=1,
'User Dashboard'!AN$14)))))</f>
        <v>15.209356603107825</v>
      </c>
      <c r="D136" s="747">
        <f>'User Dashboard'!X$15</f>
        <v>2.2072878851804097E-2</v>
      </c>
      <c r="E136" s="739">
        <f t="shared" si="22"/>
        <v>9.1306104687305725E-8</v>
      </c>
      <c r="F136" s="739">
        <f t="shared" si="20"/>
        <v>9.1306104687305712E-8</v>
      </c>
      <c r="G136" s="749">
        <f>1/'User Dashboard'!X$12</f>
        <v>0.14285714285714285</v>
      </c>
      <c r="H136" s="385">
        <f t="shared" ref="H136:H199" si="23">-MIN(F135*I135,1)*H135+H135</f>
        <v>451264.2188652521</v>
      </c>
      <c r="I136" s="751">
        <f t="shared" si="16"/>
        <v>25274.126129717733</v>
      </c>
      <c r="J136" s="752">
        <f t="shared" ref="J136:J199" si="24">G135*I135+J135</f>
        <v>3200261.6550050303</v>
      </c>
      <c r="K136" s="385">
        <f t="shared" si="17"/>
        <v>3225535.7811347479</v>
      </c>
      <c r="L136" s="752">
        <f t="shared" si="18"/>
        <v>1162.0607710392214</v>
      </c>
    </row>
    <row r="137" spans="1:12" x14ac:dyDescent="0.75">
      <c r="A137" s="309">
        <f t="shared" ref="A137:A200" si="25">IF(AND(IF(L137&lt;1,0,1)*ROUNDUP(B137/7,0)=0,B137&lt;&gt;0),"",IF(L137&lt;1,0,1)*ROUNDUP(B137/7,0))</f>
        <v>19</v>
      </c>
      <c r="B137" s="310">
        <v>130</v>
      </c>
      <c r="C137" s="746">
        <f>IF('User Dashboard'!Z$12=5,
IF('SIR Model Patient Calcs'!B137&lt;'User Dashboard'!AJ$15,'User Dashboard'!AN$14,
IF('SIR Model Patient Calcs'!B137&lt;'User Dashboard'!AJ$16,'User Dashboard'!AN$15,
IF('SIR Model Patient Calcs'!B137&lt;'User Dashboard'!AJ$17,'User Dashboard'!AN$16,
IF('SIR Model Patient Calcs'!B137&lt;'User Dashboard'!AJ$18,'User Dashboard'!AN$17,
'User Dashboard'!AN$18)))),
IF('User Dashboard'!Z$12=4,
IF('SIR Model Patient Calcs'!B137&lt;'User Dashboard'!AJ$15,'User Dashboard'!AN$14,
IF('SIR Model Patient Calcs'!B137&lt;'User Dashboard'!AJ$16,'User Dashboard'!AN$15,
IF('SIR Model Patient Calcs'!B137&lt;'User Dashboard'!AJ$17,'User Dashboard'!AN$16,
'User Dashboard'!AN$17))),
IF('User Dashboard'!Z$12=3,
IF('SIR Model Patient Calcs'!B137&lt;'User Dashboard'!AJ$15,'User Dashboard'!AN$14,
IF('SIR Model Patient Calcs'!B137&lt;'User Dashboard'!AJ$16,'User Dashboard'!AN$15,
'User Dashboard'!AN$16)),
IF('User Dashboard'!Z$12=2,
IF('SIR Model Patient Calcs'!B137&lt;'User Dashboard'!AJ$15,'User Dashboard'!AN$14,
'User Dashboard'!AN$15),
IF('User Dashboard'!Z$12=1,
'User Dashboard'!AN$14)))))</f>
        <v>15.209356603107825</v>
      </c>
      <c r="D137" s="747">
        <f>'User Dashboard'!X$15</f>
        <v>2.2072878851804097E-2</v>
      </c>
      <c r="E137" s="739">
        <f t="shared" si="22"/>
        <v>9.1306104687305725E-8</v>
      </c>
      <c r="F137" s="739">
        <f t="shared" si="20"/>
        <v>9.1306104687305712E-8</v>
      </c>
      <c r="G137" s="749">
        <f>1/'User Dashboard'!X$12</f>
        <v>0.14285714285714285</v>
      </c>
      <c r="H137" s="385">
        <f t="shared" si="23"/>
        <v>450222.84454729868</v>
      </c>
      <c r="I137" s="751">
        <f t="shared" ref="I137:I200" si="26">MIN(F136*I136,1)*H136-G136*I136+I136</f>
        <v>22704.911000568623</v>
      </c>
      <c r="J137" s="752">
        <f t="shared" si="24"/>
        <v>3203872.2444521328</v>
      </c>
      <c r="K137" s="385">
        <f t="shared" ref="K137:K200" si="27">(I137+J137)</f>
        <v>3226577.1554527013</v>
      </c>
      <c r="L137" s="752">
        <f t="shared" ref="L137:L200" si="28">(K137-K136)</f>
        <v>1041.3743179533631</v>
      </c>
    </row>
    <row r="138" spans="1:12" x14ac:dyDescent="0.75">
      <c r="A138" s="309">
        <f t="shared" si="25"/>
        <v>19</v>
      </c>
      <c r="B138" s="310">
        <v>131</v>
      </c>
      <c r="C138" s="746">
        <f>IF('User Dashboard'!Z$12=5,
IF('SIR Model Patient Calcs'!B138&lt;'User Dashboard'!AJ$15,'User Dashboard'!AN$14,
IF('SIR Model Patient Calcs'!B138&lt;'User Dashboard'!AJ$16,'User Dashboard'!AN$15,
IF('SIR Model Patient Calcs'!B138&lt;'User Dashboard'!AJ$17,'User Dashboard'!AN$16,
IF('SIR Model Patient Calcs'!B138&lt;'User Dashboard'!AJ$18,'User Dashboard'!AN$17,
'User Dashboard'!AN$18)))),
IF('User Dashboard'!Z$12=4,
IF('SIR Model Patient Calcs'!B138&lt;'User Dashboard'!AJ$15,'User Dashboard'!AN$14,
IF('SIR Model Patient Calcs'!B138&lt;'User Dashboard'!AJ$16,'User Dashboard'!AN$15,
IF('SIR Model Patient Calcs'!B138&lt;'User Dashboard'!AJ$17,'User Dashboard'!AN$16,
'User Dashboard'!AN$17))),
IF('User Dashboard'!Z$12=3,
IF('SIR Model Patient Calcs'!B138&lt;'User Dashboard'!AJ$15,'User Dashboard'!AN$14,
IF('SIR Model Patient Calcs'!B138&lt;'User Dashboard'!AJ$16,'User Dashboard'!AN$15,
'User Dashboard'!AN$16)),
IF('User Dashboard'!Z$12=2,
IF('SIR Model Patient Calcs'!B138&lt;'User Dashboard'!AJ$15,'User Dashboard'!AN$14,
'User Dashboard'!AN$15),
IF('User Dashboard'!Z$12=1,
'User Dashboard'!AN$14)))))</f>
        <v>15.209356603107825</v>
      </c>
      <c r="D138" s="747">
        <f>'User Dashboard'!X$15</f>
        <v>2.2072878851804097E-2</v>
      </c>
      <c r="E138" s="739">
        <f t="shared" si="22"/>
        <v>9.1306104687305725E-8</v>
      </c>
      <c r="F138" s="739">
        <f t="shared" si="20"/>
        <v>9.1306104687305712E-8</v>
      </c>
      <c r="G138" s="749">
        <f>1/'User Dashboard'!X$12</f>
        <v>0.14285714285714285</v>
      </c>
      <c r="H138" s="385">
        <f t="shared" si="23"/>
        <v>449289.48892761028</v>
      </c>
      <c r="I138" s="751">
        <f t="shared" si="26"/>
        <v>20394.7079058901</v>
      </c>
      <c r="J138" s="752">
        <f t="shared" si="24"/>
        <v>3207115.8031664998</v>
      </c>
      <c r="K138" s="385">
        <f t="shared" si="27"/>
        <v>3227510.5110723898</v>
      </c>
      <c r="L138" s="752">
        <f t="shared" si="28"/>
        <v>933.35561968851835</v>
      </c>
    </row>
    <row r="139" spans="1:12" x14ac:dyDescent="0.75">
      <c r="A139" s="309">
        <f t="shared" si="25"/>
        <v>19</v>
      </c>
      <c r="B139" s="310">
        <v>132</v>
      </c>
      <c r="C139" s="746">
        <f>IF('User Dashboard'!Z$12=5,
IF('SIR Model Patient Calcs'!B139&lt;'User Dashboard'!AJ$15,'User Dashboard'!AN$14,
IF('SIR Model Patient Calcs'!B139&lt;'User Dashboard'!AJ$16,'User Dashboard'!AN$15,
IF('SIR Model Patient Calcs'!B139&lt;'User Dashboard'!AJ$17,'User Dashboard'!AN$16,
IF('SIR Model Patient Calcs'!B139&lt;'User Dashboard'!AJ$18,'User Dashboard'!AN$17,
'User Dashboard'!AN$18)))),
IF('User Dashboard'!Z$12=4,
IF('SIR Model Patient Calcs'!B139&lt;'User Dashboard'!AJ$15,'User Dashboard'!AN$14,
IF('SIR Model Patient Calcs'!B139&lt;'User Dashboard'!AJ$16,'User Dashboard'!AN$15,
IF('SIR Model Patient Calcs'!B139&lt;'User Dashboard'!AJ$17,'User Dashboard'!AN$16,
'User Dashboard'!AN$17))),
IF('User Dashboard'!Z$12=3,
IF('SIR Model Patient Calcs'!B139&lt;'User Dashboard'!AJ$15,'User Dashboard'!AN$14,
IF('SIR Model Patient Calcs'!B139&lt;'User Dashboard'!AJ$16,'User Dashboard'!AN$15,
'User Dashboard'!AN$16)),
IF('User Dashboard'!Z$12=2,
IF('SIR Model Patient Calcs'!B139&lt;'User Dashboard'!AJ$15,'User Dashboard'!AN$14,
'User Dashboard'!AN$15),
IF('User Dashboard'!Z$12=1,
'User Dashboard'!AN$14)))))</f>
        <v>15.209356603107825</v>
      </c>
      <c r="D139" s="747">
        <f>'User Dashboard'!X$15</f>
        <v>2.2072878851804097E-2</v>
      </c>
      <c r="E139" s="739">
        <f t="shared" si="22"/>
        <v>9.1306104687305725E-8</v>
      </c>
      <c r="F139" s="739">
        <f t="shared" si="20"/>
        <v>9.1306104687305712E-8</v>
      </c>
      <c r="G139" s="749">
        <f>1/'User Dashboard'!X$12</f>
        <v>0.14285714285714285</v>
      </c>
      <c r="H139" s="385">
        <f t="shared" si="23"/>
        <v>448452.83941305248</v>
      </c>
      <c r="I139" s="751">
        <f t="shared" si="26"/>
        <v>18317.827719606477</v>
      </c>
      <c r="J139" s="752">
        <f t="shared" si="24"/>
        <v>3210029.3328673411</v>
      </c>
      <c r="K139" s="385">
        <f t="shared" si="27"/>
        <v>3228347.1605869476</v>
      </c>
      <c r="L139" s="752">
        <f t="shared" si="28"/>
        <v>836.64951455779374</v>
      </c>
    </row>
    <row r="140" spans="1:12" x14ac:dyDescent="0.75">
      <c r="A140" s="309">
        <f t="shared" si="25"/>
        <v>19</v>
      </c>
      <c r="B140" s="310">
        <v>133</v>
      </c>
      <c r="C140" s="746">
        <f>IF('User Dashboard'!Z$12=5,
IF('SIR Model Patient Calcs'!B140&lt;'User Dashboard'!AJ$15,'User Dashboard'!AN$14,
IF('SIR Model Patient Calcs'!B140&lt;'User Dashboard'!AJ$16,'User Dashboard'!AN$15,
IF('SIR Model Patient Calcs'!B140&lt;'User Dashboard'!AJ$17,'User Dashboard'!AN$16,
IF('SIR Model Patient Calcs'!B140&lt;'User Dashboard'!AJ$18,'User Dashboard'!AN$17,
'User Dashboard'!AN$18)))),
IF('User Dashboard'!Z$12=4,
IF('SIR Model Patient Calcs'!B140&lt;'User Dashboard'!AJ$15,'User Dashboard'!AN$14,
IF('SIR Model Patient Calcs'!B140&lt;'User Dashboard'!AJ$16,'User Dashboard'!AN$15,
IF('SIR Model Patient Calcs'!B140&lt;'User Dashboard'!AJ$17,'User Dashboard'!AN$16,
'User Dashboard'!AN$17))),
IF('User Dashboard'!Z$12=3,
IF('SIR Model Patient Calcs'!B140&lt;'User Dashboard'!AJ$15,'User Dashboard'!AN$14,
IF('SIR Model Patient Calcs'!B140&lt;'User Dashboard'!AJ$16,'User Dashboard'!AN$15,
'User Dashboard'!AN$16)),
IF('User Dashboard'!Z$12=2,
IF('SIR Model Patient Calcs'!B140&lt;'User Dashboard'!AJ$15,'User Dashboard'!AN$14,
'User Dashboard'!AN$15),
IF('User Dashboard'!Z$12=1,
'User Dashboard'!AN$14)))))</f>
        <v>15.209356603107825</v>
      </c>
      <c r="D140" s="747">
        <f>'User Dashboard'!X$15</f>
        <v>2.2072878851804097E-2</v>
      </c>
      <c r="E140" s="739">
        <f t="shared" si="22"/>
        <v>9.1306104687305712E-8</v>
      </c>
      <c r="F140" s="739">
        <f t="shared" si="20"/>
        <v>9.1306104687305725E-8</v>
      </c>
      <c r="G140" s="749">
        <f>1/'User Dashboard'!X$12</f>
        <v>0.14285714285714285</v>
      </c>
      <c r="H140" s="385">
        <f t="shared" si="23"/>
        <v>447702.7888118336</v>
      </c>
      <c r="I140" s="751">
        <f t="shared" si="26"/>
        <v>16451.045789453005</v>
      </c>
      <c r="J140" s="752">
        <f t="shared" si="24"/>
        <v>3212646.1653987137</v>
      </c>
      <c r="K140" s="385">
        <f t="shared" si="27"/>
        <v>3229097.2111881669</v>
      </c>
      <c r="L140" s="752">
        <f t="shared" si="28"/>
        <v>750.05060121929273</v>
      </c>
    </row>
    <row r="141" spans="1:12" x14ac:dyDescent="0.75">
      <c r="A141" s="309">
        <f t="shared" si="25"/>
        <v>20</v>
      </c>
      <c r="B141" s="310">
        <v>134</v>
      </c>
      <c r="C141" s="746">
        <f>IF('User Dashboard'!Z$12=5,
IF('SIR Model Patient Calcs'!B141&lt;'User Dashboard'!AJ$15,'User Dashboard'!AN$14,
IF('SIR Model Patient Calcs'!B141&lt;'User Dashboard'!AJ$16,'User Dashboard'!AN$15,
IF('SIR Model Patient Calcs'!B141&lt;'User Dashboard'!AJ$17,'User Dashboard'!AN$16,
IF('SIR Model Patient Calcs'!B141&lt;'User Dashboard'!AJ$18,'User Dashboard'!AN$17,
'User Dashboard'!AN$18)))),
IF('User Dashboard'!Z$12=4,
IF('SIR Model Patient Calcs'!B141&lt;'User Dashboard'!AJ$15,'User Dashboard'!AN$14,
IF('SIR Model Patient Calcs'!B141&lt;'User Dashboard'!AJ$16,'User Dashboard'!AN$15,
IF('SIR Model Patient Calcs'!B141&lt;'User Dashboard'!AJ$17,'User Dashboard'!AN$16,
'User Dashboard'!AN$17))),
IF('User Dashboard'!Z$12=3,
IF('SIR Model Patient Calcs'!B141&lt;'User Dashboard'!AJ$15,'User Dashboard'!AN$14,
IF('SIR Model Patient Calcs'!B141&lt;'User Dashboard'!AJ$16,'User Dashboard'!AN$15,
'User Dashboard'!AN$16)),
IF('User Dashboard'!Z$12=2,
IF('SIR Model Patient Calcs'!B141&lt;'User Dashboard'!AJ$15,'User Dashboard'!AN$14,
'User Dashboard'!AN$15),
IF('User Dashboard'!Z$12=1,
'User Dashboard'!AN$14)))))</f>
        <v>15.209356603107825</v>
      </c>
      <c r="D141" s="747">
        <f>'User Dashboard'!X$15</f>
        <v>2.2072878851804097E-2</v>
      </c>
      <c r="E141" s="739">
        <f t="shared" si="22"/>
        <v>9.1306104687305725E-8</v>
      </c>
      <c r="F141" s="739">
        <f t="shared" si="20"/>
        <v>9.1306104687305712E-8</v>
      </c>
      <c r="G141" s="749">
        <f>1/'User Dashboard'!X$12</f>
        <v>0.14285714285714285</v>
      </c>
      <c r="H141" s="385">
        <f t="shared" si="23"/>
        <v>447030.30299982306</v>
      </c>
      <c r="I141" s="751">
        <f t="shared" si="26"/>
        <v>14773.382202970233</v>
      </c>
      <c r="J141" s="752">
        <f t="shared" si="24"/>
        <v>3214996.3147972068</v>
      </c>
      <c r="K141" s="385">
        <f t="shared" si="27"/>
        <v>3229769.6970001771</v>
      </c>
      <c r="L141" s="752">
        <f t="shared" si="28"/>
        <v>672.48581201024354</v>
      </c>
    </row>
    <row r="142" spans="1:12" x14ac:dyDescent="0.75">
      <c r="A142" s="309">
        <f t="shared" si="25"/>
        <v>20</v>
      </c>
      <c r="B142" s="310">
        <v>135</v>
      </c>
      <c r="C142" s="746">
        <f>IF('User Dashboard'!Z$12=5,
IF('SIR Model Patient Calcs'!B142&lt;'User Dashboard'!AJ$15,'User Dashboard'!AN$14,
IF('SIR Model Patient Calcs'!B142&lt;'User Dashboard'!AJ$16,'User Dashboard'!AN$15,
IF('SIR Model Patient Calcs'!B142&lt;'User Dashboard'!AJ$17,'User Dashboard'!AN$16,
IF('SIR Model Patient Calcs'!B142&lt;'User Dashboard'!AJ$18,'User Dashboard'!AN$17,
'User Dashboard'!AN$18)))),
IF('User Dashboard'!Z$12=4,
IF('SIR Model Patient Calcs'!B142&lt;'User Dashboard'!AJ$15,'User Dashboard'!AN$14,
IF('SIR Model Patient Calcs'!B142&lt;'User Dashboard'!AJ$16,'User Dashboard'!AN$15,
IF('SIR Model Patient Calcs'!B142&lt;'User Dashboard'!AJ$17,'User Dashboard'!AN$16,
'User Dashboard'!AN$17))),
IF('User Dashboard'!Z$12=3,
IF('SIR Model Patient Calcs'!B142&lt;'User Dashboard'!AJ$15,'User Dashboard'!AN$14,
IF('SIR Model Patient Calcs'!B142&lt;'User Dashboard'!AJ$16,'User Dashboard'!AN$15,
'User Dashboard'!AN$16)),
IF('User Dashboard'!Z$12=2,
IF('SIR Model Patient Calcs'!B142&lt;'User Dashboard'!AJ$15,'User Dashboard'!AN$14,
'User Dashboard'!AN$15),
IF('User Dashboard'!Z$12=1,
'User Dashboard'!AN$14)))))</f>
        <v>15.209356603107825</v>
      </c>
      <c r="D142" s="747">
        <f>'User Dashboard'!X$15</f>
        <v>2.2072878851804097E-2</v>
      </c>
      <c r="E142" s="739">
        <f t="shared" si="22"/>
        <v>9.1306104687305725E-8</v>
      </c>
      <c r="F142" s="739">
        <f t="shared" si="20"/>
        <v>9.1306104687305712E-8</v>
      </c>
      <c r="G142" s="749">
        <f>1/'User Dashboard'!X$12</f>
        <v>0.14285714285714285</v>
      </c>
      <c r="H142" s="385">
        <f t="shared" si="23"/>
        <v>446427.30383214867</v>
      </c>
      <c r="I142" s="751">
        <f t="shared" si="26"/>
        <v>13265.89819879172</v>
      </c>
      <c r="J142" s="752">
        <f t="shared" si="24"/>
        <v>3217106.7979690596</v>
      </c>
      <c r="K142" s="385">
        <f t="shared" si="27"/>
        <v>3230372.6961678513</v>
      </c>
      <c r="L142" s="752">
        <f t="shared" si="28"/>
        <v>602.9991676742211</v>
      </c>
    </row>
    <row r="143" spans="1:12" x14ac:dyDescent="0.75">
      <c r="A143" s="309">
        <f t="shared" si="25"/>
        <v>20</v>
      </c>
      <c r="B143" s="310">
        <v>136</v>
      </c>
      <c r="C143" s="746">
        <f>IF('User Dashboard'!Z$12=5,
IF('SIR Model Patient Calcs'!B143&lt;'User Dashboard'!AJ$15,'User Dashboard'!AN$14,
IF('SIR Model Patient Calcs'!B143&lt;'User Dashboard'!AJ$16,'User Dashboard'!AN$15,
IF('SIR Model Patient Calcs'!B143&lt;'User Dashboard'!AJ$17,'User Dashboard'!AN$16,
IF('SIR Model Patient Calcs'!B143&lt;'User Dashboard'!AJ$18,'User Dashboard'!AN$17,
'User Dashboard'!AN$18)))),
IF('User Dashboard'!Z$12=4,
IF('SIR Model Patient Calcs'!B143&lt;'User Dashboard'!AJ$15,'User Dashboard'!AN$14,
IF('SIR Model Patient Calcs'!B143&lt;'User Dashboard'!AJ$16,'User Dashboard'!AN$15,
IF('SIR Model Patient Calcs'!B143&lt;'User Dashboard'!AJ$17,'User Dashboard'!AN$16,
'User Dashboard'!AN$17))),
IF('User Dashboard'!Z$12=3,
IF('SIR Model Patient Calcs'!B143&lt;'User Dashboard'!AJ$15,'User Dashboard'!AN$14,
IF('SIR Model Patient Calcs'!B143&lt;'User Dashboard'!AJ$16,'User Dashboard'!AN$15,
'User Dashboard'!AN$16)),
IF('User Dashboard'!Z$12=2,
IF('SIR Model Patient Calcs'!B143&lt;'User Dashboard'!AJ$15,'User Dashboard'!AN$14,
'User Dashboard'!AN$15),
IF('User Dashboard'!Z$12=1,
'User Dashboard'!AN$14)))))</f>
        <v>15.209356603107825</v>
      </c>
      <c r="D143" s="747">
        <f>'User Dashboard'!X$15</f>
        <v>2.2072878851804097E-2</v>
      </c>
      <c r="E143" s="739">
        <f t="shared" si="22"/>
        <v>9.1306104687305725E-8</v>
      </c>
      <c r="F143" s="739">
        <f t="shared" si="20"/>
        <v>9.1306104687305712E-8</v>
      </c>
      <c r="G143" s="749">
        <f>1/'User Dashboard'!X$12</f>
        <v>0.14285714285714285</v>
      </c>
      <c r="H143" s="385">
        <f t="shared" si="23"/>
        <v>445886.56541677093</v>
      </c>
      <c r="I143" s="751">
        <f t="shared" si="26"/>
        <v>11911.508300056357</v>
      </c>
      <c r="J143" s="752">
        <f t="shared" si="24"/>
        <v>3219001.9262831728</v>
      </c>
      <c r="K143" s="385">
        <f t="shared" si="27"/>
        <v>3230913.434583229</v>
      </c>
      <c r="L143" s="752">
        <f t="shared" si="28"/>
        <v>540.73841537768021</v>
      </c>
    </row>
    <row r="144" spans="1:12" x14ac:dyDescent="0.75">
      <c r="A144" s="309">
        <f t="shared" si="25"/>
        <v>20</v>
      </c>
      <c r="B144" s="310">
        <v>137</v>
      </c>
      <c r="C144" s="746">
        <f>IF('User Dashboard'!Z$12=5,
IF('SIR Model Patient Calcs'!B144&lt;'User Dashboard'!AJ$15,'User Dashboard'!AN$14,
IF('SIR Model Patient Calcs'!B144&lt;'User Dashboard'!AJ$16,'User Dashboard'!AN$15,
IF('SIR Model Patient Calcs'!B144&lt;'User Dashboard'!AJ$17,'User Dashboard'!AN$16,
IF('SIR Model Patient Calcs'!B144&lt;'User Dashboard'!AJ$18,'User Dashboard'!AN$17,
'User Dashboard'!AN$18)))),
IF('User Dashboard'!Z$12=4,
IF('SIR Model Patient Calcs'!B144&lt;'User Dashboard'!AJ$15,'User Dashboard'!AN$14,
IF('SIR Model Patient Calcs'!B144&lt;'User Dashboard'!AJ$16,'User Dashboard'!AN$15,
IF('SIR Model Patient Calcs'!B144&lt;'User Dashboard'!AJ$17,'User Dashboard'!AN$16,
'User Dashboard'!AN$17))),
IF('User Dashboard'!Z$12=3,
IF('SIR Model Patient Calcs'!B144&lt;'User Dashboard'!AJ$15,'User Dashboard'!AN$14,
IF('SIR Model Patient Calcs'!B144&lt;'User Dashboard'!AJ$16,'User Dashboard'!AN$15,
'User Dashboard'!AN$16)),
IF('User Dashboard'!Z$12=2,
IF('SIR Model Patient Calcs'!B144&lt;'User Dashboard'!AJ$15,'User Dashboard'!AN$14,
'User Dashboard'!AN$15),
IF('User Dashboard'!Z$12=1,
'User Dashboard'!AN$14)))))</f>
        <v>15.209356603107825</v>
      </c>
      <c r="D144" s="747">
        <f>'User Dashboard'!X$15</f>
        <v>2.2072878851804097E-2</v>
      </c>
      <c r="E144" s="739">
        <f t="shared" si="22"/>
        <v>9.1306104687305725E-8</v>
      </c>
      <c r="F144" s="739">
        <f t="shared" ref="F144:F207" si="29">AVERAGE(E135:E144)</f>
        <v>9.1306104687305712E-8</v>
      </c>
      <c r="G144" s="749">
        <f>1/'User Dashboard'!X$12</f>
        <v>0.14285714285714285</v>
      </c>
      <c r="H144" s="385">
        <f t="shared" si="23"/>
        <v>445401.62212045008</v>
      </c>
      <c r="I144" s="751">
        <f t="shared" si="26"/>
        <v>10694.80755351199</v>
      </c>
      <c r="J144" s="752">
        <f t="shared" si="24"/>
        <v>3220703.5703260382</v>
      </c>
      <c r="K144" s="385">
        <f t="shared" si="27"/>
        <v>3231398.3778795502</v>
      </c>
      <c r="L144" s="752">
        <f t="shared" si="28"/>
        <v>484.94329632120207</v>
      </c>
    </row>
    <row r="145" spans="1:12" x14ac:dyDescent="0.75">
      <c r="A145" s="309">
        <f t="shared" si="25"/>
        <v>20</v>
      </c>
      <c r="B145" s="310">
        <v>138</v>
      </c>
      <c r="C145" s="746">
        <f>IF('User Dashboard'!Z$12=5,
IF('SIR Model Patient Calcs'!B145&lt;'User Dashboard'!AJ$15,'User Dashboard'!AN$14,
IF('SIR Model Patient Calcs'!B145&lt;'User Dashboard'!AJ$16,'User Dashboard'!AN$15,
IF('SIR Model Patient Calcs'!B145&lt;'User Dashboard'!AJ$17,'User Dashboard'!AN$16,
IF('SIR Model Patient Calcs'!B145&lt;'User Dashboard'!AJ$18,'User Dashboard'!AN$17,
'User Dashboard'!AN$18)))),
IF('User Dashboard'!Z$12=4,
IF('SIR Model Patient Calcs'!B145&lt;'User Dashboard'!AJ$15,'User Dashboard'!AN$14,
IF('SIR Model Patient Calcs'!B145&lt;'User Dashboard'!AJ$16,'User Dashboard'!AN$15,
IF('SIR Model Patient Calcs'!B145&lt;'User Dashboard'!AJ$17,'User Dashboard'!AN$16,
'User Dashboard'!AN$17))),
IF('User Dashboard'!Z$12=3,
IF('SIR Model Patient Calcs'!B145&lt;'User Dashboard'!AJ$15,'User Dashboard'!AN$14,
IF('SIR Model Patient Calcs'!B145&lt;'User Dashboard'!AJ$16,'User Dashboard'!AN$15,
'User Dashboard'!AN$16)),
IF('User Dashboard'!Z$12=2,
IF('SIR Model Patient Calcs'!B145&lt;'User Dashboard'!AJ$15,'User Dashboard'!AN$14,
'User Dashboard'!AN$15),
IF('User Dashboard'!Z$12=1,
'User Dashboard'!AN$14)))))</f>
        <v>15.209356603107825</v>
      </c>
      <c r="D145" s="747">
        <f>'User Dashboard'!X$15</f>
        <v>2.2072878851804097E-2</v>
      </c>
      <c r="E145" s="739">
        <f t="shared" si="22"/>
        <v>9.1306104687305712E-8</v>
      </c>
      <c r="F145" s="739">
        <f t="shared" si="29"/>
        <v>9.1306104687305725E-8</v>
      </c>
      <c r="G145" s="749">
        <f>1/'User Dashboard'!X$12</f>
        <v>0.14285714285714285</v>
      </c>
      <c r="H145" s="385">
        <f t="shared" si="23"/>
        <v>444966.68689390953</v>
      </c>
      <c r="I145" s="751">
        <f t="shared" si="26"/>
        <v>9601.9131295508505</v>
      </c>
      <c r="J145" s="752">
        <f t="shared" si="24"/>
        <v>3222231.3999765399</v>
      </c>
      <c r="K145" s="385">
        <f t="shared" si="27"/>
        <v>3231833.3131060908</v>
      </c>
      <c r="L145" s="752">
        <f t="shared" si="28"/>
        <v>434.93522654054686</v>
      </c>
    </row>
    <row r="146" spans="1:12" x14ac:dyDescent="0.75">
      <c r="A146" s="309">
        <f t="shared" si="25"/>
        <v>20</v>
      </c>
      <c r="B146" s="310">
        <v>139</v>
      </c>
      <c r="C146" s="746">
        <f>IF('User Dashboard'!Z$12=5,
IF('SIR Model Patient Calcs'!B146&lt;'User Dashboard'!AJ$15,'User Dashboard'!AN$14,
IF('SIR Model Patient Calcs'!B146&lt;'User Dashboard'!AJ$16,'User Dashboard'!AN$15,
IF('SIR Model Patient Calcs'!B146&lt;'User Dashboard'!AJ$17,'User Dashboard'!AN$16,
IF('SIR Model Patient Calcs'!B146&lt;'User Dashboard'!AJ$18,'User Dashboard'!AN$17,
'User Dashboard'!AN$18)))),
IF('User Dashboard'!Z$12=4,
IF('SIR Model Patient Calcs'!B146&lt;'User Dashboard'!AJ$15,'User Dashboard'!AN$14,
IF('SIR Model Patient Calcs'!B146&lt;'User Dashboard'!AJ$16,'User Dashboard'!AN$15,
IF('SIR Model Patient Calcs'!B146&lt;'User Dashboard'!AJ$17,'User Dashboard'!AN$16,
'User Dashboard'!AN$17))),
IF('User Dashboard'!Z$12=3,
IF('SIR Model Patient Calcs'!B146&lt;'User Dashboard'!AJ$15,'User Dashboard'!AN$14,
IF('SIR Model Patient Calcs'!B146&lt;'User Dashboard'!AJ$16,'User Dashboard'!AN$15,
'User Dashboard'!AN$16)),
IF('User Dashboard'!Z$12=2,
IF('SIR Model Patient Calcs'!B146&lt;'User Dashboard'!AJ$15,'User Dashboard'!AN$14,
'User Dashboard'!AN$15),
IF('User Dashboard'!Z$12=1,
'User Dashboard'!AN$14)))))</f>
        <v>15.209356603107825</v>
      </c>
      <c r="D146" s="747">
        <f>'User Dashboard'!X$15</f>
        <v>2.2072878851804097E-2</v>
      </c>
      <c r="E146" s="739">
        <f t="shared" si="22"/>
        <v>9.1306104687305712E-8</v>
      </c>
      <c r="F146" s="739">
        <f t="shared" si="29"/>
        <v>9.1306104687305725E-8</v>
      </c>
      <c r="G146" s="749">
        <f>1/'User Dashboard'!X$12</f>
        <v>0.14285714285714285</v>
      </c>
      <c r="H146" s="385">
        <f t="shared" si="23"/>
        <v>444576.57868794689</v>
      </c>
      <c r="I146" s="751">
        <f t="shared" si="26"/>
        <v>8620.319459863349</v>
      </c>
      <c r="J146" s="752">
        <f t="shared" si="24"/>
        <v>3223603.1018521902</v>
      </c>
      <c r="K146" s="385">
        <f t="shared" si="27"/>
        <v>3232223.4213120537</v>
      </c>
      <c r="L146" s="752">
        <f t="shared" si="28"/>
        <v>390.10820596292615</v>
      </c>
    </row>
    <row r="147" spans="1:12" x14ac:dyDescent="0.75">
      <c r="A147" s="309">
        <f t="shared" si="25"/>
        <v>20</v>
      </c>
      <c r="B147" s="310">
        <v>140</v>
      </c>
      <c r="C147" s="746">
        <f>IF('User Dashboard'!Z$12=5,
IF('SIR Model Patient Calcs'!B147&lt;'User Dashboard'!AJ$15,'User Dashboard'!AN$14,
IF('SIR Model Patient Calcs'!B147&lt;'User Dashboard'!AJ$16,'User Dashboard'!AN$15,
IF('SIR Model Patient Calcs'!B147&lt;'User Dashboard'!AJ$17,'User Dashboard'!AN$16,
IF('SIR Model Patient Calcs'!B147&lt;'User Dashboard'!AJ$18,'User Dashboard'!AN$17,
'User Dashboard'!AN$18)))),
IF('User Dashboard'!Z$12=4,
IF('SIR Model Patient Calcs'!B147&lt;'User Dashboard'!AJ$15,'User Dashboard'!AN$14,
IF('SIR Model Patient Calcs'!B147&lt;'User Dashboard'!AJ$16,'User Dashboard'!AN$15,
IF('SIR Model Patient Calcs'!B147&lt;'User Dashboard'!AJ$17,'User Dashboard'!AN$16,
'User Dashboard'!AN$17))),
IF('User Dashboard'!Z$12=3,
IF('SIR Model Patient Calcs'!B147&lt;'User Dashboard'!AJ$15,'User Dashboard'!AN$14,
IF('SIR Model Patient Calcs'!B147&lt;'User Dashboard'!AJ$16,'User Dashboard'!AN$15,
'User Dashboard'!AN$16)),
IF('User Dashboard'!Z$12=2,
IF('SIR Model Patient Calcs'!B147&lt;'User Dashboard'!AJ$15,'User Dashboard'!AN$14,
'User Dashboard'!AN$15),
IF('User Dashboard'!Z$12=1,
'User Dashboard'!AN$14)))))</f>
        <v>15.209356603107825</v>
      </c>
      <c r="D147" s="747">
        <f>'User Dashboard'!X$15</f>
        <v>2.2072878851804097E-2</v>
      </c>
      <c r="E147" s="739">
        <f t="shared" si="22"/>
        <v>9.1306104687305712E-8</v>
      </c>
      <c r="F147" s="739">
        <f t="shared" si="29"/>
        <v>9.1306104687305712E-8</v>
      </c>
      <c r="G147" s="749">
        <f>1/'User Dashboard'!X$12</f>
        <v>0.14285714285714285</v>
      </c>
      <c r="H147" s="385">
        <f t="shared" si="23"/>
        <v>444226.65789067914</v>
      </c>
      <c r="I147" s="751">
        <f t="shared" si="26"/>
        <v>7738.766048579193</v>
      </c>
      <c r="J147" s="752">
        <f t="shared" si="24"/>
        <v>3224834.5760607421</v>
      </c>
      <c r="K147" s="385">
        <f t="shared" si="27"/>
        <v>3232573.3421093212</v>
      </c>
      <c r="L147" s="752">
        <f t="shared" si="28"/>
        <v>349.92079726746306</v>
      </c>
    </row>
    <row r="148" spans="1:12" x14ac:dyDescent="0.75">
      <c r="A148" s="309">
        <f t="shared" si="25"/>
        <v>21</v>
      </c>
      <c r="B148" s="310">
        <v>141</v>
      </c>
      <c r="C148" s="746">
        <f>IF('User Dashboard'!Z$12=5,
IF('SIR Model Patient Calcs'!B148&lt;'User Dashboard'!AJ$15,'User Dashboard'!AN$14,
IF('SIR Model Patient Calcs'!B148&lt;'User Dashboard'!AJ$16,'User Dashboard'!AN$15,
IF('SIR Model Patient Calcs'!B148&lt;'User Dashboard'!AJ$17,'User Dashboard'!AN$16,
IF('SIR Model Patient Calcs'!B148&lt;'User Dashboard'!AJ$18,'User Dashboard'!AN$17,
'User Dashboard'!AN$18)))),
IF('User Dashboard'!Z$12=4,
IF('SIR Model Patient Calcs'!B148&lt;'User Dashboard'!AJ$15,'User Dashboard'!AN$14,
IF('SIR Model Patient Calcs'!B148&lt;'User Dashboard'!AJ$16,'User Dashboard'!AN$15,
IF('SIR Model Patient Calcs'!B148&lt;'User Dashboard'!AJ$17,'User Dashboard'!AN$16,
'User Dashboard'!AN$17))),
IF('User Dashboard'!Z$12=3,
IF('SIR Model Patient Calcs'!B148&lt;'User Dashboard'!AJ$15,'User Dashboard'!AN$14,
IF('SIR Model Patient Calcs'!B148&lt;'User Dashboard'!AJ$16,'User Dashboard'!AN$15,
'User Dashboard'!AN$16)),
IF('User Dashboard'!Z$12=2,
IF('SIR Model Patient Calcs'!B148&lt;'User Dashboard'!AJ$15,'User Dashboard'!AN$14,
'User Dashboard'!AN$15),
IF('User Dashboard'!Z$12=1,
'User Dashboard'!AN$14)))))</f>
        <v>15.209356603107825</v>
      </c>
      <c r="D148" s="747">
        <f>'User Dashboard'!X$15</f>
        <v>2.2072878851804097E-2</v>
      </c>
      <c r="E148" s="739">
        <f t="shared" si="22"/>
        <v>9.1306104687305712E-8</v>
      </c>
      <c r="F148" s="739">
        <f t="shared" si="29"/>
        <v>9.1306104687305712E-8</v>
      </c>
      <c r="G148" s="749">
        <f>1/'User Dashboard'!X$12</f>
        <v>0.14285714285714285</v>
      </c>
      <c r="H148" s="385">
        <f t="shared" si="23"/>
        <v>443912.76885214401</v>
      </c>
      <c r="I148" s="751">
        <f t="shared" si="26"/>
        <v>6947.1170801744383</v>
      </c>
      <c r="J148" s="752">
        <f t="shared" si="24"/>
        <v>3225940.1140676821</v>
      </c>
      <c r="K148" s="385">
        <f t="shared" si="27"/>
        <v>3232887.2311478565</v>
      </c>
      <c r="L148" s="752">
        <f t="shared" si="28"/>
        <v>313.88903853530064</v>
      </c>
    </row>
    <row r="149" spans="1:12" x14ac:dyDescent="0.75">
      <c r="A149" s="309">
        <f t="shared" si="25"/>
        <v>21</v>
      </c>
      <c r="B149" s="310">
        <v>142</v>
      </c>
      <c r="C149" s="746">
        <f>IF('User Dashboard'!Z$12=5,
IF('SIR Model Patient Calcs'!B149&lt;'User Dashboard'!AJ$15,'User Dashboard'!AN$14,
IF('SIR Model Patient Calcs'!B149&lt;'User Dashboard'!AJ$16,'User Dashboard'!AN$15,
IF('SIR Model Patient Calcs'!B149&lt;'User Dashboard'!AJ$17,'User Dashboard'!AN$16,
IF('SIR Model Patient Calcs'!B149&lt;'User Dashboard'!AJ$18,'User Dashboard'!AN$17,
'User Dashboard'!AN$18)))),
IF('User Dashboard'!Z$12=4,
IF('SIR Model Patient Calcs'!B149&lt;'User Dashboard'!AJ$15,'User Dashboard'!AN$14,
IF('SIR Model Patient Calcs'!B149&lt;'User Dashboard'!AJ$16,'User Dashboard'!AN$15,
IF('SIR Model Patient Calcs'!B149&lt;'User Dashboard'!AJ$17,'User Dashboard'!AN$16,
'User Dashboard'!AN$17))),
IF('User Dashboard'!Z$12=3,
IF('SIR Model Patient Calcs'!B149&lt;'User Dashboard'!AJ$15,'User Dashboard'!AN$14,
IF('SIR Model Patient Calcs'!B149&lt;'User Dashboard'!AJ$16,'User Dashboard'!AN$15,
'User Dashboard'!AN$16)),
IF('User Dashboard'!Z$12=2,
IF('SIR Model Patient Calcs'!B149&lt;'User Dashboard'!AJ$15,'User Dashboard'!AN$14,
'User Dashboard'!AN$15),
IF('User Dashboard'!Z$12=1,
'User Dashboard'!AN$14)))))</f>
        <v>15.209356603107825</v>
      </c>
      <c r="D149" s="747">
        <f>'User Dashboard'!X$15</f>
        <v>2.2072878851804097E-2</v>
      </c>
      <c r="E149" s="739">
        <f t="shared" si="22"/>
        <v>9.1306104687305712E-8</v>
      </c>
      <c r="F149" s="739">
        <f t="shared" si="29"/>
        <v>9.1306104687305712E-8</v>
      </c>
      <c r="G149" s="749">
        <f>1/'User Dashboard'!X$12</f>
        <v>0.14285714285714285</v>
      </c>
      <c r="H149" s="385">
        <f t="shared" si="23"/>
        <v>443631.18867956731</v>
      </c>
      <c r="I149" s="751">
        <f t="shared" si="26"/>
        <v>6236.2519555833824</v>
      </c>
      <c r="J149" s="752">
        <f t="shared" si="24"/>
        <v>3226932.5593648497</v>
      </c>
      <c r="K149" s="385">
        <f t="shared" si="27"/>
        <v>3233168.8113204329</v>
      </c>
      <c r="L149" s="752">
        <f t="shared" si="28"/>
        <v>281.58017257647589</v>
      </c>
    </row>
    <row r="150" spans="1:12" x14ac:dyDescent="0.75">
      <c r="A150" s="309">
        <f t="shared" si="25"/>
        <v>21</v>
      </c>
      <c r="B150" s="310">
        <v>143</v>
      </c>
      <c r="C150" s="746">
        <f>IF('User Dashboard'!Z$12=5,
IF('SIR Model Patient Calcs'!B150&lt;'User Dashboard'!AJ$15,'User Dashboard'!AN$14,
IF('SIR Model Patient Calcs'!B150&lt;'User Dashboard'!AJ$16,'User Dashboard'!AN$15,
IF('SIR Model Patient Calcs'!B150&lt;'User Dashboard'!AJ$17,'User Dashboard'!AN$16,
IF('SIR Model Patient Calcs'!B150&lt;'User Dashboard'!AJ$18,'User Dashboard'!AN$17,
'User Dashboard'!AN$18)))),
IF('User Dashboard'!Z$12=4,
IF('SIR Model Patient Calcs'!B150&lt;'User Dashboard'!AJ$15,'User Dashboard'!AN$14,
IF('SIR Model Patient Calcs'!B150&lt;'User Dashboard'!AJ$16,'User Dashboard'!AN$15,
IF('SIR Model Patient Calcs'!B150&lt;'User Dashboard'!AJ$17,'User Dashboard'!AN$16,
'User Dashboard'!AN$17))),
IF('User Dashboard'!Z$12=3,
IF('SIR Model Patient Calcs'!B150&lt;'User Dashboard'!AJ$15,'User Dashboard'!AN$14,
IF('SIR Model Patient Calcs'!B150&lt;'User Dashboard'!AJ$16,'User Dashboard'!AN$15,
'User Dashboard'!AN$16)),
IF('User Dashboard'!Z$12=2,
IF('SIR Model Patient Calcs'!B150&lt;'User Dashboard'!AJ$15,'User Dashboard'!AN$14,
'User Dashboard'!AN$15),
IF('User Dashboard'!Z$12=1,
'User Dashboard'!AN$14)))))</f>
        <v>15.209356603107825</v>
      </c>
      <c r="D150" s="747">
        <f>'User Dashboard'!X$15</f>
        <v>2.2072878851804097E-2</v>
      </c>
      <c r="E150" s="739">
        <f t="shared" si="22"/>
        <v>9.1306104687305712E-8</v>
      </c>
      <c r="F150" s="739">
        <f t="shared" si="29"/>
        <v>9.1306104687305712E-8</v>
      </c>
      <c r="G150" s="749">
        <f>1/'User Dashboard'!X$12</f>
        <v>0.14285714285714285</v>
      </c>
      <c r="H150" s="385">
        <f t="shared" si="23"/>
        <v>443378.58158761979</v>
      </c>
      <c r="I150" s="751">
        <f t="shared" si="26"/>
        <v>5597.9659110189605</v>
      </c>
      <c r="J150" s="752">
        <f t="shared" si="24"/>
        <v>3227823.4525013617</v>
      </c>
      <c r="K150" s="385">
        <f t="shared" si="27"/>
        <v>3233421.4184123809</v>
      </c>
      <c r="L150" s="752">
        <f t="shared" si="28"/>
        <v>252.60709194792435</v>
      </c>
    </row>
    <row r="151" spans="1:12" x14ac:dyDescent="0.75">
      <c r="A151" s="309">
        <f t="shared" si="25"/>
        <v>21</v>
      </c>
      <c r="B151" s="310">
        <v>144</v>
      </c>
      <c r="C151" s="746">
        <f>IF('User Dashboard'!Z$12=5,
IF('SIR Model Patient Calcs'!B151&lt;'User Dashboard'!AJ$15,'User Dashboard'!AN$14,
IF('SIR Model Patient Calcs'!B151&lt;'User Dashboard'!AJ$16,'User Dashboard'!AN$15,
IF('SIR Model Patient Calcs'!B151&lt;'User Dashboard'!AJ$17,'User Dashboard'!AN$16,
IF('SIR Model Patient Calcs'!B151&lt;'User Dashboard'!AJ$18,'User Dashboard'!AN$17,
'User Dashboard'!AN$18)))),
IF('User Dashboard'!Z$12=4,
IF('SIR Model Patient Calcs'!B151&lt;'User Dashboard'!AJ$15,'User Dashboard'!AN$14,
IF('SIR Model Patient Calcs'!B151&lt;'User Dashboard'!AJ$16,'User Dashboard'!AN$15,
IF('SIR Model Patient Calcs'!B151&lt;'User Dashboard'!AJ$17,'User Dashboard'!AN$16,
'User Dashboard'!AN$17))),
IF('User Dashboard'!Z$12=3,
IF('SIR Model Patient Calcs'!B151&lt;'User Dashboard'!AJ$15,'User Dashboard'!AN$14,
IF('SIR Model Patient Calcs'!B151&lt;'User Dashboard'!AJ$16,'User Dashboard'!AN$15,
'User Dashboard'!AN$16)),
IF('User Dashboard'!Z$12=2,
IF('SIR Model Patient Calcs'!B151&lt;'User Dashboard'!AJ$15,'User Dashboard'!AN$14,
'User Dashboard'!AN$15),
IF('User Dashboard'!Z$12=1,
'User Dashboard'!AN$14)))))</f>
        <v>15.209356603107825</v>
      </c>
      <c r="D151" s="747">
        <f>'User Dashboard'!X$15</f>
        <v>2.2072878851804097E-2</v>
      </c>
      <c r="E151" s="739">
        <f t="shared" si="22"/>
        <v>9.1306104687305712E-8</v>
      </c>
      <c r="F151" s="739">
        <f t="shared" si="29"/>
        <v>9.1306104687305712E-8</v>
      </c>
      <c r="G151" s="749">
        <f>1/'User Dashboard'!X$12</f>
        <v>0.14285714285714285</v>
      </c>
      <c r="H151" s="385">
        <f t="shared" si="23"/>
        <v>443151.95817534754</v>
      </c>
      <c r="I151" s="751">
        <f t="shared" si="26"/>
        <v>5024.879907431352</v>
      </c>
      <c r="J151" s="752">
        <f t="shared" si="24"/>
        <v>3228623.1619172217</v>
      </c>
      <c r="K151" s="385">
        <f t="shared" si="27"/>
        <v>3233648.0418246533</v>
      </c>
      <c r="L151" s="752">
        <f t="shared" si="28"/>
        <v>226.62341227242723</v>
      </c>
    </row>
    <row r="152" spans="1:12" x14ac:dyDescent="0.75">
      <c r="A152" s="309">
        <f t="shared" si="25"/>
        <v>21</v>
      </c>
      <c r="B152" s="310">
        <v>145</v>
      </c>
      <c r="C152" s="746">
        <f>IF('User Dashboard'!Z$12=5,
IF('SIR Model Patient Calcs'!B152&lt;'User Dashboard'!AJ$15,'User Dashboard'!AN$14,
IF('SIR Model Patient Calcs'!B152&lt;'User Dashboard'!AJ$16,'User Dashboard'!AN$15,
IF('SIR Model Patient Calcs'!B152&lt;'User Dashboard'!AJ$17,'User Dashboard'!AN$16,
IF('SIR Model Patient Calcs'!B152&lt;'User Dashboard'!AJ$18,'User Dashboard'!AN$17,
'User Dashboard'!AN$18)))),
IF('User Dashboard'!Z$12=4,
IF('SIR Model Patient Calcs'!B152&lt;'User Dashboard'!AJ$15,'User Dashboard'!AN$14,
IF('SIR Model Patient Calcs'!B152&lt;'User Dashboard'!AJ$16,'User Dashboard'!AN$15,
IF('SIR Model Patient Calcs'!B152&lt;'User Dashboard'!AJ$17,'User Dashboard'!AN$16,
'User Dashboard'!AN$17))),
IF('User Dashboard'!Z$12=3,
IF('SIR Model Patient Calcs'!B152&lt;'User Dashboard'!AJ$15,'User Dashboard'!AN$14,
IF('SIR Model Patient Calcs'!B152&lt;'User Dashboard'!AJ$16,'User Dashboard'!AN$15,
'User Dashboard'!AN$16)),
IF('User Dashboard'!Z$12=2,
IF('SIR Model Patient Calcs'!B152&lt;'User Dashboard'!AJ$15,'User Dashboard'!AN$14,
'User Dashboard'!AN$15),
IF('User Dashboard'!Z$12=1,
'User Dashboard'!AN$14)))))</f>
        <v>15.209356603107825</v>
      </c>
      <c r="D152" s="747">
        <f>'User Dashboard'!X$15</f>
        <v>2.2072878851804097E-2</v>
      </c>
      <c r="E152" s="739">
        <f t="shared" si="22"/>
        <v>9.1306104687305698E-8</v>
      </c>
      <c r="F152" s="739">
        <f t="shared" si="29"/>
        <v>9.1306104687305712E-8</v>
      </c>
      <c r="G152" s="749">
        <f>1/'User Dashboard'!X$12</f>
        <v>0.14285714285714285</v>
      </c>
      <c r="H152" s="385">
        <f t="shared" si="23"/>
        <v>442948.63907718571</v>
      </c>
      <c r="I152" s="751">
        <f t="shared" si="26"/>
        <v>4510.3590188172502</v>
      </c>
      <c r="J152" s="752">
        <f t="shared" si="24"/>
        <v>3229341.0019039977</v>
      </c>
      <c r="K152" s="385">
        <f t="shared" si="27"/>
        <v>3233851.3609228148</v>
      </c>
      <c r="L152" s="752">
        <f t="shared" si="28"/>
        <v>203.31909816153347</v>
      </c>
    </row>
    <row r="153" spans="1:12" x14ac:dyDescent="0.75">
      <c r="A153" s="309">
        <f t="shared" si="25"/>
        <v>21</v>
      </c>
      <c r="B153" s="310">
        <v>146</v>
      </c>
      <c r="C153" s="746">
        <f>IF('User Dashboard'!Z$12=5,
IF('SIR Model Patient Calcs'!B153&lt;'User Dashboard'!AJ$15,'User Dashboard'!AN$14,
IF('SIR Model Patient Calcs'!B153&lt;'User Dashboard'!AJ$16,'User Dashboard'!AN$15,
IF('SIR Model Patient Calcs'!B153&lt;'User Dashboard'!AJ$17,'User Dashboard'!AN$16,
IF('SIR Model Patient Calcs'!B153&lt;'User Dashboard'!AJ$18,'User Dashboard'!AN$17,
'User Dashboard'!AN$18)))),
IF('User Dashboard'!Z$12=4,
IF('SIR Model Patient Calcs'!B153&lt;'User Dashboard'!AJ$15,'User Dashboard'!AN$14,
IF('SIR Model Patient Calcs'!B153&lt;'User Dashboard'!AJ$16,'User Dashboard'!AN$15,
IF('SIR Model Patient Calcs'!B153&lt;'User Dashboard'!AJ$17,'User Dashboard'!AN$16,
'User Dashboard'!AN$17))),
IF('User Dashboard'!Z$12=3,
IF('SIR Model Patient Calcs'!B153&lt;'User Dashboard'!AJ$15,'User Dashboard'!AN$14,
IF('SIR Model Patient Calcs'!B153&lt;'User Dashboard'!AJ$16,'User Dashboard'!AN$15,
'User Dashboard'!AN$16)),
IF('User Dashboard'!Z$12=2,
IF('SIR Model Patient Calcs'!B153&lt;'User Dashboard'!AJ$15,'User Dashboard'!AN$14,
'User Dashboard'!AN$15),
IF('User Dashboard'!Z$12=1,
'User Dashboard'!AN$14)))))</f>
        <v>15.209356603107825</v>
      </c>
      <c r="D153" s="747">
        <f>'User Dashboard'!X$15</f>
        <v>2.2072878851804097E-2</v>
      </c>
      <c r="E153" s="739">
        <f t="shared" si="22"/>
        <v>9.1306104687305712E-8</v>
      </c>
      <c r="F153" s="739">
        <f t="shared" si="29"/>
        <v>9.1306104687305712E-8</v>
      </c>
      <c r="G153" s="749">
        <f>1/'User Dashboard'!X$12</f>
        <v>0.14285714285714285</v>
      </c>
      <c r="H153" s="385">
        <f t="shared" si="23"/>
        <v>442766.22250126308</v>
      </c>
      <c r="I153" s="751">
        <f t="shared" si="26"/>
        <v>4048.4385920517038</v>
      </c>
      <c r="J153" s="752">
        <f t="shared" si="24"/>
        <v>3229985.3389066858</v>
      </c>
      <c r="K153" s="385">
        <f t="shared" si="27"/>
        <v>3234033.7774987374</v>
      </c>
      <c r="L153" s="752">
        <f t="shared" si="28"/>
        <v>182.41657592263073</v>
      </c>
    </row>
    <row r="154" spans="1:12" x14ac:dyDescent="0.75">
      <c r="A154" s="309">
        <f t="shared" si="25"/>
        <v>21</v>
      </c>
      <c r="B154" s="310">
        <v>147</v>
      </c>
      <c r="C154" s="746">
        <f>IF('User Dashboard'!Z$12=5,
IF('SIR Model Patient Calcs'!B154&lt;'User Dashboard'!AJ$15,'User Dashboard'!AN$14,
IF('SIR Model Patient Calcs'!B154&lt;'User Dashboard'!AJ$16,'User Dashboard'!AN$15,
IF('SIR Model Patient Calcs'!B154&lt;'User Dashboard'!AJ$17,'User Dashboard'!AN$16,
IF('SIR Model Patient Calcs'!B154&lt;'User Dashboard'!AJ$18,'User Dashboard'!AN$17,
'User Dashboard'!AN$18)))),
IF('User Dashboard'!Z$12=4,
IF('SIR Model Patient Calcs'!B154&lt;'User Dashboard'!AJ$15,'User Dashboard'!AN$14,
IF('SIR Model Patient Calcs'!B154&lt;'User Dashboard'!AJ$16,'User Dashboard'!AN$15,
IF('SIR Model Patient Calcs'!B154&lt;'User Dashboard'!AJ$17,'User Dashboard'!AN$16,
'User Dashboard'!AN$17))),
IF('User Dashboard'!Z$12=3,
IF('SIR Model Patient Calcs'!B154&lt;'User Dashboard'!AJ$15,'User Dashboard'!AN$14,
IF('SIR Model Patient Calcs'!B154&lt;'User Dashboard'!AJ$16,'User Dashboard'!AN$15,
'User Dashboard'!AN$16)),
IF('User Dashboard'!Z$12=2,
IF('SIR Model Patient Calcs'!B154&lt;'User Dashboard'!AJ$15,'User Dashboard'!AN$14,
'User Dashboard'!AN$15),
IF('User Dashboard'!Z$12=1,
'User Dashboard'!AN$14)))))</f>
        <v>15.209356603107825</v>
      </c>
      <c r="D154" s="747">
        <f>'User Dashboard'!X$15</f>
        <v>2.2072878851804097E-2</v>
      </c>
      <c r="E154" s="739">
        <f t="shared" si="22"/>
        <v>9.1306104687305698E-8</v>
      </c>
      <c r="F154" s="739">
        <f t="shared" si="29"/>
        <v>9.1306104687305712E-8</v>
      </c>
      <c r="G154" s="749">
        <f>1/'User Dashboard'!X$12</f>
        <v>0.14285714285714285</v>
      </c>
      <c r="H154" s="385">
        <f t="shared" si="23"/>
        <v>442602.55522549874</v>
      </c>
      <c r="I154" s="751">
        <f t="shared" si="26"/>
        <v>3633.7574975229713</v>
      </c>
      <c r="J154" s="752">
        <f t="shared" si="24"/>
        <v>3230563.687276979</v>
      </c>
      <c r="K154" s="385">
        <f t="shared" si="27"/>
        <v>3234197.444774502</v>
      </c>
      <c r="L154" s="752">
        <f t="shared" si="28"/>
        <v>163.66727576451376</v>
      </c>
    </row>
    <row r="155" spans="1:12" x14ac:dyDescent="0.75">
      <c r="A155" s="309">
        <f t="shared" si="25"/>
        <v>22</v>
      </c>
      <c r="B155" s="310">
        <v>148</v>
      </c>
      <c r="C155" s="746">
        <f>IF('User Dashboard'!Z$12=5,
IF('SIR Model Patient Calcs'!B155&lt;'User Dashboard'!AJ$15,'User Dashboard'!AN$14,
IF('SIR Model Patient Calcs'!B155&lt;'User Dashboard'!AJ$16,'User Dashboard'!AN$15,
IF('SIR Model Patient Calcs'!B155&lt;'User Dashboard'!AJ$17,'User Dashboard'!AN$16,
IF('SIR Model Patient Calcs'!B155&lt;'User Dashboard'!AJ$18,'User Dashboard'!AN$17,
'User Dashboard'!AN$18)))),
IF('User Dashboard'!Z$12=4,
IF('SIR Model Patient Calcs'!B155&lt;'User Dashboard'!AJ$15,'User Dashboard'!AN$14,
IF('SIR Model Patient Calcs'!B155&lt;'User Dashboard'!AJ$16,'User Dashboard'!AN$15,
IF('SIR Model Patient Calcs'!B155&lt;'User Dashboard'!AJ$17,'User Dashboard'!AN$16,
'User Dashboard'!AN$17))),
IF('User Dashboard'!Z$12=3,
IF('SIR Model Patient Calcs'!B155&lt;'User Dashboard'!AJ$15,'User Dashboard'!AN$14,
IF('SIR Model Patient Calcs'!B155&lt;'User Dashboard'!AJ$16,'User Dashboard'!AN$15,
'User Dashboard'!AN$16)),
IF('User Dashboard'!Z$12=2,
IF('SIR Model Patient Calcs'!B155&lt;'User Dashboard'!AJ$15,'User Dashboard'!AN$14,
'User Dashboard'!AN$15),
IF('User Dashboard'!Z$12=1,
'User Dashboard'!AN$14)))))</f>
        <v>15.209356603107825</v>
      </c>
      <c r="D155" s="747">
        <f>'User Dashboard'!X$15</f>
        <v>2.2072878851804097E-2</v>
      </c>
      <c r="E155" s="739">
        <f t="shared" si="22"/>
        <v>9.1306104687305712E-8</v>
      </c>
      <c r="F155" s="739">
        <f t="shared" si="29"/>
        <v>9.1306104687305712E-8</v>
      </c>
      <c r="G155" s="749">
        <f>1/'User Dashboard'!X$12</f>
        <v>0.14285714285714285</v>
      </c>
      <c r="H155" s="385">
        <f t="shared" si="23"/>
        <v>442455.70667199482</v>
      </c>
      <c r="I155" s="751">
        <f t="shared" si="26"/>
        <v>3261.4978370950457</v>
      </c>
      <c r="J155" s="752">
        <f t="shared" si="24"/>
        <v>3231082.7954909108</v>
      </c>
      <c r="K155" s="385">
        <f t="shared" si="27"/>
        <v>3234344.2933280058</v>
      </c>
      <c r="L155" s="752">
        <f t="shared" si="28"/>
        <v>146.84855350386351</v>
      </c>
    </row>
    <row r="156" spans="1:12" x14ac:dyDescent="0.75">
      <c r="A156" s="309">
        <f t="shared" si="25"/>
        <v>22</v>
      </c>
      <c r="B156" s="310">
        <v>149</v>
      </c>
      <c r="C156" s="746">
        <f>IF('User Dashboard'!Z$12=5,
IF('SIR Model Patient Calcs'!B156&lt;'User Dashboard'!AJ$15,'User Dashboard'!AN$14,
IF('SIR Model Patient Calcs'!B156&lt;'User Dashboard'!AJ$16,'User Dashboard'!AN$15,
IF('SIR Model Patient Calcs'!B156&lt;'User Dashboard'!AJ$17,'User Dashboard'!AN$16,
IF('SIR Model Patient Calcs'!B156&lt;'User Dashboard'!AJ$18,'User Dashboard'!AN$17,
'User Dashboard'!AN$18)))),
IF('User Dashboard'!Z$12=4,
IF('SIR Model Patient Calcs'!B156&lt;'User Dashboard'!AJ$15,'User Dashboard'!AN$14,
IF('SIR Model Patient Calcs'!B156&lt;'User Dashboard'!AJ$16,'User Dashboard'!AN$15,
IF('SIR Model Patient Calcs'!B156&lt;'User Dashboard'!AJ$17,'User Dashboard'!AN$16,
'User Dashboard'!AN$17))),
IF('User Dashboard'!Z$12=3,
IF('SIR Model Patient Calcs'!B156&lt;'User Dashboard'!AJ$15,'User Dashboard'!AN$14,
IF('SIR Model Patient Calcs'!B156&lt;'User Dashboard'!AJ$16,'User Dashboard'!AN$15,
'User Dashboard'!AN$16)),
IF('User Dashboard'!Z$12=2,
IF('SIR Model Patient Calcs'!B156&lt;'User Dashboard'!AJ$15,'User Dashboard'!AN$14,
'User Dashboard'!AN$15),
IF('User Dashboard'!Z$12=1,
'User Dashboard'!AN$14)))))</f>
        <v>15.209356603107825</v>
      </c>
      <c r="D156" s="747">
        <f>'User Dashboard'!X$15</f>
        <v>2.2072878851804097E-2</v>
      </c>
      <c r="E156" s="739">
        <f t="shared" si="22"/>
        <v>9.1306104687305698E-8</v>
      </c>
      <c r="F156" s="739">
        <f t="shared" si="29"/>
        <v>9.1306104687305712E-8</v>
      </c>
      <c r="G156" s="749">
        <f>1/'User Dashboard'!X$12</f>
        <v>0.14285714285714285</v>
      </c>
      <c r="H156" s="385">
        <f t="shared" si="23"/>
        <v>442323.94572395558</v>
      </c>
      <c r="I156" s="751">
        <f t="shared" si="26"/>
        <v>2927.3305226921275</v>
      </c>
      <c r="J156" s="752">
        <f t="shared" si="24"/>
        <v>3231548.7237533531</v>
      </c>
      <c r="K156" s="385">
        <f t="shared" si="27"/>
        <v>3234476.0542760454</v>
      </c>
      <c r="L156" s="752">
        <f t="shared" si="28"/>
        <v>131.76094803959131</v>
      </c>
    </row>
    <row r="157" spans="1:12" x14ac:dyDescent="0.75">
      <c r="A157" s="309">
        <f t="shared" si="25"/>
        <v>22</v>
      </c>
      <c r="B157" s="310">
        <v>150</v>
      </c>
      <c r="C157" s="746">
        <f>IF('User Dashboard'!Z$12=5,
IF('SIR Model Patient Calcs'!B157&lt;'User Dashboard'!AJ$15,'User Dashboard'!AN$14,
IF('SIR Model Patient Calcs'!B157&lt;'User Dashboard'!AJ$16,'User Dashboard'!AN$15,
IF('SIR Model Patient Calcs'!B157&lt;'User Dashboard'!AJ$17,'User Dashboard'!AN$16,
IF('SIR Model Patient Calcs'!B157&lt;'User Dashboard'!AJ$18,'User Dashboard'!AN$17,
'User Dashboard'!AN$18)))),
IF('User Dashboard'!Z$12=4,
IF('SIR Model Patient Calcs'!B157&lt;'User Dashboard'!AJ$15,'User Dashboard'!AN$14,
IF('SIR Model Patient Calcs'!B157&lt;'User Dashboard'!AJ$16,'User Dashboard'!AN$15,
IF('SIR Model Patient Calcs'!B157&lt;'User Dashboard'!AJ$17,'User Dashboard'!AN$16,
'User Dashboard'!AN$17))),
IF('User Dashboard'!Z$12=3,
IF('SIR Model Patient Calcs'!B157&lt;'User Dashboard'!AJ$15,'User Dashboard'!AN$14,
IF('SIR Model Patient Calcs'!B157&lt;'User Dashboard'!AJ$16,'User Dashboard'!AN$15,
'User Dashboard'!AN$16)),
IF('User Dashboard'!Z$12=2,
IF('SIR Model Patient Calcs'!B157&lt;'User Dashboard'!AJ$15,'User Dashboard'!AN$14,
'User Dashboard'!AN$15),
IF('User Dashboard'!Z$12=1,
'User Dashboard'!AN$14)))))</f>
        <v>15.209356603107825</v>
      </c>
      <c r="D157" s="747">
        <f>'User Dashboard'!X$15</f>
        <v>2.2072878851804097E-2</v>
      </c>
      <c r="E157" s="739">
        <f t="shared" si="22"/>
        <v>9.1306104687305712E-8</v>
      </c>
      <c r="F157" s="739">
        <f t="shared" si="29"/>
        <v>9.1306104687305712E-8</v>
      </c>
      <c r="G157" s="749">
        <f>1/'User Dashboard'!X$12</f>
        <v>0.14285714285714285</v>
      </c>
      <c r="H157" s="385">
        <f t="shared" si="23"/>
        <v>442205.71998767857</v>
      </c>
      <c r="I157" s="751">
        <f t="shared" si="26"/>
        <v>2627.3661842988299</v>
      </c>
      <c r="J157" s="752">
        <f t="shared" si="24"/>
        <v>3231966.9138280232</v>
      </c>
      <c r="K157" s="385">
        <f t="shared" si="27"/>
        <v>3234594.2800123221</v>
      </c>
      <c r="L157" s="752">
        <f t="shared" si="28"/>
        <v>118.22573627671227</v>
      </c>
    </row>
    <row r="158" spans="1:12" x14ac:dyDescent="0.75">
      <c r="A158" s="309">
        <f t="shared" si="25"/>
        <v>22</v>
      </c>
      <c r="B158" s="310">
        <v>151</v>
      </c>
      <c r="C158" s="746">
        <f>IF('User Dashboard'!Z$12=5,
IF('SIR Model Patient Calcs'!B158&lt;'User Dashboard'!AJ$15,'User Dashboard'!AN$14,
IF('SIR Model Patient Calcs'!B158&lt;'User Dashboard'!AJ$16,'User Dashboard'!AN$15,
IF('SIR Model Patient Calcs'!B158&lt;'User Dashboard'!AJ$17,'User Dashboard'!AN$16,
IF('SIR Model Patient Calcs'!B158&lt;'User Dashboard'!AJ$18,'User Dashboard'!AN$17,
'User Dashboard'!AN$18)))),
IF('User Dashboard'!Z$12=4,
IF('SIR Model Patient Calcs'!B158&lt;'User Dashboard'!AJ$15,'User Dashboard'!AN$14,
IF('SIR Model Patient Calcs'!B158&lt;'User Dashboard'!AJ$16,'User Dashboard'!AN$15,
IF('SIR Model Patient Calcs'!B158&lt;'User Dashboard'!AJ$17,'User Dashboard'!AN$16,
'User Dashboard'!AN$17))),
IF('User Dashboard'!Z$12=3,
IF('SIR Model Patient Calcs'!B158&lt;'User Dashboard'!AJ$15,'User Dashboard'!AN$14,
IF('SIR Model Patient Calcs'!B158&lt;'User Dashboard'!AJ$16,'User Dashboard'!AN$15,
'User Dashboard'!AN$16)),
IF('User Dashboard'!Z$12=2,
IF('SIR Model Patient Calcs'!B158&lt;'User Dashboard'!AJ$15,'User Dashboard'!AN$14,
'User Dashboard'!AN$15),
IF('User Dashboard'!Z$12=1,
'User Dashboard'!AN$14)))))</f>
        <v>15.209356603107825</v>
      </c>
      <c r="D158" s="747">
        <f>'User Dashboard'!X$15</f>
        <v>2.2072878851804097E-2</v>
      </c>
      <c r="E158" s="739">
        <f t="shared" si="22"/>
        <v>9.1306104687305698E-8</v>
      </c>
      <c r="F158" s="739">
        <f t="shared" si="29"/>
        <v>9.1306104687305712E-8</v>
      </c>
      <c r="G158" s="749">
        <f>1/'User Dashboard'!X$12</f>
        <v>0.14285714285714285</v>
      </c>
      <c r="H158" s="385">
        <f t="shared" si="23"/>
        <v>442099.63723580126</v>
      </c>
      <c r="I158" s="751">
        <f t="shared" si="26"/>
        <v>2358.1109098477564</v>
      </c>
      <c r="J158" s="752">
        <f t="shared" si="24"/>
        <v>3232342.2518543517</v>
      </c>
      <c r="K158" s="385">
        <f t="shared" si="27"/>
        <v>3234700.3627641993</v>
      </c>
      <c r="L158" s="752">
        <f t="shared" si="28"/>
        <v>106.08275187714025</v>
      </c>
    </row>
    <row r="159" spans="1:12" x14ac:dyDescent="0.75">
      <c r="A159" s="309">
        <f t="shared" si="25"/>
        <v>22</v>
      </c>
      <c r="B159" s="310">
        <v>152</v>
      </c>
      <c r="C159" s="746">
        <f>IF('User Dashboard'!Z$12=5,
IF('SIR Model Patient Calcs'!B159&lt;'User Dashboard'!AJ$15,'User Dashboard'!AN$14,
IF('SIR Model Patient Calcs'!B159&lt;'User Dashboard'!AJ$16,'User Dashboard'!AN$15,
IF('SIR Model Patient Calcs'!B159&lt;'User Dashboard'!AJ$17,'User Dashboard'!AN$16,
IF('SIR Model Patient Calcs'!B159&lt;'User Dashboard'!AJ$18,'User Dashboard'!AN$17,
'User Dashboard'!AN$18)))),
IF('User Dashboard'!Z$12=4,
IF('SIR Model Patient Calcs'!B159&lt;'User Dashboard'!AJ$15,'User Dashboard'!AN$14,
IF('SIR Model Patient Calcs'!B159&lt;'User Dashboard'!AJ$16,'User Dashboard'!AN$15,
IF('SIR Model Patient Calcs'!B159&lt;'User Dashboard'!AJ$17,'User Dashboard'!AN$16,
'User Dashboard'!AN$17))),
IF('User Dashboard'!Z$12=3,
IF('SIR Model Patient Calcs'!B159&lt;'User Dashboard'!AJ$15,'User Dashboard'!AN$14,
IF('SIR Model Patient Calcs'!B159&lt;'User Dashboard'!AJ$16,'User Dashboard'!AN$15,
'User Dashboard'!AN$16)),
IF('User Dashboard'!Z$12=2,
IF('SIR Model Patient Calcs'!B159&lt;'User Dashboard'!AJ$15,'User Dashboard'!AN$14,
'User Dashboard'!AN$15),
IF('User Dashboard'!Z$12=1,
'User Dashboard'!AN$14)))))</f>
        <v>15.209356603107825</v>
      </c>
      <c r="D159" s="747">
        <f>'User Dashboard'!X$15</f>
        <v>2.2072878851804097E-2</v>
      </c>
      <c r="E159" s="739">
        <f t="shared" si="22"/>
        <v>9.1306104687305712E-8</v>
      </c>
      <c r="F159" s="739">
        <f t="shared" si="29"/>
        <v>9.1306104687305712E-8</v>
      </c>
      <c r="G159" s="749">
        <f>1/'User Dashboard'!X$12</f>
        <v>0.14285714285714285</v>
      </c>
      <c r="H159" s="385">
        <f t="shared" si="23"/>
        <v>442004.44879756914</v>
      </c>
      <c r="I159" s="751">
        <f t="shared" si="26"/>
        <v>2116.4263609587629</v>
      </c>
      <c r="J159" s="752">
        <f t="shared" si="24"/>
        <v>3232679.1248414726</v>
      </c>
      <c r="K159" s="385">
        <f t="shared" si="27"/>
        <v>3234795.5512024313</v>
      </c>
      <c r="L159" s="752">
        <f t="shared" si="28"/>
        <v>95.188438232056797</v>
      </c>
    </row>
    <row r="160" spans="1:12" x14ac:dyDescent="0.75">
      <c r="A160" s="309">
        <f t="shared" si="25"/>
        <v>22</v>
      </c>
      <c r="B160" s="310">
        <v>153</v>
      </c>
      <c r="C160" s="746">
        <f>IF('User Dashboard'!Z$12=5,
IF('SIR Model Patient Calcs'!B160&lt;'User Dashboard'!AJ$15,'User Dashboard'!AN$14,
IF('SIR Model Patient Calcs'!B160&lt;'User Dashboard'!AJ$16,'User Dashboard'!AN$15,
IF('SIR Model Patient Calcs'!B160&lt;'User Dashboard'!AJ$17,'User Dashboard'!AN$16,
IF('SIR Model Patient Calcs'!B160&lt;'User Dashboard'!AJ$18,'User Dashboard'!AN$17,
'User Dashboard'!AN$18)))),
IF('User Dashboard'!Z$12=4,
IF('SIR Model Patient Calcs'!B160&lt;'User Dashboard'!AJ$15,'User Dashboard'!AN$14,
IF('SIR Model Patient Calcs'!B160&lt;'User Dashboard'!AJ$16,'User Dashboard'!AN$15,
IF('SIR Model Patient Calcs'!B160&lt;'User Dashboard'!AJ$17,'User Dashboard'!AN$16,
'User Dashboard'!AN$17))),
IF('User Dashboard'!Z$12=3,
IF('SIR Model Patient Calcs'!B160&lt;'User Dashboard'!AJ$15,'User Dashboard'!AN$14,
IF('SIR Model Patient Calcs'!B160&lt;'User Dashboard'!AJ$16,'User Dashboard'!AN$15,
'User Dashboard'!AN$16)),
IF('User Dashboard'!Z$12=2,
IF('SIR Model Patient Calcs'!B160&lt;'User Dashboard'!AJ$15,'User Dashboard'!AN$14,
'User Dashboard'!AN$15),
IF('User Dashboard'!Z$12=1,
'User Dashboard'!AN$14)))))</f>
        <v>15.209356603107825</v>
      </c>
      <c r="D160" s="747">
        <f>'User Dashboard'!X$15</f>
        <v>2.2072878851804097E-2</v>
      </c>
      <c r="E160" s="739">
        <f t="shared" si="22"/>
        <v>9.1306104687305712E-8</v>
      </c>
      <c r="F160" s="739">
        <f t="shared" si="29"/>
        <v>9.1306104687305712E-8</v>
      </c>
      <c r="G160" s="749">
        <f>1/'User Dashboard'!X$12</f>
        <v>0.14285714285714285</v>
      </c>
      <c r="H160" s="385">
        <f t="shared" si="23"/>
        <v>441919.03468795225</v>
      </c>
      <c r="I160" s="751">
        <f t="shared" si="26"/>
        <v>1899.4938475815616</v>
      </c>
      <c r="J160" s="752">
        <f t="shared" si="24"/>
        <v>3232981.4714644668</v>
      </c>
      <c r="K160" s="385">
        <f t="shared" si="27"/>
        <v>3234880.9653120483</v>
      </c>
      <c r="L160" s="752">
        <f t="shared" si="28"/>
        <v>85.414109617006034</v>
      </c>
    </row>
    <row r="161" spans="1:12" x14ac:dyDescent="0.75">
      <c r="A161" s="309">
        <f t="shared" si="25"/>
        <v>22</v>
      </c>
      <c r="B161" s="310">
        <v>154</v>
      </c>
      <c r="C161" s="746">
        <f>IF('User Dashboard'!Z$12=5,
IF('SIR Model Patient Calcs'!B161&lt;'User Dashboard'!AJ$15,'User Dashboard'!AN$14,
IF('SIR Model Patient Calcs'!B161&lt;'User Dashboard'!AJ$16,'User Dashboard'!AN$15,
IF('SIR Model Patient Calcs'!B161&lt;'User Dashboard'!AJ$17,'User Dashboard'!AN$16,
IF('SIR Model Patient Calcs'!B161&lt;'User Dashboard'!AJ$18,'User Dashboard'!AN$17,
'User Dashboard'!AN$18)))),
IF('User Dashboard'!Z$12=4,
IF('SIR Model Patient Calcs'!B161&lt;'User Dashboard'!AJ$15,'User Dashboard'!AN$14,
IF('SIR Model Patient Calcs'!B161&lt;'User Dashboard'!AJ$16,'User Dashboard'!AN$15,
IF('SIR Model Patient Calcs'!B161&lt;'User Dashboard'!AJ$17,'User Dashboard'!AN$16,
'User Dashboard'!AN$17))),
IF('User Dashboard'!Z$12=3,
IF('SIR Model Patient Calcs'!B161&lt;'User Dashboard'!AJ$15,'User Dashboard'!AN$14,
IF('SIR Model Patient Calcs'!B161&lt;'User Dashboard'!AJ$16,'User Dashboard'!AN$15,
'User Dashboard'!AN$16)),
IF('User Dashboard'!Z$12=2,
IF('SIR Model Patient Calcs'!B161&lt;'User Dashboard'!AJ$15,'User Dashboard'!AN$14,
'User Dashboard'!AN$15),
IF('User Dashboard'!Z$12=1,
'User Dashboard'!AN$14)))))</f>
        <v>15.209356603107825</v>
      </c>
      <c r="D161" s="747">
        <f>'User Dashboard'!X$15</f>
        <v>2.2072878851804097E-2</v>
      </c>
      <c r="E161" s="739">
        <f t="shared" si="22"/>
        <v>9.1306104687305712E-8</v>
      </c>
      <c r="F161" s="739">
        <f t="shared" si="29"/>
        <v>9.1306104687305712E-8</v>
      </c>
      <c r="G161" s="749">
        <f>1/'User Dashboard'!X$12</f>
        <v>0.14285714285714285</v>
      </c>
      <c r="H161" s="385">
        <f t="shared" si="23"/>
        <v>441842.39029042999</v>
      </c>
      <c r="I161" s="751">
        <f t="shared" si="26"/>
        <v>1704.781981163622</v>
      </c>
      <c r="J161" s="752">
        <f t="shared" si="24"/>
        <v>3233252.827728407</v>
      </c>
      <c r="K161" s="385">
        <f t="shared" si="27"/>
        <v>3234957.6097095707</v>
      </c>
      <c r="L161" s="752">
        <f t="shared" si="28"/>
        <v>76.644397522322834</v>
      </c>
    </row>
    <row r="162" spans="1:12" x14ac:dyDescent="0.75">
      <c r="A162" s="309">
        <f t="shared" si="25"/>
        <v>23</v>
      </c>
      <c r="B162" s="310">
        <v>155</v>
      </c>
      <c r="C162" s="746">
        <f>IF('User Dashboard'!Z$12=5,
IF('SIR Model Patient Calcs'!B162&lt;'User Dashboard'!AJ$15,'User Dashboard'!AN$14,
IF('SIR Model Patient Calcs'!B162&lt;'User Dashboard'!AJ$16,'User Dashboard'!AN$15,
IF('SIR Model Patient Calcs'!B162&lt;'User Dashboard'!AJ$17,'User Dashboard'!AN$16,
IF('SIR Model Patient Calcs'!B162&lt;'User Dashboard'!AJ$18,'User Dashboard'!AN$17,
'User Dashboard'!AN$18)))),
IF('User Dashboard'!Z$12=4,
IF('SIR Model Patient Calcs'!B162&lt;'User Dashboard'!AJ$15,'User Dashboard'!AN$14,
IF('SIR Model Patient Calcs'!B162&lt;'User Dashboard'!AJ$16,'User Dashboard'!AN$15,
IF('SIR Model Patient Calcs'!B162&lt;'User Dashboard'!AJ$17,'User Dashboard'!AN$16,
'User Dashboard'!AN$17))),
IF('User Dashboard'!Z$12=3,
IF('SIR Model Patient Calcs'!B162&lt;'User Dashboard'!AJ$15,'User Dashboard'!AN$14,
IF('SIR Model Patient Calcs'!B162&lt;'User Dashboard'!AJ$16,'User Dashboard'!AN$15,
'User Dashboard'!AN$16)),
IF('User Dashboard'!Z$12=2,
IF('SIR Model Patient Calcs'!B162&lt;'User Dashboard'!AJ$15,'User Dashboard'!AN$14,
'User Dashboard'!AN$15),
IF('User Dashboard'!Z$12=1,
'User Dashboard'!AN$14)))))</f>
        <v>15.209356603107825</v>
      </c>
      <c r="D162" s="747">
        <f>'User Dashboard'!X$15</f>
        <v>2.2072878851804097E-2</v>
      </c>
      <c r="E162" s="739">
        <f t="shared" si="22"/>
        <v>9.1306104687305712E-8</v>
      </c>
      <c r="F162" s="739">
        <f t="shared" si="29"/>
        <v>9.1306104687305712E-8</v>
      </c>
      <c r="G162" s="749">
        <f>1/'User Dashboard'!X$12</f>
        <v>0.14285714285714285</v>
      </c>
      <c r="H162" s="385">
        <f t="shared" si="23"/>
        <v>441773.61442858266</v>
      </c>
      <c r="I162" s="751">
        <f t="shared" si="26"/>
        <v>1530.0175599875552</v>
      </c>
      <c r="J162" s="752">
        <f t="shared" si="24"/>
        <v>3233496.3680114304</v>
      </c>
      <c r="K162" s="385">
        <f t="shared" si="27"/>
        <v>3235026.3855714179</v>
      </c>
      <c r="L162" s="752">
        <f t="shared" si="28"/>
        <v>68.775861847214401</v>
      </c>
    </row>
    <row r="163" spans="1:12" x14ac:dyDescent="0.75">
      <c r="A163" s="309">
        <f t="shared" si="25"/>
        <v>23</v>
      </c>
      <c r="B163" s="310">
        <v>156</v>
      </c>
      <c r="C163" s="746">
        <f>IF('User Dashboard'!Z$12=5,
IF('SIR Model Patient Calcs'!B163&lt;'User Dashboard'!AJ$15,'User Dashboard'!AN$14,
IF('SIR Model Patient Calcs'!B163&lt;'User Dashboard'!AJ$16,'User Dashboard'!AN$15,
IF('SIR Model Patient Calcs'!B163&lt;'User Dashboard'!AJ$17,'User Dashboard'!AN$16,
IF('SIR Model Patient Calcs'!B163&lt;'User Dashboard'!AJ$18,'User Dashboard'!AN$17,
'User Dashboard'!AN$18)))),
IF('User Dashboard'!Z$12=4,
IF('SIR Model Patient Calcs'!B163&lt;'User Dashboard'!AJ$15,'User Dashboard'!AN$14,
IF('SIR Model Patient Calcs'!B163&lt;'User Dashboard'!AJ$16,'User Dashboard'!AN$15,
IF('SIR Model Patient Calcs'!B163&lt;'User Dashboard'!AJ$17,'User Dashboard'!AN$16,
'User Dashboard'!AN$17))),
IF('User Dashboard'!Z$12=3,
IF('SIR Model Patient Calcs'!B163&lt;'User Dashboard'!AJ$15,'User Dashboard'!AN$14,
IF('SIR Model Patient Calcs'!B163&lt;'User Dashboard'!AJ$16,'User Dashboard'!AN$15,
'User Dashboard'!AN$16)),
IF('User Dashboard'!Z$12=2,
IF('SIR Model Patient Calcs'!B163&lt;'User Dashboard'!AJ$15,'User Dashboard'!AN$14,
'User Dashboard'!AN$15),
IF('User Dashboard'!Z$12=1,
'User Dashboard'!AN$14)))))</f>
        <v>15.209356603107825</v>
      </c>
      <c r="D163" s="747">
        <f>'User Dashboard'!X$15</f>
        <v>2.2072878851804097E-2</v>
      </c>
      <c r="E163" s="739">
        <f t="shared" si="22"/>
        <v>9.1306104687305712E-8</v>
      </c>
      <c r="F163" s="739">
        <f t="shared" si="29"/>
        <v>9.1306104687305712E-8</v>
      </c>
      <c r="G163" s="749">
        <f>1/'User Dashboard'!X$12</f>
        <v>0.14285714285714285</v>
      </c>
      <c r="H163" s="385">
        <f t="shared" si="23"/>
        <v>441711.8986796047</v>
      </c>
      <c r="I163" s="751">
        <f t="shared" si="26"/>
        <v>1373.1593718244312</v>
      </c>
      <c r="J163" s="752">
        <f t="shared" si="24"/>
        <v>3233714.9419485712</v>
      </c>
      <c r="K163" s="385">
        <f t="shared" si="27"/>
        <v>3235088.1013203957</v>
      </c>
      <c r="L163" s="752">
        <f t="shared" si="28"/>
        <v>61.715748977847397</v>
      </c>
    </row>
    <row r="164" spans="1:12" x14ac:dyDescent="0.75">
      <c r="A164" s="309">
        <f t="shared" si="25"/>
        <v>23</v>
      </c>
      <c r="B164" s="310">
        <v>157</v>
      </c>
      <c r="C164" s="746">
        <f>IF('User Dashboard'!Z$12=5,
IF('SIR Model Patient Calcs'!B164&lt;'User Dashboard'!AJ$15,'User Dashboard'!AN$14,
IF('SIR Model Patient Calcs'!B164&lt;'User Dashboard'!AJ$16,'User Dashboard'!AN$15,
IF('SIR Model Patient Calcs'!B164&lt;'User Dashboard'!AJ$17,'User Dashboard'!AN$16,
IF('SIR Model Patient Calcs'!B164&lt;'User Dashboard'!AJ$18,'User Dashboard'!AN$17,
'User Dashboard'!AN$18)))),
IF('User Dashboard'!Z$12=4,
IF('SIR Model Patient Calcs'!B164&lt;'User Dashboard'!AJ$15,'User Dashboard'!AN$14,
IF('SIR Model Patient Calcs'!B164&lt;'User Dashboard'!AJ$16,'User Dashboard'!AN$15,
IF('SIR Model Patient Calcs'!B164&lt;'User Dashboard'!AJ$17,'User Dashboard'!AN$16,
'User Dashboard'!AN$17))),
IF('User Dashboard'!Z$12=3,
IF('SIR Model Patient Calcs'!B164&lt;'User Dashboard'!AJ$15,'User Dashboard'!AN$14,
IF('SIR Model Patient Calcs'!B164&lt;'User Dashboard'!AJ$16,'User Dashboard'!AN$15,
'User Dashboard'!AN$16)),
IF('User Dashboard'!Z$12=2,
IF('SIR Model Patient Calcs'!B164&lt;'User Dashboard'!AJ$15,'User Dashboard'!AN$14,
'User Dashboard'!AN$15),
IF('User Dashboard'!Z$12=1,
'User Dashboard'!AN$14)))))</f>
        <v>15.209356603107825</v>
      </c>
      <c r="D164" s="747">
        <f>'User Dashboard'!X$15</f>
        <v>2.2072878851804097E-2</v>
      </c>
      <c r="E164" s="739">
        <f t="shared" si="22"/>
        <v>9.1306104687305712E-8</v>
      </c>
      <c r="F164" s="739">
        <f t="shared" si="29"/>
        <v>9.1306104687305712E-8</v>
      </c>
      <c r="G164" s="749">
        <f>1/'User Dashboard'!X$12</f>
        <v>0.14285714285714285</v>
      </c>
      <c r="H164" s="385">
        <f t="shared" si="23"/>
        <v>441656.51779878064</v>
      </c>
      <c r="I164" s="751">
        <f t="shared" si="26"/>
        <v>1232.3746281021668</v>
      </c>
      <c r="J164" s="752">
        <f t="shared" si="24"/>
        <v>3233911.1075731176</v>
      </c>
      <c r="K164" s="385">
        <f t="shared" si="27"/>
        <v>3235143.4822012195</v>
      </c>
      <c r="L164" s="752">
        <f t="shared" si="28"/>
        <v>55.380880823824555</v>
      </c>
    </row>
    <row r="165" spans="1:12" x14ac:dyDescent="0.75">
      <c r="A165" s="309">
        <f t="shared" si="25"/>
        <v>23</v>
      </c>
      <c r="B165" s="310">
        <v>158</v>
      </c>
      <c r="C165" s="746">
        <f>IF('User Dashboard'!Z$12=5,
IF('SIR Model Patient Calcs'!B165&lt;'User Dashboard'!AJ$15,'User Dashboard'!AN$14,
IF('SIR Model Patient Calcs'!B165&lt;'User Dashboard'!AJ$16,'User Dashboard'!AN$15,
IF('SIR Model Patient Calcs'!B165&lt;'User Dashboard'!AJ$17,'User Dashboard'!AN$16,
IF('SIR Model Patient Calcs'!B165&lt;'User Dashboard'!AJ$18,'User Dashboard'!AN$17,
'User Dashboard'!AN$18)))),
IF('User Dashboard'!Z$12=4,
IF('SIR Model Patient Calcs'!B165&lt;'User Dashboard'!AJ$15,'User Dashboard'!AN$14,
IF('SIR Model Patient Calcs'!B165&lt;'User Dashboard'!AJ$16,'User Dashboard'!AN$15,
IF('SIR Model Patient Calcs'!B165&lt;'User Dashboard'!AJ$17,'User Dashboard'!AN$16,
'User Dashboard'!AN$17))),
IF('User Dashboard'!Z$12=3,
IF('SIR Model Patient Calcs'!B165&lt;'User Dashboard'!AJ$15,'User Dashboard'!AN$14,
IF('SIR Model Patient Calcs'!B165&lt;'User Dashboard'!AJ$16,'User Dashboard'!AN$15,
'User Dashboard'!AN$16)),
IF('User Dashboard'!Z$12=2,
IF('SIR Model Patient Calcs'!B165&lt;'User Dashboard'!AJ$15,'User Dashboard'!AN$14,
'User Dashboard'!AN$15),
IF('User Dashboard'!Z$12=1,
'User Dashboard'!AN$14)))))</f>
        <v>15.209356603107825</v>
      </c>
      <c r="D165" s="747">
        <f>'User Dashboard'!X$15</f>
        <v>2.2072878851804097E-2</v>
      </c>
      <c r="E165" s="739">
        <f t="shared" si="22"/>
        <v>9.1306104687305712E-8</v>
      </c>
      <c r="F165" s="739">
        <f t="shared" si="29"/>
        <v>9.1306104687305712E-8</v>
      </c>
      <c r="G165" s="749">
        <f>1/'User Dashboard'!X$12</f>
        <v>0.14285714285714285</v>
      </c>
      <c r="H165" s="385">
        <f t="shared" si="23"/>
        <v>441606.82113809173</v>
      </c>
      <c r="I165" s="751">
        <f t="shared" si="26"/>
        <v>1106.0177704907812</v>
      </c>
      <c r="J165" s="752">
        <f t="shared" si="24"/>
        <v>3234087.161091418</v>
      </c>
      <c r="K165" s="385">
        <f t="shared" si="27"/>
        <v>3235193.1788619086</v>
      </c>
      <c r="L165" s="752">
        <f t="shared" si="28"/>
        <v>49.696660689078271</v>
      </c>
    </row>
    <row r="166" spans="1:12" x14ac:dyDescent="0.75">
      <c r="A166" s="309">
        <f t="shared" si="25"/>
        <v>23</v>
      </c>
      <c r="B166" s="310">
        <v>159</v>
      </c>
      <c r="C166" s="746">
        <f>IF('User Dashboard'!Z$12=5,
IF('SIR Model Patient Calcs'!B166&lt;'User Dashboard'!AJ$15,'User Dashboard'!AN$14,
IF('SIR Model Patient Calcs'!B166&lt;'User Dashboard'!AJ$16,'User Dashboard'!AN$15,
IF('SIR Model Patient Calcs'!B166&lt;'User Dashboard'!AJ$17,'User Dashboard'!AN$16,
IF('SIR Model Patient Calcs'!B166&lt;'User Dashboard'!AJ$18,'User Dashboard'!AN$17,
'User Dashboard'!AN$18)))),
IF('User Dashboard'!Z$12=4,
IF('SIR Model Patient Calcs'!B166&lt;'User Dashboard'!AJ$15,'User Dashboard'!AN$14,
IF('SIR Model Patient Calcs'!B166&lt;'User Dashboard'!AJ$16,'User Dashboard'!AN$15,
IF('SIR Model Patient Calcs'!B166&lt;'User Dashboard'!AJ$17,'User Dashboard'!AN$16,
'User Dashboard'!AN$17))),
IF('User Dashboard'!Z$12=3,
IF('SIR Model Patient Calcs'!B166&lt;'User Dashboard'!AJ$15,'User Dashboard'!AN$14,
IF('SIR Model Patient Calcs'!B166&lt;'User Dashboard'!AJ$16,'User Dashboard'!AN$15,
'User Dashboard'!AN$16)),
IF('User Dashboard'!Z$12=2,
IF('SIR Model Patient Calcs'!B166&lt;'User Dashboard'!AJ$15,'User Dashboard'!AN$14,
'User Dashboard'!AN$15),
IF('User Dashboard'!Z$12=1,
'User Dashboard'!AN$14)))))</f>
        <v>15.209356603107825</v>
      </c>
      <c r="D166" s="747">
        <f>'User Dashboard'!X$15</f>
        <v>2.2072878851804097E-2</v>
      </c>
      <c r="E166" s="739">
        <f t="shared" si="22"/>
        <v>9.1306104687305712E-8</v>
      </c>
      <c r="F166" s="739">
        <f t="shared" si="29"/>
        <v>9.1306104687305712E-8</v>
      </c>
      <c r="G166" s="749">
        <f>1/'User Dashboard'!X$12</f>
        <v>0.14285714285714285</v>
      </c>
      <c r="H166" s="385">
        <f t="shared" si="23"/>
        <v>441562.22495466325</v>
      </c>
      <c r="I166" s="751">
        <f t="shared" si="26"/>
        <v>992.61141527774191</v>
      </c>
      <c r="J166" s="752">
        <f t="shared" si="24"/>
        <v>3234245.1636300595</v>
      </c>
      <c r="K166" s="385">
        <f t="shared" si="27"/>
        <v>3235237.7750453372</v>
      </c>
      <c r="L166" s="752">
        <f t="shared" si="28"/>
        <v>44.596183428540826</v>
      </c>
    </row>
    <row r="167" spans="1:12" x14ac:dyDescent="0.75">
      <c r="A167" s="309">
        <f t="shared" si="25"/>
        <v>23</v>
      </c>
      <c r="B167" s="310">
        <v>160</v>
      </c>
      <c r="C167" s="746">
        <f>IF('User Dashboard'!Z$12=5,
IF('SIR Model Patient Calcs'!B167&lt;'User Dashboard'!AJ$15,'User Dashboard'!AN$14,
IF('SIR Model Patient Calcs'!B167&lt;'User Dashboard'!AJ$16,'User Dashboard'!AN$15,
IF('SIR Model Patient Calcs'!B167&lt;'User Dashboard'!AJ$17,'User Dashboard'!AN$16,
IF('SIR Model Patient Calcs'!B167&lt;'User Dashboard'!AJ$18,'User Dashboard'!AN$17,
'User Dashboard'!AN$18)))),
IF('User Dashboard'!Z$12=4,
IF('SIR Model Patient Calcs'!B167&lt;'User Dashboard'!AJ$15,'User Dashboard'!AN$14,
IF('SIR Model Patient Calcs'!B167&lt;'User Dashboard'!AJ$16,'User Dashboard'!AN$15,
IF('SIR Model Patient Calcs'!B167&lt;'User Dashboard'!AJ$17,'User Dashboard'!AN$16,
'User Dashboard'!AN$17))),
IF('User Dashboard'!Z$12=3,
IF('SIR Model Patient Calcs'!B167&lt;'User Dashboard'!AJ$15,'User Dashboard'!AN$14,
IF('SIR Model Patient Calcs'!B167&lt;'User Dashboard'!AJ$16,'User Dashboard'!AN$15,
'User Dashboard'!AN$16)),
IF('User Dashboard'!Z$12=2,
IF('SIR Model Patient Calcs'!B167&lt;'User Dashboard'!AJ$15,'User Dashboard'!AN$14,
'User Dashboard'!AN$15),
IF('User Dashboard'!Z$12=1,
'User Dashboard'!AN$14)))))</f>
        <v>15.209356603107825</v>
      </c>
      <c r="D167" s="747">
        <f>'User Dashboard'!X$15</f>
        <v>2.2072878851804097E-2</v>
      </c>
      <c r="E167" s="739">
        <f t="shared" si="22"/>
        <v>9.1306104687305712E-8</v>
      </c>
      <c r="F167" s="739">
        <f t="shared" si="29"/>
        <v>9.1306104687305712E-8</v>
      </c>
      <c r="G167" s="749">
        <f>1/'User Dashboard'!X$12</f>
        <v>0.14285714285714285</v>
      </c>
      <c r="H167" s="385">
        <f t="shared" si="23"/>
        <v>441522.20551590994</v>
      </c>
      <c r="I167" s="751">
        <f t="shared" si="26"/>
        <v>890.82922327707274</v>
      </c>
      <c r="J167" s="752">
        <f t="shared" si="24"/>
        <v>3234386.9652608135</v>
      </c>
      <c r="K167" s="385">
        <f t="shared" si="27"/>
        <v>3235277.7944840905</v>
      </c>
      <c r="L167" s="752">
        <f t="shared" si="28"/>
        <v>40.019438753370196</v>
      </c>
    </row>
    <row r="168" spans="1:12" x14ac:dyDescent="0.75">
      <c r="A168" s="309">
        <f t="shared" si="25"/>
        <v>23</v>
      </c>
      <c r="B168" s="310">
        <v>161</v>
      </c>
      <c r="C168" s="746">
        <f>IF('User Dashboard'!Z$12=5,
IF('SIR Model Patient Calcs'!B168&lt;'User Dashboard'!AJ$15,'User Dashboard'!AN$14,
IF('SIR Model Patient Calcs'!B168&lt;'User Dashboard'!AJ$16,'User Dashboard'!AN$15,
IF('SIR Model Patient Calcs'!B168&lt;'User Dashboard'!AJ$17,'User Dashboard'!AN$16,
IF('SIR Model Patient Calcs'!B168&lt;'User Dashboard'!AJ$18,'User Dashboard'!AN$17,
'User Dashboard'!AN$18)))),
IF('User Dashboard'!Z$12=4,
IF('SIR Model Patient Calcs'!B168&lt;'User Dashboard'!AJ$15,'User Dashboard'!AN$14,
IF('SIR Model Patient Calcs'!B168&lt;'User Dashboard'!AJ$16,'User Dashboard'!AN$15,
IF('SIR Model Patient Calcs'!B168&lt;'User Dashboard'!AJ$17,'User Dashboard'!AN$16,
'User Dashboard'!AN$17))),
IF('User Dashboard'!Z$12=3,
IF('SIR Model Patient Calcs'!B168&lt;'User Dashboard'!AJ$15,'User Dashboard'!AN$14,
IF('SIR Model Patient Calcs'!B168&lt;'User Dashboard'!AJ$16,'User Dashboard'!AN$15,
'User Dashboard'!AN$16)),
IF('User Dashboard'!Z$12=2,
IF('SIR Model Patient Calcs'!B168&lt;'User Dashboard'!AJ$15,'User Dashboard'!AN$14,
'User Dashboard'!AN$15),
IF('User Dashboard'!Z$12=1,
'User Dashboard'!AN$14)))))</f>
        <v>15.209356603107825</v>
      </c>
      <c r="D168" s="747">
        <f>'User Dashboard'!X$15</f>
        <v>2.2072878851804097E-2</v>
      </c>
      <c r="E168" s="739">
        <f t="shared" si="22"/>
        <v>9.1306104687305698E-8</v>
      </c>
      <c r="F168" s="739">
        <f t="shared" si="29"/>
        <v>9.1306104687305712E-8</v>
      </c>
      <c r="G168" s="749">
        <f>1/'User Dashboard'!X$12</f>
        <v>0.14285714285714285</v>
      </c>
      <c r="H168" s="385">
        <f t="shared" si="23"/>
        <v>441486.29291815456</v>
      </c>
      <c r="I168" s="751">
        <f t="shared" si="26"/>
        <v>799.48050342142403</v>
      </c>
      <c r="J168" s="752">
        <f t="shared" si="24"/>
        <v>3234514.2265784247</v>
      </c>
      <c r="K168" s="385">
        <f t="shared" si="27"/>
        <v>3235313.707081846</v>
      </c>
      <c r="L168" s="752">
        <f t="shared" si="28"/>
        <v>35.912597755435854</v>
      </c>
    </row>
    <row r="169" spans="1:12" x14ac:dyDescent="0.75">
      <c r="A169" s="309">
        <f t="shared" si="25"/>
        <v>24</v>
      </c>
      <c r="B169" s="310">
        <v>162</v>
      </c>
      <c r="C169" s="746">
        <f>IF('User Dashboard'!Z$12=5,
IF('SIR Model Patient Calcs'!B169&lt;'User Dashboard'!AJ$15,'User Dashboard'!AN$14,
IF('SIR Model Patient Calcs'!B169&lt;'User Dashboard'!AJ$16,'User Dashboard'!AN$15,
IF('SIR Model Patient Calcs'!B169&lt;'User Dashboard'!AJ$17,'User Dashboard'!AN$16,
IF('SIR Model Patient Calcs'!B169&lt;'User Dashboard'!AJ$18,'User Dashboard'!AN$17,
'User Dashboard'!AN$18)))),
IF('User Dashboard'!Z$12=4,
IF('SIR Model Patient Calcs'!B169&lt;'User Dashboard'!AJ$15,'User Dashboard'!AN$14,
IF('SIR Model Patient Calcs'!B169&lt;'User Dashboard'!AJ$16,'User Dashboard'!AN$15,
IF('SIR Model Patient Calcs'!B169&lt;'User Dashboard'!AJ$17,'User Dashboard'!AN$16,
'User Dashboard'!AN$17))),
IF('User Dashboard'!Z$12=3,
IF('SIR Model Patient Calcs'!B169&lt;'User Dashboard'!AJ$15,'User Dashboard'!AN$14,
IF('SIR Model Patient Calcs'!B169&lt;'User Dashboard'!AJ$16,'User Dashboard'!AN$15,
'User Dashboard'!AN$16)),
IF('User Dashboard'!Z$12=2,
IF('SIR Model Patient Calcs'!B169&lt;'User Dashboard'!AJ$15,'User Dashboard'!AN$14,
'User Dashboard'!AN$15),
IF('User Dashboard'!Z$12=1,
'User Dashboard'!AN$14)))))</f>
        <v>15.209356603107825</v>
      </c>
      <c r="D169" s="747">
        <f>'User Dashboard'!X$15</f>
        <v>2.2072878851804097E-2</v>
      </c>
      <c r="E169" s="739">
        <f t="shared" si="22"/>
        <v>9.1306104687305712E-8</v>
      </c>
      <c r="F169" s="739">
        <f t="shared" si="29"/>
        <v>9.1306104687305712E-8</v>
      </c>
      <c r="G169" s="749">
        <f>1/'User Dashboard'!X$12</f>
        <v>0.14285714285714285</v>
      </c>
      <c r="H169" s="385">
        <f t="shared" si="23"/>
        <v>441454.06554432283</v>
      </c>
      <c r="I169" s="751">
        <f t="shared" si="26"/>
        <v>717.49637676440818</v>
      </c>
      <c r="J169" s="752">
        <f t="shared" si="24"/>
        <v>3234628.4380789134</v>
      </c>
      <c r="K169" s="385">
        <f t="shared" si="27"/>
        <v>3235345.9344556779</v>
      </c>
      <c r="L169" s="752">
        <f t="shared" si="28"/>
        <v>32.227373831905425</v>
      </c>
    </row>
    <row r="170" spans="1:12" x14ac:dyDescent="0.75">
      <c r="A170" s="309">
        <f t="shared" si="25"/>
        <v>24</v>
      </c>
      <c r="B170" s="310">
        <v>163</v>
      </c>
      <c r="C170" s="746">
        <f>IF('User Dashboard'!Z$12=5,
IF('SIR Model Patient Calcs'!B170&lt;'User Dashboard'!AJ$15,'User Dashboard'!AN$14,
IF('SIR Model Patient Calcs'!B170&lt;'User Dashboard'!AJ$16,'User Dashboard'!AN$15,
IF('SIR Model Patient Calcs'!B170&lt;'User Dashboard'!AJ$17,'User Dashboard'!AN$16,
IF('SIR Model Patient Calcs'!B170&lt;'User Dashboard'!AJ$18,'User Dashboard'!AN$17,
'User Dashboard'!AN$18)))),
IF('User Dashboard'!Z$12=4,
IF('SIR Model Patient Calcs'!B170&lt;'User Dashboard'!AJ$15,'User Dashboard'!AN$14,
IF('SIR Model Patient Calcs'!B170&lt;'User Dashboard'!AJ$16,'User Dashboard'!AN$15,
IF('SIR Model Patient Calcs'!B170&lt;'User Dashboard'!AJ$17,'User Dashboard'!AN$16,
'User Dashboard'!AN$17))),
IF('User Dashboard'!Z$12=3,
IF('SIR Model Patient Calcs'!B170&lt;'User Dashboard'!AJ$15,'User Dashboard'!AN$14,
IF('SIR Model Patient Calcs'!B170&lt;'User Dashboard'!AJ$16,'User Dashboard'!AN$15,
'User Dashboard'!AN$16)),
IF('User Dashboard'!Z$12=2,
IF('SIR Model Patient Calcs'!B170&lt;'User Dashboard'!AJ$15,'User Dashboard'!AN$14,
'User Dashboard'!AN$15),
IF('User Dashboard'!Z$12=1,
'User Dashboard'!AN$14)))))</f>
        <v>15.209356603107825</v>
      </c>
      <c r="D170" s="747">
        <f>'User Dashboard'!X$15</f>
        <v>2.2072878851804097E-2</v>
      </c>
      <c r="E170" s="739">
        <f t="shared" si="22"/>
        <v>9.1306104687305698E-8</v>
      </c>
      <c r="F170" s="739">
        <f t="shared" si="29"/>
        <v>9.1306104687305712E-8</v>
      </c>
      <c r="G170" s="749">
        <f>1/'User Dashboard'!X$12</f>
        <v>0.14285714285714285</v>
      </c>
      <c r="H170" s="385">
        <f t="shared" si="23"/>
        <v>441425.14509418531</v>
      </c>
      <c r="I170" s="751">
        <f t="shared" si="26"/>
        <v>643.91734450701631</v>
      </c>
      <c r="J170" s="752">
        <f t="shared" si="24"/>
        <v>3234730.9375613085</v>
      </c>
      <c r="K170" s="385">
        <f t="shared" si="27"/>
        <v>3235374.8549058153</v>
      </c>
      <c r="L170" s="752">
        <f t="shared" si="28"/>
        <v>28.920450137462467</v>
      </c>
    </row>
    <row r="171" spans="1:12" x14ac:dyDescent="0.75">
      <c r="A171" s="309">
        <f t="shared" si="25"/>
        <v>24</v>
      </c>
      <c r="B171" s="310">
        <v>164</v>
      </c>
      <c r="C171" s="746">
        <f>IF('User Dashboard'!Z$12=5,
IF('SIR Model Patient Calcs'!B171&lt;'User Dashboard'!AJ$15,'User Dashboard'!AN$14,
IF('SIR Model Patient Calcs'!B171&lt;'User Dashboard'!AJ$16,'User Dashboard'!AN$15,
IF('SIR Model Patient Calcs'!B171&lt;'User Dashboard'!AJ$17,'User Dashboard'!AN$16,
IF('SIR Model Patient Calcs'!B171&lt;'User Dashboard'!AJ$18,'User Dashboard'!AN$17,
'User Dashboard'!AN$18)))),
IF('User Dashboard'!Z$12=4,
IF('SIR Model Patient Calcs'!B171&lt;'User Dashboard'!AJ$15,'User Dashboard'!AN$14,
IF('SIR Model Patient Calcs'!B171&lt;'User Dashboard'!AJ$16,'User Dashboard'!AN$15,
IF('SIR Model Patient Calcs'!B171&lt;'User Dashboard'!AJ$17,'User Dashboard'!AN$16,
'User Dashboard'!AN$17))),
IF('User Dashboard'!Z$12=3,
IF('SIR Model Patient Calcs'!B171&lt;'User Dashboard'!AJ$15,'User Dashboard'!AN$14,
IF('SIR Model Patient Calcs'!B171&lt;'User Dashboard'!AJ$16,'User Dashboard'!AN$15,
'User Dashboard'!AN$16)),
IF('User Dashboard'!Z$12=2,
IF('SIR Model Patient Calcs'!B171&lt;'User Dashboard'!AJ$15,'User Dashboard'!AN$14,
'User Dashboard'!AN$15),
IF('User Dashboard'!Z$12=1,
'User Dashboard'!AN$14)))))</f>
        <v>15.209356603107825</v>
      </c>
      <c r="D171" s="747">
        <f>'User Dashboard'!X$15</f>
        <v>2.2072878851804097E-2</v>
      </c>
      <c r="E171" s="739">
        <f t="shared" si="22"/>
        <v>9.1306104687305698E-8</v>
      </c>
      <c r="F171" s="739">
        <f t="shared" si="29"/>
        <v>9.1306104687305712E-8</v>
      </c>
      <c r="G171" s="749">
        <f>1/'User Dashboard'!X$12</f>
        <v>0.14285714285714285</v>
      </c>
      <c r="H171" s="385">
        <f t="shared" si="23"/>
        <v>441399.1921276311</v>
      </c>
      <c r="I171" s="751">
        <f t="shared" si="26"/>
        <v>577.88211898877194</v>
      </c>
      <c r="J171" s="752">
        <f t="shared" si="24"/>
        <v>3234822.9257533811</v>
      </c>
      <c r="K171" s="385">
        <f t="shared" si="27"/>
        <v>3235400.8078723699</v>
      </c>
      <c r="L171" s="752">
        <f t="shared" si="28"/>
        <v>25.952966554556042</v>
      </c>
    </row>
    <row r="172" spans="1:12" x14ac:dyDescent="0.75">
      <c r="A172" s="309">
        <f t="shared" si="25"/>
        <v>24</v>
      </c>
      <c r="B172" s="310">
        <v>165</v>
      </c>
      <c r="C172" s="746">
        <f>IF('User Dashboard'!Z$12=5,
IF('SIR Model Patient Calcs'!B172&lt;'User Dashboard'!AJ$15,'User Dashboard'!AN$14,
IF('SIR Model Patient Calcs'!B172&lt;'User Dashboard'!AJ$16,'User Dashboard'!AN$15,
IF('SIR Model Patient Calcs'!B172&lt;'User Dashboard'!AJ$17,'User Dashboard'!AN$16,
IF('SIR Model Patient Calcs'!B172&lt;'User Dashboard'!AJ$18,'User Dashboard'!AN$17,
'User Dashboard'!AN$18)))),
IF('User Dashboard'!Z$12=4,
IF('SIR Model Patient Calcs'!B172&lt;'User Dashboard'!AJ$15,'User Dashboard'!AN$14,
IF('SIR Model Patient Calcs'!B172&lt;'User Dashboard'!AJ$16,'User Dashboard'!AN$15,
IF('SIR Model Patient Calcs'!B172&lt;'User Dashboard'!AJ$17,'User Dashboard'!AN$16,
'User Dashboard'!AN$17))),
IF('User Dashboard'!Z$12=3,
IF('SIR Model Patient Calcs'!B172&lt;'User Dashboard'!AJ$15,'User Dashboard'!AN$14,
IF('SIR Model Patient Calcs'!B172&lt;'User Dashboard'!AJ$16,'User Dashboard'!AN$15,
'User Dashboard'!AN$16)),
IF('User Dashboard'!Z$12=2,
IF('SIR Model Patient Calcs'!B172&lt;'User Dashboard'!AJ$15,'User Dashboard'!AN$14,
'User Dashboard'!AN$15),
IF('User Dashboard'!Z$12=1,
'User Dashboard'!AN$14)))))</f>
        <v>15.209356603107825</v>
      </c>
      <c r="D172" s="747">
        <f>'User Dashboard'!X$15</f>
        <v>2.2072878851804097E-2</v>
      </c>
      <c r="E172" s="739">
        <f t="shared" si="22"/>
        <v>9.1306104687305698E-8</v>
      </c>
      <c r="F172" s="739">
        <f t="shared" si="29"/>
        <v>9.1306104687305712E-8</v>
      </c>
      <c r="G172" s="749">
        <f>1/'User Dashboard'!X$12</f>
        <v>0.14285714285714285</v>
      </c>
      <c r="H172" s="385">
        <f t="shared" si="23"/>
        <v>441375.90206771501</v>
      </c>
      <c r="I172" s="751">
        <f t="shared" si="26"/>
        <v>518.61759047790474</v>
      </c>
      <c r="J172" s="752">
        <f t="shared" si="24"/>
        <v>3234905.4803418079</v>
      </c>
      <c r="K172" s="385">
        <f t="shared" si="27"/>
        <v>3235424.0979322856</v>
      </c>
      <c r="L172" s="752">
        <f t="shared" si="28"/>
        <v>23.290059915743768</v>
      </c>
    </row>
    <row r="173" spans="1:12" x14ac:dyDescent="0.75">
      <c r="A173" s="309">
        <f t="shared" si="25"/>
        <v>24</v>
      </c>
      <c r="B173" s="310">
        <v>166</v>
      </c>
      <c r="C173" s="746">
        <f>IF('User Dashboard'!Z$12=5,
IF('SIR Model Patient Calcs'!B173&lt;'User Dashboard'!AJ$15,'User Dashboard'!AN$14,
IF('SIR Model Patient Calcs'!B173&lt;'User Dashboard'!AJ$16,'User Dashboard'!AN$15,
IF('SIR Model Patient Calcs'!B173&lt;'User Dashboard'!AJ$17,'User Dashboard'!AN$16,
IF('SIR Model Patient Calcs'!B173&lt;'User Dashboard'!AJ$18,'User Dashboard'!AN$17,
'User Dashboard'!AN$18)))),
IF('User Dashboard'!Z$12=4,
IF('SIR Model Patient Calcs'!B173&lt;'User Dashboard'!AJ$15,'User Dashboard'!AN$14,
IF('SIR Model Patient Calcs'!B173&lt;'User Dashboard'!AJ$16,'User Dashboard'!AN$15,
IF('SIR Model Patient Calcs'!B173&lt;'User Dashboard'!AJ$17,'User Dashboard'!AN$16,
'User Dashboard'!AN$17))),
IF('User Dashboard'!Z$12=3,
IF('SIR Model Patient Calcs'!B173&lt;'User Dashboard'!AJ$15,'User Dashboard'!AN$14,
IF('SIR Model Patient Calcs'!B173&lt;'User Dashboard'!AJ$16,'User Dashboard'!AN$15,
'User Dashboard'!AN$16)),
IF('User Dashboard'!Z$12=2,
IF('SIR Model Patient Calcs'!B173&lt;'User Dashboard'!AJ$15,'User Dashboard'!AN$14,
'User Dashboard'!AN$15),
IF('User Dashboard'!Z$12=1,
'User Dashboard'!AN$14)))))</f>
        <v>15.209356603107825</v>
      </c>
      <c r="D173" s="747">
        <f>'User Dashboard'!X$15</f>
        <v>2.2072878851804097E-2</v>
      </c>
      <c r="E173" s="739">
        <f t="shared" si="22"/>
        <v>9.1306104687305698E-8</v>
      </c>
      <c r="F173" s="739">
        <f t="shared" si="29"/>
        <v>9.1306104687305712E-8</v>
      </c>
      <c r="G173" s="749">
        <f>1/'User Dashboard'!X$12</f>
        <v>0.14285714285714285</v>
      </c>
      <c r="H173" s="385">
        <f t="shared" si="23"/>
        <v>441355.00161580654</v>
      </c>
      <c r="I173" s="751">
        <f t="shared" si="26"/>
        <v>465.42981517525254</v>
      </c>
      <c r="J173" s="752">
        <f t="shared" si="24"/>
        <v>3234979.568569019</v>
      </c>
      <c r="K173" s="385">
        <f t="shared" si="27"/>
        <v>3235444.9983841944</v>
      </c>
      <c r="L173" s="752">
        <f t="shared" si="28"/>
        <v>20.900451908819377</v>
      </c>
    </row>
    <row r="174" spans="1:12" x14ac:dyDescent="0.75">
      <c r="A174" s="309">
        <f t="shared" si="25"/>
        <v>24</v>
      </c>
      <c r="B174" s="310">
        <v>167</v>
      </c>
      <c r="C174" s="746">
        <f>IF('User Dashboard'!Z$12=5,
IF('SIR Model Patient Calcs'!B174&lt;'User Dashboard'!AJ$15,'User Dashboard'!AN$14,
IF('SIR Model Patient Calcs'!B174&lt;'User Dashboard'!AJ$16,'User Dashboard'!AN$15,
IF('SIR Model Patient Calcs'!B174&lt;'User Dashboard'!AJ$17,'User Dashboard'!AN$16,
IF('SIR Model Patient Calcs'!B174&lt;'User Dashboard'!AJ$18,'User Dashboard'!AN$17,
'User Dashboard'!AN$18)))),
IF('User Dashboard'!Z$12=4,
IF('SIR Model Patient Calcs'!B174&lt;'User Dashboard'!AJ$15,'User Dashboard'!AN$14,
IF('SIR Model Patient Calcs'!B174&lt;'User Dashboard'!AJ$16,'User Dashboard'!AN$15,
IF('SIR Model Patient Calcs'!B174&lt;'User Dashboard'!AJ$17,'User Dashboard'!AN$16,
'User Dashboard'!AN$17))),
IF('User Dashboard'!Z$12=3,
IF('SIR Model Patient Calcs'!B174&lt;'User Dashboard'!AJ$15,'User Dashboard'!AN$14,
IF('SIR Model Patient Calcs'!B174&lt;'User Dashboard'!AJ$16,'User Dashboard'!AN$15,
'User Dashboard'!AN$16)),
IF('User Dashboard'!Z$12=2,
IF('SIR Model Patient Calcs'!B174&lt;'User Dashboard'!AJ$15,'User Dashboard'!AN$14,
'User Dashboard'!AN$15),
IF('User Dashboard'!Z$12=1,
'User Dashboard'!AN$14)))))</f>
        <v>15.209356603107825</v>
      </c>
      <c r="D174" s="747">
        <f>'User Dashboard'!X$15</f>
        <v>2.2072878851804097E-2</v>
      </c>
      <c r="E174" s="739">
        <f t="shared" si="22"/>
        <v>9.1306104687305712E-8</v>
      </c>
      <c r="F174" s="739">
        <f t="shared" si="29"/>
        <v>9.1306104687305712E-8</v>
      </c>
      <c r="G174" s="749">
        <f>1/'User Dashboard'!X$12</f>
        <v>0.14285714285714285</v>
      </c>
      <c r="H174" s="385">
        <f t="shared" si="23"/>
        <v>441336.24553615856</v>
      </c>
      <c r="I174" s="751">
        <f t="shared" si="26"/>
        <v>417.6959212267538</v>
      </c>
      <c r="J174" s="752">
        <f t="shared" si="24"/>
        <v>3235046.0585426153</v>
      </c>
      <c r="K174" s="385">
        <f t="shared" si="27"/>
        <v>3235463.7544638421</v>
      </c>
      <c r="L174" s="752">
        <f t="shared" si="28"/>
        <v>18.756079647690058</v>
      </c>
    </row>
    <row r="175" spans="1:12" x14ac:dyDescent="0.75">
      <c r="A175" s="309">
        <f t="shared" si="25"/>
        <v>24</v>
      </c>
      <c r="B175" s="310">
        <v>168</v>
      </c>
      <c r="C175" s="746">
        <f>IF('User Dashboard'!Z$12=5,
IF('SIR Model Patient Calcs'!B175&lt;'User Dashboard'!AJ$15,'User Dashboard'!AN$14,
IF('SIR Model Patient Calcs'!B175&lt;'User Dashboard'!AJ$16,'User Dashboard'!AN$15,
IF('SIR Model Patient Calcs'!B175&lt;'User Dashboard'!AJ$17,'User Dashboard'!AN$16,
IF('SIR Model Patient Calcs'!B175&lt;'User Dashboard'!AJ$18,'User Dashboard'!AN$17,
'User Dashboard'!AN$18)))),
IF('User Dashboard'!Z$12=4,
IF('SIR Model Patient Calcs'!B175&lt;'User Dashboard'!AJ$15,'User Dashboard'!AN$14,
IF('SIR Model Patient Calcs'!B175&lt;'User Dashboard'!AJ$16,'User Dashboard'!AN$15,
IF('SIR Model Patient Calcs'!B175&lt;'User Dashboard'!AJ$17,'User Dashboard'!AN$16,
'User Dashboard'!AN$17))),
IF('User Dashboard'!Z$12=3,
IF('SIR Model Patient Calcs'!B175&lt;'User Dashboard'!AJ$15,'User Dashboard'!AN$14,
IF('SIR Model Patient Calcs'!B175&lt;'User Dashboard'!AJ$16,'User Dashboard'!AN$15,
'User Dashboard'!AN$16)),
IF('User Dashboard'!Z$12=2,
IF('SIR Model Patient Calcs'!B175&lt;'User Dashboard'!AJ$15,'User Dashboard'!AN$14,
'User Dashboard'!AN$15),
IF('User Dashboard'!Z$12=1,
'User Dashboard'!AN$14)))))</f>
        <v>15.209356603107825</v>
      </c>
      <c r="D175" s="747">
        <f>'User Dashboard'!X$15</f>
        <v>2.2072878851804097E-2</v>
      </c>
      <c r="E175" s="739">
        <f t="shared" si="22"/>
        <v>9.1306104687305712E-8</v>
      </c>
      <c r="F175" s="739">
        <f t="shared" si="29"/>
        <v>9.1306104687305712E-8</v>
      </c>
      <c r="G175" s="749">
        <f>1/'User Dashboard'!X$12</f>
        <v>0.14285714285714285</v>
      </c>
      <c r="H175" s="385">
        <f t="shared" si="23"/>
        <v>441319.41377167089</v>
      </c>
      <c r="I175" s="751">
        <f t="shared" si="26"/>
        <v>374.85683982487217</v>
      </c>
      <c r="J175" s="752">
        <f t="shared" si="24"/>
        <v>3235105.7293885048</v>
      </c>
      <c r="K175" s="385">
        <f t="shared" si="27"/>
        <v>3235480.5862283297</v>
      </c>
      <c r="L175" s="752">
        <f t="shared" si="28"/>
        <v>16.831764487549663</v>
      </c>
    </row>
    <row r="176" spans="1:12" x14ac:dyDescent="0.75">
      <c r="A176" s="309">
        <f t="shared" si="25"/>
        <v>25</v>
      </c>
      <c r="B176" s="310">
        <v>169</v>
      </c>
      <c r="C176" s="746">
        <f>IF('User Dashboard'!Z$12=5,
IF('SIR Model Patient Calcs'!B176&lt;'User Dashboard'!AJ$15,'User Dashboard'!AN$14,
IF('SIR Model Patient Calcs'!B176&lt;'User Dashboard'!AJ$16,'User Dashboard'!AN$15,
IF('SIR Model Patient Calcs'!B176&lt;'User Dashboard'!AJ$17,'User Dashboard'!AN$16,
IF('SIR Model Patient Calcs'!B176&lt;'User Dashboard'!AJ$18,'User Dashboard'!AN$17,
'User Dashboard'!AN$18)))),
IF('User Dashboard'!Z$12=4,
IF('SIR Model Patient Calcs'!B176&lt;'User Dashboard'!AJ$15,'User Dashboard'!AN$14,
IF('SIR Model Patient Calcs'!B176&lt;'User Dashboard'!AJ$16,'User Dashboard'!AN$15,
IF('SIR Model Patient Calcs'!B176&lt;'User Dashboard'!AJ$17,'User Dashboard'!AN$16,
'User Dashboard'!AN$17))),
IF('User Dashboard'!Z$12=3,
IF('SIR Model Patient Calcs'!B176&lt;'User Dashboard'!AJ$15,'User Dashboard'!AN$14,
IF('SIR Model Patient Calcs'!B176&lt;'User Dashboard'!AJ$16,'User Dashboard'!AN$15,
'User Dashboard'!AN$16)),
IF('User Dashboard'!Z$12=2,
IF('SIR Model Patient Calcs'!B176&lt;'User Dashboard'!AJ$15,'User Dashboard'!AN$14,
'User Dashboard'!AN$15),
IF('User Dashboard'!Z$12=1,
'User Dashboard'!AN$14)))))</f>
        <v>15.209356603107825</v>
      </c>
      <c r="D176" s="747">
        <f>'User Dashboard'!X$15</f>
        <v>2.2072878851804097E-2</v>
      </c>
      <c r="E176" s="739">
        <f t="shared" si="22"/>
        <v>9.1306104687305712E-8</v>
      </c>
      <c r="F176" s="739">
        <f t="shared" si="29"/>
        <v>9.1306104687305712E-8</v>
      </c>
      <c r="G176" s="749">
        <f>1/'User Dashboard'!X$12</f>
        <v>0.14285714285714285</v>
      </c>
      <c r="H176" s="385">
        <f t="shared" si="23"/>
        <v>441304.30885660968</v>
      </c>
      <c r="I176" s="751">
        <f t="shared" si="26"/>
        <v>336.41077776824966</v>
      </c>
      <c r="J176" s="752">
        <f t="shared" si="24"/>
        <v>3235159.2803656226</v>
      </c>
      <c r="K176" s="385">
        <f t="shared" si="27"/>
        <v>3235495.6911433907</v>
      </c>
      <c r="L176" s="752">
        <f t="shared" si="28"/>
        <v>15.104915061034262</v>
      </c>
    </row>
    <row r="177" spans="1:12" x14ac:dyDescent="0.75">
      <c r="A177" s="309">
        <f t="shared" si="25"/>
        <v>25</v>
      </c>
      <c r="B177" s="310">
        <v>170</v>
      </c>
      <c r="C177" s="746">
        <f>IF('User Dashboard'!Z$12=5,
IF('SIR Model Patient Calcs'!B177&lt;'User Dashboard'!AJ$15,'User Dashboard'!AN$14,
IF('SIR Model Patient Calcs'!B177&lt;'User Dashboard'!AJ$16,'User Dashboard'!AN$15,
IF('SIR Model Patient Calcs'!B177&lt;'User Dashboard'!AJ$17,'User Dashboard'!AN$16,
IF('SIR Model Patient Calcs'!B177&lt;'User Dashboard'!AJ$18,'User Dashboard'!AN$17,
'User Dashboard'!AN$18)))),
IF('User Dashboard'!Z$12=4,
IF('SIR Model Patient Calcs'!B177&lt;'User Dashboard'!AJ$15,'User Dashboard'!AN$14,
IF('SIR Model Patient Calcs'!B177&lt;'User Dashboard'!AJ$16,'User Dashboard'!AN$15,
IF('SIR Model Patient Calcs'!B177&lt;'User Dashboard'!AJ$17,'User Dashboard'!AN$16,
'User Dashboard'!AN$17))),
IF('User Dashboard'!Z$12=3,
IF('SIR Model Patient Calcs'!B177&lt;'User Dashboard'!AJ$15,'User Dashboard'!AN$14,
IF('SIR Model Patient Calcs'!B177&lt;'User Dashboard'!AJ$16,'User Dashboard'!AN$15,
'User Dashboard'!AN$16)),
IF('User Dashboard'!Z$12=2,
IF('SIR Model Patient Calcs'!B177&lt;'User Dashboard'!AJ$15,'User Dashboard'!AN$14,
'User Dashboard'!AN$15),
IF('User Dashboard'!Z$12=1,
'User Dashboard'!AN$14)))))</f>
        <v>15.209356603107825</v>
      </c>
      <c r="D177" s="747">
        <f>'User Dashboard'!X$15</f>
        <v>2.2072878851804097E-2</v>
      </c>
      <c r="E177" s="739">
        <f t="shared" si="22"/>
        <v>9.1306104687305712E-8</v>
      </c>
      <c r="F177" s="739">
        <f t="shared" si="29"/>
        <v>9.1306104687305712E-8</v>
      </c>
      <c r="G177" s="749">
        <f>1/'User Dashboard'!X$12</f>
        <v>0.14285714285714285</v>
      </c>
      <c r="H177" s="385">
        <f t="shared" si="23"/>
        <v>441290.75359560747</v>
      </c>
      <c r="I177" s="751">
        <f t="shared" si="26"/>
        <v>301.90735623216199</v>
      </c>
      <c r="J177" s="752">
        <f t="shared" si="24"/>
        <v>3235207.3390481607</v>
      </c>
      <c r="K177" s="385">
        <f t="shared" si="27"/>
        <v>3235509.2464043926</v>
      </c>
      <c r="L177" s="752">
        <f t="shared" si="28"/>
        <v>13.55526100192219</v>
      </c>
    </row>
    <row r="178" spans="1:12" x14ac:dyDescent="0.75">
      <c r="A178" s="309">
        <f t="shared" si="25"/>
        <v>25</v>
      </c>
      <c r="B178" s="310">
        <v>171</v>
      </c>
      <c r="C178" s="746">
        <f>IF('User Dashboard'!Z$12=5,
IF('SIR Model Patient Calcs'!B178&lt;'User Dashboard'!AJ$15,'User Dashboard'!AN$14,
IF('SIR Model Patient Calcs'!B178&lt;'User Dashboard'!AJ$16,'User Dashboard'!AN$15,
IF('SIR Model Patient Calcs'!B178&lt;'User Dashboard'!AJ$17,'User Dashboard'!AN$16,
IF('SIR Model Patient Calcs'!B178&lt;'User Dashboard'!AJ$18,'User Dashboard'!AN$17,
'User Dashboard'!AN$18)))),
IF('User Dashboard'!Z$12=4,
IF('SIR Model Patient Calcs'!B178&lt;'User Dashboard'!AJ$15,'User Dashboard'!AN$14,
IF('SIR Model Patient Calcs'!B178&lt;'User Dashboard'!AJ$16,'User Dashboard'!AN$15,
IF('SIR Model Patient Calcs'!B178&lt;'User Dashboard'!AJ$17,'User Dashboard'!AN$16,
'User Dashboard'!AN$17))),
IF('User Dashboard'!Z$12=3,
IF('SIR Model Patient Calcs'!B178&lt;'User Dashboard'!AJ$15,'User Dashboard'!AN$14,
IF('SIR Model Patient Calcs'!B178&lt;'User Dashboard'!AJ$16,'User Dashboard'!AN$15,
'User Dashboard'!AN$16)),
IF('User Dashboard'!Z$12=2,
IF('SIR Model Patient Calcs'!B178&lt;'User Dashboard'!AJ$15,'User Dashboard'!AN$14,
'User Dashboard'!AN$15),
IF('User Dashboard'!Z$12=1,
'User Dashboard'!AN$14)))))</f>
        <v>15.209356603107825</v>
      </c>
      <c r="D178" s="747">
        <f>'User Dashboard'!X$15</f>
        <v>2.2072878851804097E-2</v>
      </c>
      <c r="E178" s="739">
        <f t="shared" si="22"/>
        <v>9.1306104687305725E-8</v>
      </c>
      <c r="F178" s="739">
        <f t="shared" si="29"/>
        <v>9.1306104687305712E-8</v>
      </c>
      <c r="G178" s="749">
        <f>1/'User Dashboard'!X$12</f>
        <v>0.14285714285714285</v>
      </c>
      <c r="H178" s="385">
        <f t="shared" si="23"/>
        <v>441278.58898145705</v>
      </c>
      <c r="I178" s="751">
        <f t="shared" si="26"/>
        <v>270.94234806367677</v>
      </c>
      <c r="J178" s="752">
        <f t="shared" si="24"/>
        <v>3235250.4686704795</v>
      </c>
      <c r="K178" s="385">
        <f t="shared" si="27"/>
        <v>3235521.4110185429</v>
      </c>
      <c r="L178" s="752">
        <f t="shared" si="28"/>
        <v>12.164614150300622</v>
      </c>
    </row>
    <row r="179" spans="1:12" x14ac:dyDescent="0.75">
      <c r="A179" s="309">
        <f t="shared" si="25"/>
        <v>25</v>
      </c>
      <c r="B179" s="310">
        <v>172</v>
      </c>
      <c r="C179" s="746">
        <f>IF('User Dashboard'!Z$12=5,
IF('SIR Model Patient Calcs'!B179&lt;'User Dashboard'!AJ$15,'User Dashboard'!AN$14,
IF('SIR Model Patient Calcs'!B179&lt;'User Dashboard'!AJ$16,'User Dashboard'!AN$15,
IF('SIR Model Patient Calcs'!B179&lt;'User Dashboard'!AJ$17,'User Dashboard'!AN$16,
IF('SIR Model Patient Calcs'!B179&lt;'User Dashboard'!AJ$18,'User Dashboard'!AN$17,
'User Dashboard'!AN$18)))),
IF('User Dashboard'!Z$12=4,
IF('SIR Model Patient Calcs'!B179&lt;'User Dashboard'!AJ$15,'User Dashboard'!AN$14,
IF('SIR Model Patient Calcs'!B179&lt;'User Dashboard'!AJ$16,'User Dashboard'!AN$15,
IF('SIR Model Patient Calcs'!B179&lt;'User Dashboard'!AJ$17,'User Dashboard'!AN$16,
'User Dashboard'!AN$17))),
IF('User Dashboard'!Z$12=3,
IF('SIR Model Patient Calcs'!B179&lt;'User Dashboard'!AJ$15,'User Dashboard'!AN$14,
IF('SIR Model Patient Calcs'!B179&lt;'User Dashboard'!AJ$16,'User Dashboard'!AN$15,
'User Dashboard'!AN$16)),
IF('User Dashboard'!Z$12=2,
IF('SIR Model Patient Calcs'!B179&lt;'User Dashboard'!AJ$15,'User Dashboard'!AN$14,
'User Dashboard'!AN$15),
IF('User Dashboard'!Z$12=1,
'User Dashboard'!AN$14)))))</f>
        <v>15.209356603107825</v>
      </c>
      <c r="D179" s="747">
        <f>'User Dashboard'!X$15</f>
        <v>2.2072878851804097E-2</v>
      </c>
      <c r="E179" s="739">
        <f t="shared" si="22"/>
        <v>9.1306104687305712E-8</v>
      </c>
      <c r="F179" s="739">
        <f t="shared" si="29"/>
        <v>9.1306104687305712E-8</v>
      </c>
      <c r="G179" s="749">
        <f>1/'User Dashboard'!X$12</f>
        <v>0.14285714285714285</v>
      </c>
      <c r="H179" s="385">
        <f t="shared" si="23"/>
        <v>441267.67232706561</v>
      </c>
      <c r="I179" s="751">
        <f t="shared" si="26"/>
        <v>243.15295273172271</v>
      </c>
      <c r="J179" s="752">
        <f t="shared" si="24"/>
        <v>3235289.174720203</v>
      </c>
      <c r="K179" s="385">
        <f t="shared" si="27"/>
        <v>3235532.3276729346</v>
      </c>
      <c r="L179" s="752">
        <f t="shared" si="28"/>
        <v>10.916654391679913</v>
      </c>
    </row>
    <row r="180" spans="1:12" x14ac:dyDescent="0.75">
      <c r="A180" s="309">
        <f t="shared" si="25"/>
        <v>25</v>
      </c>
      <c r="B180" s="310">
        <v>173</v>
      </c>
      <c r="C180" s="746">
        <f>IF('User Dashboard'!Z$12=5,
IF('SIR Model Patient Calcs'!B180&lt;'User Dashboard'!AJ$15,'User Dashboard'!AN$14,
IF('SIR Model Patient Calcs'!B180&lt;'User Dashboard'!AJ$16,'User Dashboard'!AN$15,
IF('SIR Model Patient Calcs'!B180&lt;'User Dashboard'!AJ$17,'User Dashboard'!AN$16,
IF('SIR Model Patient Calcs'!B180&lt;'User Dashboard'!AJ$18,'User Dashboard'!AN$17,
'User Dashboard'!AN$18)))),
IF('User Dashboard'!Z$12=4,
IF('SIR Model Patient Calcs'!B180&lt;'User Dashboard'!AJ$15,'User Dashboard'!AN$14,
IF('SIR Model Patient Calcs'!B180&lt;'User Dashboard'!AJ$16,'User Dashboard'!AN$15,
IF('SIR Model Patient Calcs'!B180&lt;'User Dashboard'!AJ$17,'User Dashboard'!AN$16,
'User Dashboard'!AN$17))),
IF('User Dashboard'!Z$12=3,
IF('SIR Model Patient Calcs'!B180&lt;'User Dashboard'!AJ$15,'User Dashboard'!AN$14,
IF('SIR Model Patient Calcs'!B180&lt;'User Dashboard'!AJ$16,'User Dashboard'!AN$15,
'User Dashboard'!AN$16)),
IF('User Dashboard'!Z$12=2,
IF('SIR Model Patient Calcs'!B180&lt;'User Dashboard'!AJ$15,'User Dashboard'!AN$14,
'User Dashboard'!AN$15),
IF('User Dashboard'!Z$12=1,
'User Dashboard'!AN$14)))))</f>
        <v>15.209356603107825</v>
      </c>
      <c r="D180" s="747">
        <f>'User Dashboard'!X$15</f>
        <v>2.2072878851804097E-2</v>
      </c>
      <c r="E180" s="739">
        <f t="shared" si="22"/>
        <v>9.1306104687305712E-8</v>
      </c>
      <c r="F180" s="739">
        <f t="shared" si="29"/>
        <v>9.1306104687305712E-8</v>
      </c>
      <c r="G180" s="749">
        <f>1/'User Dashboard'!X$12</f>
        <v>0.14285714285714285</v>
      </c>
      <c r="H180" s="385">
        <f t="shared" si="23"/>
        <v>441257.87558948877</v>
      </c>
      <c r="I180" s="751">
        <f t="shared" si="26"/>
        <v>218.21355420403347</v>
      </c>
      <c r="J180" s="752">
        <f t="shared" si="24"/>
        <v>3235323.9108563075</v>
      </c>
      <c r="K180" s="385">
        <f t="shared" si="27"/>
        <v>3235542.1244105115</v>
      </c>
      <c r="L180" s="752">
        <f t="shared" si="28"/>
        <v>9.7967375768348575</v>
      </c>
    </row>
    <row r="181" spans="1:12" x14ac:dyDescent="0.75">
      <c r="A181" s="309">
        <f t="shared" si="25"/>
        <v>25</v>
      </c>
      <c r="B181" s="310">
        <v>174</v>
      </c>
      <c r="C181" s="746">
        <f>IF('User Dashboard'!Z$12=5,
IF('SIR Model Patient Calcs'!B181&lt;'User Dashboard'!AJ$15,'User Dashboard'!AN$14,
IF('SIR Model Patient Calcs'!B181&lt;'User Dashboard'!AJ$16,'User Dashboard'!AN$15,
IF('SIR Model Patient Calcs'!B181&lt;'User Dashboard'!AJ$17,'User Dashboard'!AN$16,
IF('SIR Model Patient Calcs'!B181&lt;'User Dashboard'!AJ$18,'User Dashboard'!AN$17,
'User Dashboard'!AN$18)))),
IF('User Dashboard'!Z$12=4,
IF('SIR Model Patient Calcs'!B181&lt;'User Dashboard'!AJ$15,'User Dashboard'!AN$14,
IF('SIR Model Patient Calcs'!B181&lt;'User Dashboard'!AJ$16,'User Dashboard'!AN$15,
IF('SIR Model Patient Calcs'!B181&lt;'User Dashboard'!AJ$17,'User Dashboard'!AN$16,
'User Dashboard'!AN$17))),
IF('User Dashboard'!Z$12=3,
IF('SIR Model Patient Calcs'!B181&lt;'User Dashboard'!AJ$15,'User Dashboard'!AN$14,
IF('SIR Model Patient Calcs'!B181&lt;'User Dashboard'!AJ$16,'User Dashboard'!AN$15,
'User Dashboard'!AN$16)),
IF('User Dashboard'!Z$12=2,
IF('SIR Model Patient Calcs'!B181&lt;'User Dashboard'!AJ$15,'User Dashboard'!AN$14,
'User Dashboard'!AN$15),
IF('User Dashboard'!Z$12=1,
'User Dashboard'!AN$14)))))</f>
        <v>15.209356603107825</v>
      </c>
      <c r="D181" s="747">
        <f>'User Dashboard'!X$15</f>
        <v>2.2072878851804097E-2</v>
      </c>
      <c r="E181" s="739">
        <f t="shared" si="22"/>
        <v>9.1306104687305725E-8</v>
      </c>
      <c r="F181" s="739">
        <f t="shared" si="29"/>
        <v>9.1306104687305712E-8</v>
      </c>
      <c r="G181" s="749">
        <f>1/'User Dashboard'!X$12</f>
        <v>0.14285714285714285</v>
      </c>
      <c r="H181" s="385">
        <f t="shared" si="23"/>
        <v>441249.08386625198</v>
      </c>
      <c r="I181" s="751">
        <f t="shared" si="26"/>
        <v>195.83191255453752</v>
      </c>
      <c r="J181" s="752">
        <f t="shared" si="24"/>
        <v>3235355.0842211936</v>
      </c>
      <c r="K181" s="385">
        <f t="shared" si="27"/>
        <v>3235550.9161337479</v>
      </c>
      <c r="L181" s="752">
        <f t="shared" si="28"/>
        <v>8.7917232364416122</v>
      </c>
    </row>
    <row r="182" spans="1:12" x14ac:dyDescent="0.75">
      <c r="A182" s="309">
        <f t="shared" si="25"/>
        <v>25</v>
      </c>
      <c r="B182" s="310">
        <v>175</v>
      </c>
      <c r="C182" s="746">
        <f>IF('User Dashboard'!Z$12=5,
IF('SIR Model Patient Calcs'!B182&lt;'User Dashboard'!AJ$15,'User Dashboard'!AN$14,
IF('SIR Model Patient Calcs'!B182&lt;'User Dashboard'!AJ$16,'User Dashboard'!AN$15,
IF('SIR Model Patient Calcs'!B182&lt;'User Dashboard'!AJ$17,'User Dashboard'!AN$16,
IF('SIR Model Patient Calcs'!B182&lt;'User Dashboard'!AJ$18,'User Dashboard'!AN$17,
'User Dashboard'!AN$18)))),
IF('User Dashboard'!Z$12=4,
IF('SIR Model Patient Calcs'!B182&lt;'User Dashboard'!AJ$15,'User Dashboard'!AN$14,
IF('SIR Model Patient Calcs'!B182&lt;'User Dashboard'!AJ$16,'User Dashboard'!AN$15,
IF('SIR Model Patient Calcs'!B182&lt;'User Dashboard'!AJ$17,'User Dashboard'!AN$16,
'User Dashboard'!AN$17))),
IF('User Dashboard'!Z$12=3,
IF('SIR Model Patient Calcs'!B182&lt;'User Dashboard'!AJ$15,'User Dashboard'!AN$14,
IF('SIR Model Patient Calcs'!B182&lt;'User Dashboard'!AJ$16,'User Dashboard'!AN$15,
'User Dashboard'!AN$16)),
IF('User Dashboard'!Z$12=2,
IF('SIR Model Patient Calcs'!B182&lt;'User Dashboard'!AJ$15,'User Dashboard'!AN$14,
'User Dashboard'!AN$15),
IF('User Dashboard'!Z$12=1,
'User Dashboard'!AN$14)))))</f>
        <v>15.209356603107825</v>
      </c>
      <c r="D182" s="747">
        <f>'User Dashboard'!X$15</f>
        <v>2.2072878851804097E-2</v>
      </c>
      <c r="E182" s="739">
        <f t="shared" si="22"/>
        <v>9.1306104687305725E-8</v>
      </c>
      <c r="F182" s="739">
        <f t="shared" si="29"/>
        <v>9.1306104687305712E-8</v>
      </c>
      <c r="G182" s="749">
        <f>1/'User Dashboard'!X$12</f>
        <v>0.14285714285714285</v>
      </c>
      <c r="H182" s="385">
        <f t="shared" si="23"/>
        <v>441241.19404621376</v>
      </c>
      <c r="I182" s="751">
        <f t="shared" si="26"/>
        <v>175.74574508494715</v>
      </c>
      <c r="J182" s="752">
        <f t="shared" si="24"/>
        <v>3235383.0602087015</v>
      </c>
      <c r="K182" s="385">
        <f t="shared" si="27"/>
        <v>3235558.8059537867</v>
      </c>
      <c r="L182" s="752">
        <f t="shared" si="28"/>
        <v>7.8898200388066471</v>
      </c>
    </row>
    <row r="183" spans="1:12" x14ac:dyDescent="0.75">
      <c r="A183" s="309">
        <f t="shared" si="25"/>
        <v>26</v>
      </c>
      <c r="B183" s="310">
        <v>176</v>
      </c>
      <c r="C183" s="746">
        <f>IF('User Dashboard'!Z$12=5,
IF('SIR Model Patient Calcs'!B183&lt;'User Dashboard'!AJ$15,'User Dashboard'!AN$14,
IF('SIR Model Patient Calcs'!B183&lt;'User Dashboard'!AJ$16,'User Dashboard'!AN$15,
IF('SIR Model Patient Calcs'!B183&lt;'User Dashboard'!AJ$17,'User Dashboard'!AN$16,
IF('SIR Model Patient Calcs'!B183&lt;'User Dashboard'!AJ$18,'User Dashboard'!AN$17,
'User Dashboard'!AN$18)))),
IF('User Dashboard'!Z$12=4,
IF('SIR Model Patient Calcs'!B183&lt;'User Dashboard'!AJ$15,'User Dashboard'!AN$14,
IF('SIR Model Patient Calcs'!B183&lt;'User Dashboard'!AJ$16,'User Dashboard'!AN$15,
IF('SIR Model Patient Calcs'!B183&lt;'User Dashboard'!AJ$17,'User Dashboard'!AN$16,
'User Dashboard'!AN$17))),
IF('User Dashboard'!Z$12=3,
IF('SIR Model Patient Calcs'!B183&lt;'User Dashboard'!AJ$15,'User Dashboard'!AN$14,
IF('SIR Model Patient Calcs'!B183&lt;'User Dashboard'!AJ$16,'User Dashboard'!AN$15,
'User Dashboard'!AN$16)),
IF('User Dashboard'!Z$12=2,
IF('SIR Model Patient Calcs'!B183&lt;'User Dashboard'!AJ$15,'User Dashboard'!AN$14,
'User Dashboard'!AN$15),
IF('User Dashboard'!Z$12=1,
'User Dashboard'!AN$14)))))</f>
        <v>15.209356603107825</v>
      </c>
      <c r="D183" s="747">
        <f>'User Dashboard'!X$15</f>
        <v>2.2072878851804097E-2</v>
      </c>
      <c r="E183" s="739">
        <f t="shared" si="22"/>
        <v>9.1306104687305725E-8</v>
      </c>
      <c r="F183" s="739">
        <f t="shared" si="29"/>
        <v>9.1306104687305712E-8</v>
      </c>
      <c r="G183" s="749">
        <f>1/'User Dashboard'!X$12</f>
        <v>0.14285714285714285</v>
      </c>
      <c r="H183" s="385">
        <f t="shared" si="23"/>
        <v>441234.11359906005</v>
      </c>
      <c r="I183" s="751">
        <f t="shared" si="26"/>
        <v>157.71965722651248</v>
      </c>
      <c r="J183" s="752">
        <f t="shared" si="24"/>
        <v>3235408.1667437134</v>
      </c>
      <c r="K183" s="385">
        <f t="shared" si="27"/>
        <v>3235565.8864009399</v>
      </c>
      <c r="L183" s="752">
        <f t="shared" si="28"/>
        <v>7.0804471531882882</v>
      </c>
    </row>
    <row r="184" spans="1:12" x14ac:dyDescent="0.75">
      <c r="A184" s="309">
        <f t="shared" si="25"/>
        <v>26</v>
      </c>
      <c r="B184" s="310">
        <v>177</v>
      </c>
      <c r="C184" s="746">
        <f>IF('User Dashboard'!Z$12=5,
IF('SIR Model Patient Calcs'!B184&lt;'User Dashboard'!AJ$15,'User Dashboard'!AN$14,
IF('SIR Model Patient Calcs'!B184&lt;'User Dashboard'!AJ$16,'User Dashboard'!AN$15,
IF('SIR Model Patient Calcs'!B184&lt;'User Dashboard'!AJ$17,'User Dashboard'!AN$16,
IF('SIR Model Patient Calcs'!B184&lt;'User Dashboard'!AJ$18,'User Dashboard'!AN$17,
'User Dashboard'!AN$18)))),
IF('User Dashboard'!Z$12=4,
IF('SIR Model Patient Calcs'!B184&lt;'User Dashboard'!AJ$15,'User Dashboard'!AN$14,
IF('SIR Model Patient Calcs'!B184&lt;'User Dashboard'!AJ$16,'User Dashboard'!AN$15,
IF('SIR Model Patient Calcs'!B184&lt;'User Dashboard'!AJ$17,'User Dashboard'!AN$16,
'User Dashboard'!AN$17))),
IF('User Dashboard'!Z$12=3,
IF('SIR Model Patient Calcs'!B184&lt;'User Dashboard'!AJ$15,'User Dashboard'!AN$14,
IF('SIR Model Patient Calcs'!B184&lt;'User Dashboard'!AJ$16,'User Dashboard'!AN$15,
'User Dashboard'!AN$16)),
IF('User Dashboard'!Z$12=2,
IF('SIR Model Patient Calcs'!B184&lt;'User Dashboard'!AJ$15,'User Dashboard'!AN$14,
'User Dashboard'!AN$15),
IF('User Dashboard'!Z$12=1,
'User Dashboard'!AN$14)))))</f>
        <v>15.209356603107825</v>
      </c>
      <c r="D184" s="747">
        <f>'User Dashboard'!X$15</f>
        <v>2.2072878851804097E-2</v>
      </c>
      <c r="E184" s="739">
        <f t="shared" si="22"/>
        <v>9.1306104687305725E-8</v>
      </c>
      <c r="F184" s="739">
        <f t="shared" si="29"/>
        <v>9.1306104687305712E-8</v>
      </c>
      <c r="G184" s="749">
        <f>1/'User Dashboard'!X$12</f>
        <v>0.14285714285714285</v>
      </c>
      <c r="H184" s="385">
        <f t="shared" si="23"/>
        <v>441227.75948916207</v>
      </c>
      <c r="I184" s="751">
        <f t="shared" si="26"/>
        <v>141.54238752072231</v>
      </c>
      <c r="J184" s="752">
        <f t="shared" si="24"/>
        <v>3235430.6981233172</v>
      </c>
      <c r="K184" s="385">
        <f t="shared" si="27"/>
        <v>3235572.2405108381</v>
      </c>
      <c r="L184" s="752">
        <f t="shared" si="28"/>
        <v>6.3541098982095718</v>
      </c>
    </row>
    <row r="185" spans="1:12" x14ac:dyDescent="0.75">
      <c r="A185" s="309">
        <f t="shared" si="25"/>
        <v>26</v>
      </c>
      <c r="B185" s="310">
        <v>178</v>
      </c>
      <c r="C185" s="746">
        <f>IF('User Dashboard'!Z$12=5,
IF('SIR Model Patient Calcs'!B185&lt;'User Dashboard'!AJ$15,'User Dashboard'!AN$14,
IF('SIR Model Patient Calcs'!B185&lt;'User Dashboard'!AJ$16,'User Dashboard'!AN$15,
IF('SIR Model Patient Calcs'!B185&lt;'User Dashboard'!AJ$17,'User Dashboard'!AN$16,
IF('SIR Model Patient Calcs'!B185&lt;'User Dashboard'!AJ$18,'User Dashboard'!AN$17,
'User Dashboard'!AN$18)))),
IF('User Dashboard'!Z$12=4,
IF('SIR Model Patient Calcs'!B185&lt;'User Dashboard'!AJ$15,'User Dashboard'!AN$14,
IF('SIR Model Patient Calcs'!B185&lt;'User Dashboard'!AJ$16,'User Dashboard'!AN$15,
IF('SIR Model Patient Calcs'!B185&lt;'User Dashboard'!AJ$17,'User Dashboard'!AN$16,
'User Dashboard'!AN$17))),
IF('User Dashboard'!Z$12=3,
IF('SIR Model Patient Calcs'!B185&lt;'User Dashboard'!AJ$15,'User Dashboard'!AN$14,
IF('SIR Model Patient Calcs'!B185&lt;'User Dashboard'!AJ$16,'User Dashboard'!AN$15,
'User Dashboard'!AN$16)),
IF('User Dashboard'!Z$12=2,
IF('SIR Model Patient Calcs'!B185&lt;'User Dashboard'!AJ$15,'User Dashboard'!AN$14,
'User Dashboard'!AN$15),
IF('User Dashboard'!Z$12=1,
'User Dashboard'!AN$14)))))</f>
        <v>15.209356603107825</v>
      </c>
      <c r="D185" s="747">
        <f>'User Dashboard'!X$15</f>
        <v>2.2072878851804097E-2</v>
      </c>
      <c r="E185" s="739">
        <f t="shared" si="22"/>
        <v>9.1306104687305725E-8</v>
      </c>
      <c r="F185" s="739">
        <f t="shared" si="29"/>
        <v>9.1306104687305712E-8</v>
      </c>
      <c r="G185" s="749">
        <f>1/'User Dashboard'!X$12</f>
        <v>0.14285714285714285</v>
      </c>
      <c r="H185" s="385">
        <f t="shared" si="23"/>
        <v>441222.05720100319</v>
      </c>
      <c r="I185" s="751">
        <f t="shared" si="26"/>
        <v>127.02433460523363</v>
      </c>
      <c r="J185" s="752">
        <f t="shared" si="24"/>
        <v>3235450.9184643915</v>
      </c>
      <c r="K185" s="385">
        <f t="shared" si="27"/>
        <v>3235577.9427989968</v>
      </c>
      <c r="L185" s="752">
        <f t="shared" si="28"/>
        <v>5.7022881587035954</v>
      </c>
    </row>
    <row r="186" spans="1:12" x14ac:dyDescent="0.75">
      <c r="A186" s="309">
        <f t="shared" si="25"/>
        <v>26</v>
      </c>
      <c r="B186" s="310">
        <v>179</v>
      </c>
      <c r="C186" s="746">
        <f>IF('User Dashboard'!Z$12=5,
IF('SIR Model Patient Calcs'!B186&lt;'User Dashboard'!AJ$15,'User Dashboard'!AN$14,
IF('SIR Model Patient Calcs'!B186&lt;'User Dashboard'!AJ$16,'User Dashboard'!AN$15,
IF('SIR Model Patient Calcs'!B186&lt;'User Dashboard'!AJ$17,'User Dashboard'!AN$16,
IF('SIR Model Patient Calcs'!B186&lt;'User Dashboard'!AJ$18,'User Dashboard'!AN$17,
'User Dashboard'!AN$18)))),
IF('User Dashboard'!Z$12=4,
IF('SIR Model Patient Calcs'!B186&lt;'User Dashboard'!AJ$15,'User Dashboard'!AN$14,
IF('SIR Model Patient Calcs'!B186&lt;'User Dashboard'!AJ$16,'User Dashboard'!AN$15,
IF('SIR Model Patient Calcs'!B186&lt;'User Dashboard'!AJ$17,'User Dashboard'!AN$16,
'User Dashboard'!AN$17))),
IF('User Dashboard'!Z$12=3,
IF('SIR Model Patient Calcs'!B186&lt;'User Dashboard'!AJ$15,'User Dashboard'!AN$14,
IF('SIR Model Patient Calcs'!B186&lt;'User Dashboard'!AJ$16,'User Dashboard'!AN$15,
'User Dashboard'!AN$16)),
IF('User Dashboard'!Z$12=2,
IF('SIR Model Patient Calcs'!B186&lt;'User Dashboard'!AJ$15,'User Dashboard'!AN$14,
'User Dashboard'!AN$15),
IF('User Dashboard'!Z$12=1,
'User Dashboard'!AN$14)))))</f>
        <v>15.209356603107825</v>
      </c>
      <c r="D186" s="747">
        <f>'User Dashboard'!X$15</f>
        <v>2.2072878851804097E-2</v>
      </c>
      <c r="E186" s="739">
        <f t="shared" si="22"/>
        <v>9.1306104687305725E-8</v>
      </c>
      <c r="F186" s="739">
        <f t="shared" si="29"/>
        <v>9.1306104687305712E-8</v>
      </c>
      <c r="G186" s="749">
        <f>1/'User Dashboard'!X$12</f>
        <v>0.14285714285714285</v>
      </c>
      <c r="H186" s="385">
        <f t="shared" si="23"/>
        <v>441216.93986469996</v>
      </c>
      <c r="I186" s="751">
        <f t="shared" si="26"/>
        <v>113.99533739344562</v>
      </c>
      <c r="J186" s="752">
        <f t="shared" si="24"/>
        <v>3235469.0647979067</v>
      </c>
      <c r="K186" s="385">
        <f t="shared" si="27"/>
        <v>3235583.0601353003</v>
      </c>
      <c r="L186" s="752">
        <f t="shared" si="28"/>
        <v>5.1173363034613431</v>
      </c>
    </row>
    <row r="187" spans="1:12" x14ac:dyDescent="0.75">
      <c r="A187" s="309">
        <f t="shared" si="25"/>
        <v>26</v>
      </c>
      <c r="B187" s="310">
        <v>180</v>
      </c>
      <c r="C187" s="746">
        <f>IF('User Dashboard'!Z$12=5,
IF('SIR Model Patient Calcs'!B187&lt;'User Dashboard'!AJ$15,'User Dashboard'!AN$14,
IF('SIR Model Patient Calcs'!B187&lt;'User Dashboard'!AJ$16,'User Dashboard'!AN$15,
IF('SIR Model Patient Calcs'!B187&lt;'User Dashboard'!AJ$17,'User Dashboard'!AN$16,
IF('SIR Model Patient Calcs'!B187&lt;'User Dashboard'!AJ$18,'User Dashboard'!AN$17,
'User Dashboard'!AN$18)))),
IF('User Dashboard'!Z$12=4,
IF('SIR Model Patient Calcs'!B187&lt;'User Dashboard'!AJ$15,'User Dashboard'!AN$14,
IF('SIR Model Patient Calcs'!B187&lt;'User Dashboard'!AJ$16,'User Dashboard'!AN$15,
IF('SIR Model Patient Calcs'!B187&lt;'User Dashboard'!AJ$17,'User Dashboard'!AN$16,
'User Dashboard'!AN$17))),
IF('User Dashboard'!Z$12=3,
IF('SIR Model Patient Calcs'!B187&lt;'User Dashboard'!AJ$15,'User Dashboard'!AN$14,
IF('SIR Model Patient Calcs'!B187&lt;'User Dashboard'!AJ$16,'User Dashboard'!AN$15,
'User Dashboard'!AN$16)),
IF('User Dashboard'!Z$12=2,
IF('SIR Model Patient Calcs'!B187&lt;'User Dashboard'!AJ$15,'User Dashboard'!AN$14,
'User Dashboard'!AN$15),
IF('User Dashboard'!Z$12=1,
'User Dashboard'!AN$14)))))</f>
        <v>15.209356603107825</v>
      </c>
      <c r="D187" s="747">
        <f>'User Dashboard'!X$15</f>
        <v>2.2072878851804097E-2</v>
      </c>
      <c r="E187" s="739">
        <f t="shared" si="22"/>
        <v>9.1306104687305725E-8</v>
      </c>
      <c r="F187" s="739">
        <f t="shared" si="29"/>
        <v>9.1306104687305712E-8</v>
      </c>
      <c r="G187" s="749">
        <f>1/'User Dashboard'!X$12</f>
        <v>0.14285714285714285</v>
      </c>
      <c r="H187" s="385">
        <f t="shared" si="23"/>
        <v>441212.34747132525</v>
      </c>
      <c r="I187" s="751">
        <f t="shared" si="26"/>
        <v>102.30268256907165</v>
      </c>
      <c r="J187" s="752">
        <f t="shared" si="24"/>
        <v>3235485.3498461056</v>
      </c>
      <c r="K187" s="385">
        <f t="shared" si="27"/>
        <v>3235587.6525286748</v>
      </c>
      <c r="L187" s="752">
        <f t="shared" si="28"/>
        <v>4.5923933745361865</v>
      </c>
    </row>
    <row r="188" spans="1:12" x14ac:dyDescent="0.75">
      <c r="A188" s="309">
        <f t="shared" si="25"/>
        <v>26</v>
      </c>
      <c r="B188" s="310">
        <v>181</v>
      </c>
      <c r="C188" s="746">
        <f>IF('User Dashboard'!Z$12=5,
IF('SIR Model Patient Calcs'!B188&lt;'User Dashboard'!AJ$15,'User Dashboard'!AN$14,
IF('SIR Model Patient Calcs'!B188&lt;'User Dashboard'!AJ$16,'User Dashboard'!AN$15,
IF('SIR Model Patient Calcs'!B188&lt;'User Dashboard'!AJ$17,'User Dashboard'!AN$16,
IF('SIR Model Patient Calcs'!B188&lt;'User Dashboard'!AJ$18,'User Dashboard'!AN$17,
'User Dashboard'!AN$18)))),
IF('User Dashboard'!Z$12=4,
IF('SIR Model Patient Calcs'!B188&lt;'User Dashboard'!AJ$15,'User Dashboard'!AN$14,
IF('SIR Model Patient Calcs'!B188&lt;'User Dashboard'!AJ$16,'User Dashboard'!AN$15,
IF('SIR Model Patient Calcs'!B188&lt;'User Dashboard'!AJ$17,'User Dashboard'!AN$16,
'User Dashboard'!AN$17))),
IF('User Dashboard'!Z$12=3,
IF('SIR Model Patient Calcs'!B188&lt;'User Dashboard'!AJ$15,'User Dashboard'!AN$14,
IF('SIR Model Patient Calcs'!B188&lt;'User Dashboard'!AJ$16,'User Dashboard'!AN$15,
'User Dashboard'!AN$16)),
IF('User Dashboard'!Z$12=2,
IF('SIR Model Patient Calcs'!B188&lt;'User Dashboard'!AJ$15,'User Dashboard'!AN$14,
'User Dashboard'!AN$15),
IF('User Dashboard'!Z$12=1,
'User Dashboard'!AN$14)))))</f>
        <v>15.209356603107825</v>
      </c>
      <c r="D188" s="747">
        <f>'User Dashboard'!X$15</f>
        <v>2.2072878851804097E-2</v>
      </c>
      <c r="E188" s="739">
        <f t="shared" si="22"/>
        <v>9.1306104687305725E-8</v>
      </c>
      <c r="F188" s="739">
        <f t="shared" si="29"/>
        <v>9.1306104687305712E-8</v>
      </c>
      <c r="G188" s="749">
        <f>1/'User Dashboard'!X$12</f>
        <v>0.14285714285714285</v>
      </c>
      <c r="H188" s="385">
        <f t="shared" si="23"/>
        <v>441208.22616880236</v>
      </c>
      <c r="I188" s="751">
        <f t="shared" si="26"/>
        <v>91.809316153515624</v>
      </c>
      <c r="J188" s="752">
        <f t="shared" si="24"/>
        <v>3235499.9645150439</v>
      </c>
      <c r="K188" s="385">
        <f t="shared" si="27"/>
        <v>3235591.7738311975</v>
      </c>
      <c r="L188" s="752">
        <f t="shared" si="28"/>
        <v>4.1213025227189064</v>
      </c>
    </row>
    <row r="189" spans="1:12" x14ac:dyDescent="0.75">
      <c r="A189" s="309">
        <f t="shared" si="25"/>
        <v>26</v>
      </c>
      <c r="B189" s="310">
        <v>182</v>
      </c>
      <c r="C189" s="746">
        <f>IF('User Dashboard'!Z$12=5,
IF('SIR Model Patient Calcs'!B189&lt;'User Dashboard'!AJ$15,'User Dashboard'!AN$14,
IF('SIR Model Patient Calcs'!B189&lt;'User Dashboard'!AJ$16,'User Dashboard'!AN$15,
IF('SIR Model Patient Calcs'!B189&lt;'User Dashboard'!AJ$17,'User Dashboard'!AN$16,
IF('SIR Model Patient Calcs'!B189&lt;'User Dashboard'!AJ$18,'User Dashboard'!AN$17,
'User Dashboard'!AN$18)))),
IF('User Dashboard'!Z$12=4,
IF('SIR Model Patient Calcs'!B189&lt;'User Dashboard'!AJ$15,'User Dashboard'!AN$14,
IF('SIR Model Patient Calcs'!B189&lt;'User Dashboard'!AJ$16,'User Dashboard'!AN$15,
IF('SIR Model Patient Calcs'!B189&lt;'User Dashboard'!AJ$17,'User Dashboard'!AN$16,
'User Dashboard'!AN$17))),
IF('User Dashboard'!Z$12=3,
IF('SIR Model Patient Calcs'!B189&lt;'User Dashboard'!AJ$15,'User Dashboard'!AN$14,
IF('SIR Model Patient Calcs'!B189&lt;'User Dashboard'!AJ$16,'User Dashboard'!AN$15,
'User Dashboard'!AN$16)),
IF('User Dashboard'!Z$12=2,
IF('SIR Model Patient Calcs'!B189&lt;'User Dashboard'!AJ$15,'User Dashboard'!AN$14,
'User Dashboard'!AN$15),
IF('User Dashboard'!Z$12=1,
'User Dashboard'!AN$14)))))</f>
        <v>15.209356603107825</v>
      </c>
      <c r="D189" s="747">
        <f>'User Dashboard'!X$15</f>
        <v>2.2072878851804097E-2</v>
      </c>
      <c r="E189" s="739">
        <f t="shared" si="22"/>
        <v>9.1306104687305725E-8</v>
      </c>
      <c r="F189" s="739">
        <f t="shared" si="29"/>
        <v>9.1306104687305712E-8</v>
      </c>
      <c r="G189" s="749">
        <f>1/'User Dashboard'!X$12</f>
        <v>0.14285714285714285</v>
      </c>
      <c r="H189" s="385">
        <f t="shared" si="23"/>
        <v>441204.52763008914</v>
      </c>
      <c r="I189" s="751">
        <f t="shared" si="26"/>
        <v>82.392238273392095</v>
      </c>
      <c r="J189" s="752">
        <f t="shared" si="24"/>
        <v>3235513.0801316374</v>
      </c>
      <c r="K189" s="385">
        <f t="shared" si="27"/>
        <v>3235595.4723699107</v>
      </c>
      <c r="L189" s="752">
        <f t="shared" si="28"/>
        <v>3.698538713157177</v>
      </c>
    </row>
    <row r="190" spans="1:12" x14ac:dyDescent="0.75">
      <c r="A190" s="309">
        <f t="shared" si="25"/>
        <v>27</v>
      </c>
      <c r="B190" s="310">
        <v>183</v>
      </c>
      <c r="C190" s="746">
        <f>IF('User Dashboard'!Z$12=5,
IF('SIR Model Patient Calcs'!B190&lt;'User Dashboard'!AJ$15,'User Dashboard'!AN$14,
IF('SIR Model Patient Calcs'!B190&lt;'User Dashboard'!AJ$16,'User Dashboard'!AN$15,
IF('SIR Model Patient Calcs'!B190&lt;'User Dashboard'!AJ$17,'User Dashboard'!AN$16,
IF('SIR Model Patient Calcs'!B190&lt;'User Dashboard'!AJ$18,'User Dashboard'!AN$17,
'User Dashboard'!AN$18)))),
IF('User Dashboard'!Z$12=4,
IF('SIR Model Patient Calcs'!B190&lt;'User Dashboard'!AJ$15,'User Dashboard'!AN$14,
IF('SIR Model Patient Calcs'!B190&lt;'User Dashboard'!AJ$16,'User Dashboard'!AN$15,
IF('SIR Model Patient Calcs'!B190&lt;'User Dashboard'!AJ$17,'User Dashboard'!AN$16,
'User Dashboard'!AN$17))),
IF('User Dashboard'!Z$12=3,
IF('SIR Model Patient Calcs'!B190&lt;'User Dashboard'!AJ$15,'User Dashboard'!AN$14,
IF('SIR Model Patient Calcs'!B190&lt;'User Dashboard'!AJ$16,'User Dashboard'!AN$15,
'User Dashboard'!AN$16)),
IF('User Dashboard'!Z$12=2,
IF('SIR Model Patient Calcs'!B190&lt;'User Dashboard'!AJ$15,'User Dashboard'!AN$14,
'User Dashboard'!AN$15),
IF('User Dashboard'!Z$12=1,
'User Dashboard'!AN$14)))))</f>
        <v>15.209356603107825</v>
      </c>
      <c r="D190" s="747">
        <f>'User Dashboard'!X$15</f>
        <v>2.2072878851804097E-2</v>
      </c>
      <c r="E190" s="739">
        <f t="shared" si="22"/>
        <v>9.1306104687305725E-8</v>
      </c>
      <c r="F190" s="739">
        <f t="shared" si="29"/>
        <v>9.1306104687305725E-8</v>
      </c>
      <c r="G190" s="749">
        <f>1/'User Dashboard'!X$12</f>
        <v>0.14285714285714285</v>
      </c>
      <c r="H190" s="385">
        <f t="shared" si="23"/>
        <v>441201.20848622435</v>
      </c>
      <c r="I190" s="751">
        <f t="shared" si="26"/>
        <v>73.941062384836698</v>
      </c>
      <c r="J190" s="752">
        <f t="shared" si="24"/>
        <v>3235524.8504513907</v>
      </c>
      <c r="K190" s="385">
        <f t="shared" si="27"/>
        <v>3235598.7915137755</v>
      </c>
      <c r="L190" s="752">
        <f t="shared" si="28"/>
        <v>3.3191438647918403</v>
      </c>
    </row>
    <row r="191" spans="1:12" x14ac:dyDescent="0.75">
      <c r="A191" s="309">
        <f t="shared" si="25"/>
        <v>27</v>
      </c>
      <c r="B191" s="310">
        <v>184</v>
      </c>
      <c r="C191" s="746">
        <f>IF('User Dashboard'!Z$12=5,
IF('SIR Model Patient Calcs'!B191&lt;'User Dashboard'!AJ$15,'User Dashboard'!AN$14,
IF('SIR Model Patient Calcs'!B191&lt;'User Dashboard'!AJ$16,'User Dashboard'!AN$15,
IF('SIR Model Patient Calcs'!B191&lt;'User Dashboard'!AJ$17,'User Dashboard'!AN$16,
IF('SIR Model Patient Calcs'!B191&lt;'User Dashboard'!AJ$18,'User Dashboard'!AN$17,
'User Dashboard'!AN$18)))),
IF('User Dashboard'!Z$12=4,
IF('SIR Model Patient Calcs'!B191&lt;'User Dashboard'!AJ$15,'User Dashboard'!AN$14,
IF('SIR Model Patient Calcs'!B191&lt;'User Dashboard'!AJ$16,'User Dashboard'!AN$15,
IF('SIR Model Patient Calcs'!B191&lt;'User Dashboard'!AJ$17,'User Dashboard'!AN$16,
'User Dashboard'!AN$17))),
IF('User Dashboard'!Z$12=3,
IF('SIR Model Patient Calcs'!B191&lt;'User Dashboard'!AJ$15,'User Dashboard'!AN$14,
IF('SIR Model Patient Calcs'!B191&lt;'User Dashboard'!AJ$16,'User Dashboard'!AN$15,
'User Dashboard'!AN$16)),
IF('User Dashboard'!Z$12=2,
IF('SIR Model Patient Calcs'!B191&lt;'User Dashboard'!AJ$15,'User Dashboard'!AN$14,
'User Dashboard'!AN$15),
IF('User Dashboard'!Z$12=1,
'User Dashboard'!AN$14)))))</f>
        <v>15.209356603107825</v>
      </c>
      <c r="D191" s="747">
        <f>'User Dashboard'!X$15</f>
        <v>2.2072878851804097E-2</v>
      </c>
      <c r="E191" s="739">
        <f t="shared" si="22"/>
        <v>9.1306104687305738E-8</v>
      </c>
      <c r="F191" s="739">
        <f t="shared" si="29"/>
        <v>9.1306104687305725E-8</v>
      </c>
      <c r="G191" s="749">
        <f>1/'User Dashboard'!X$12</f>
        <v>0.14285714285714285</v>
      </c>
      <c r="H191" s="385">
        <f t="shared" si="23"/>
        <v>441198.22981757263</v>
      </c>
      <c r="I191" s="751">
        <f t="shared" si="26"/>
        <v>66.356722124426</v>
      </c>
      <c r="J191" s="752">
        <f t="shared" si="24"/>
        <v>3235535.4134603026</v>
      </c>
      <c r="K191" s="385">
        <f t="shared" si="27"/>
        <v>3235601.770182427</v>
      </c>
      <c r="L191" s="752">
        <f t="shared" si="28"/>
        <v>2.9786686515435576</v>
      </c>
    </row>
    <row r="192" spans="1:12" x14ac:dyDescent="0.75">
      <c r="A192" s="309">
        <f t="shared" si="25"/>
        <v>27</v>
      </c>
      <c r="B192" s="310">
        <v>185</v>
      </c>
      <c r="C192" s="746">
        <f>IF('User Dashboard'!Z$12=5,
IF('SIR Model Patient Calcs'!B192&lt;'User Dashboard'!AJ$15,'User Dashboard'!AN$14,
IF('SIR Model Patient Calcs'!B192&lt;'User Dashboard'!AJ$16,'User Dashboard'!AN$15,
IF('SIR Model Patient Calcs'!B192&lt;'User Dashboard'!AJ$17,'User Dashboard'!AN$16,
IF('SIR Model Patient Calcs'!B192&lt;'User Dashboard'!AJ$18,'User Dashboard'!AN$17,
'User Dashboard'!AN$18)))),
IF('User Dashboard'!Z$12=4,
IF('SIR Model Patient Calcs'!B192&lt;'User Dashboard'!AJ$15,'User Dashboard'!AN$14,
IF('SIR Model Patient Calcs'!B192&lt;'User Dashboard'!AJ$16,'User Dashboard'!AN$15,
IF('SIR Model Patient Calcs'!B192&lt;'User Dashboard'!AJ$17,'User Dashboard'!AN$16,
'User Dashboard'!AN$17))),
IF('User Dashboard'!Z$12=3,
IF('SIR Model Patient Calcs'!B192&lt;'User Dashboard'!AJ$15,'User Dashboard'!AN$14,
IF('SIR Model Patient Calcs'!B192&lt;'User Dashboard'!AJ$16,'User Dashboard'!AN$15,
'User Dashboard'!AN$16)),
IF('User Dashboard'!Z$12=2,
IF('SIR Model Patient Calcs'!B192&lt;'User Dashboard'!AJ$15,'User Dashboard'!AN$14,
'User Dashboard'!AN$15),
IF('User Dashboard'!Z$12=1,
'User Dashboard'!AN$14)))))</f>
        <v>15.209356603107825</v>
      </c>
      <c r="D192" s="747">
        <f>'User Dashboard'!X$15</f>
        <v>2.2072878851804097E-2</v>
      </c>
      <c r="E192" s="739">
        <f t="shared" si="22"/>
        <v>9.1306104687305738E-8</v>
      </c>
      <c r="F192" s="739">
        <f t="shared" si="29"/>
        <v>9.1306104687305725E-8</v>
      </c>
      <c r="G192" s="749">
        <f>1/'User Dashboard'!X$12</f>
        <v>0.14285714285714285</v>
      </c>
      <c r="H192" s="385">
        <f t="shared" si="23"/>
        <v>441195.55669728969</v>
      </c>
      <c r="I192" s="751">
        <f t="shared" si="26"/>
        <v>59.550310675290291</v>
      </c>
      <c r="J192" s="752">
        <f t="shared" si="24"/>
        <v>3235544.8929920346</v>
      </c>
      <c r="K192" s="385">
        <f t="shared" si="27"/>
        <v>3235604.4433027101</v>
      </c>
      <c r="L192" s="752">
        <f t="shared" si="28"/>
        <v>2.6731202830560505</v>
      </c>
    </row>
    <row r="193" spans="1:12" x14ac:dyDescent="0.75">
      <c r="A193" s="309">
        <f t="shared" si="25"/>
        <v>27</v>
      </c>
      <c r="B193" s="310">
        <v>186</v>
      </c>
      <c r="C193" s="746">
        <f>IF('User Dashboard'!Z$12=5,
IF('SIR Model Patient Calcs'!B193&lt;'User Dashboard'!AJ$15,'User Dashboard'!AN$14,
IF('SIR Model Patient Calcs'!B193&lt;'User Dashboard'!AJ$16,'User Dashboard'!AN$15,
IF('SIR Model Patient Calcs'!B193&lt;'User Dashboard'!AJ$17,'User Dashboard'!AN$16,
IF('SIR Model Patient Calcs'!B193&lt;'User Dashboard'!AJ$18,'User Dashboard'!AN$17,
'User Dashboard'!AN$18)))),
IF('User Dashboard'!Z$12=4,
IF('SIR Model Patient Calcs'!B193&lt;'User Dashboard'!AJ$15,'User Dashboard'!AN$14,
IF('SIR Model Patient Calcs'!B193&lt;'User Dashboard'!AJ$16,'User Dashboard'!AN$15,
IF('SIR Model Patient Calcs'!B193&lt;'User Dashboard'!AJ$17,'User Dashboard'!AN$16,
'User Dashboard'!AN$17))),
IF('User Dashboard'!Z$12=3,
IF('SIR Model Patient Calcs'!B193&lt;'User Dashboard'!AJ$15,'User Dashboard'!AN$14,
IF('SIR Model Patient Calcs'!B193&lt;'User Dashboard'!AJ$16,'User Dashboard'!AN$15,
'User Dashboard'!AN$16)),
IF('User Dashboard'!Z$12=2,
IF('SIR Model Patient Calcs'!B193&lt;'User Dashboard'!AJ$15,'User Dashboard'!AN$14,
'User Dashboard'!AN$15),
IF('User Dashboard'!Z$12=1,
'User Dashboard'!AN$14)))))</f>
        <v>15.209356603107825</v>
      </c>
      <c r="D193" s="747">
        <f>'User Dashboard'!X$15</f>
        <v>2.2072878851804097E-2</v>
      </c>
      <c r="E193" s="739">
        <f t="shared" si="22"/>
        <v>9.1306104687305738E-8</v>
      </c>
      <c r="F193" s="739">
        <f t="shared" si="29"/>
        <v>9.1306104687305725E-8</v>
      </c>
      <c r="G193" s="749">
        <f>1/'User Dashboard'!X$12</f>
        <v>0.14285714285714285</v>
      </c>
      <c r="H193" s="385">
        <f t="shared" si="23"/>
        <v>441193.15778164472</v>
      </c>
      <c r="I193" s="751">
        <f t="shared" si="26"/>
        <v>53.442039080942472</v>
      </c>
      <c r="J193" s="752">
        <f t="shared" si="24"/>
        <v>3235553.4001792739</v>
      </c>
      <c r="K193" s="385">
        <f t="shared" si="27"/>
        <v>3235606.8422183548</v>
      </c>
      <c r="L193" s="752">
        <f t="shared" si="28"/>
        <v>2.3989156447350979</v>
      </c>
    </row>
    <row r="194" spans="1:12" x14ac:dyDescent="0.75">
      <c r="A194" s="309">
        <f t="shared" si="25"/>
        <v>27</v>
      </c>
      <c r="B194" s="310">
        <v>187</v>
      </c>
      <c r="C194" s="746">
        <f>IF('User Dashboard'!Z$12=5,
IF('SIR Model Patient Calcs'!B194&lt;'User Dashboard'!AJ$15,'User Dashboard'!AN$14,
IF('SIR Model Patient Calcs'!B194&lt;'User Dashboard'!AJ$16,'User Dashboard'!AN$15,
IF('SIR Model Patient Calcs'!B194&lt;'User Dashboard'!AJ$17,'User Dashboard'!AN$16,
IF('SIR Model Patient Calcs'!B194&lt;'User Dashboard'!AJ$18,'User Dashboard'!AN$17,
'User Dashboard'!AN$18)))),
IF('User Dashboard'!Z$12=4,
IF('SIR Model Patient Calcs'!B194&lt;'User Dashboard'!AJ$15,'User Dashboard'!AN$14,
IF('SIR Model Patient Calcs'!B194&lt;'User Dashboard'!AJ$16,'User Dashboard'!AN$15,
IF('SIR Model Patient Calcs'!B194&lt;'User Dashboard'!AJ$17,'User Dashboard'!AN$16,
'User Dashboard'!AN$17))),
IF('User Dashboard'!Z$12=3,
IF('SIR Model Patient Calcs'!B194&lt;'User Dashboard'!AJ$15,'User Dashboard'!AN$14,
IF('SIR Model Patient Calcs'!B194&lt;'User Dashboard'!AJ$16,'User Dashboard'!AN$15,
'User Dashboard'!AN$16)),
IF('User Dashboard'!Z$12=2,
IF('SIR Model Patient Calcs'!B194&lt;'User Dashboard'!AJ$15,'User Dashboard'!AN$14,
'User Dashboard'!AN$15),
IF('User Dashboard'!Z$12=1,
'User Dashboard'!AN$14)))))</f>
        <v>15.209356603107825</v>
      </c>
      <c r="D194" s="747">
        <f>'User Dashboard'!X$15</f>
        <v>2.2072878851804097E-2</v>
      </c>
      <c r="E194" s="739">
        <f t="shared" si="22"/>
        <v>9.1306104687305738E-8</v>
      </c>
      <c r="F194" s="739">
        <f t="shared" si="29"/>
        <v>9.1306104687305725E-8</v>
      </c>
      <c r="G194" s="749">
        <f>1/'User Dashboard'!X$12</f>
        <v>0.14285714285714285</v>
      </c>
      <c r="H194" s="385">
        <f t="shared" si="23"/>
        <v>441191.00494238798</v>
      </c>
      <c r="I194" s="751">
        <f t="shared" si="26"/>
        <v>47.960301326107398</v>
      </c>
      <c r="J194" s="752">
        <f t="shared" si="24"/>
        <v>3235561.0347562856</v>
      </c>
      <c r="K194" s="385">
        <f t="shared" si="27"/>
        <v>3235608.9950576117</v>
      </c>
      <c r="L194" s="752">
        <f t="shared" si="28"/>
        <v>2.1528392569161952</v>
      </c>
    </row>
    <row r="195" spans="1:12" x14ac:dyDescent="0.75">
      <c r="A195" s="309">
        <f t="shared" si="25"/>
        <v>27</v>
      </c>
      <c r="B195" s="310">
        <v>188</v>
      </c>
      <c r="C195" s="746">
        <f>IF('User Dashboard'!Z$12=5,
IF('SIR Model Patient Calcs'!B195&lt;'User Dashboard'!AJ$15,'User Dashboard'!AN$14,
IF('SIR Model Patient Calcs'!B195&lt;'User Dashboard'!AJ$16,'User Dashboard'!AN$15,
IF('SIR Model Patient Calcs'!B195&lt;'User Dashboard'!AJ$17,'User Dashboard'!AN$16,
IF('SIR Model Patient Calcs'!B195&lt;'User Dashboard'!AJ$18,'User Dashboard'!AN$17,
'User Dashboard'!AN$18)))),
IF('User Dashboard'!Z$12=4,
IF('SIR Model Patient Calcs'!B195&lt;'User Dashboard'!AJ$15,'User Dashboard'!AN$14,
IF('SIR Model Patient Calcs'!B195&lt;'User Dashboard'!AJ$16,'User Dashboard'!AN$15,
IF('SIR Model Patient Calcs'!B195&lt;'User Dashboard'!AJ$17,'User Dashboard'!AN$16,
'User Dashboard'!AN$17))),
IF('User Dashboard'!Z$12=3,
IF('SIR Model Patient Calcs'!B195&lt;'User Dashboard'!AJ$15,'User Dashboard'!AN$14,
IF('SIR Model Patient Calcs'!B195&lt;'User Dashboard'!AJ$16,'User Dashboard'!AN$15,
'User Dashboard'!AN$16)),
IF('User Dashboard'!Z$12=2,
IF('SIR Model Patient Calcs'!B195&lt;'User Dashboard'!AJ$15,'User Dashboard'!AN$14,
'User Dashboard'!AN$15),
IF('User Dashboard'!Z$12=1,
'User Dashboard'!AN$14)))))</f>
        <v>15.209356603107825</v>
      </c>
      <c r="D195" s="747">
        <f>'User Dashboard'!X$15</f>
        <v>2.2072878851804097E-2</v>
      </c>
      <c r="E195" s="739">
        <f t="shared" si="22"/>
        <v>9.1306104687305738E-8</v>
      </c>
      <c r="F195" s="739">
        <f t="shared" si="29"/>
        <v>9.1306104687305725E-8</v>
      </c>
      <c r="G195" s="749">
        <f>1/'User Dashboard'!X$12</f>
        <v>0.14285714285714285</v>
      </c>
      <c r="H195" s="385">
        <f t="shared" si="23"/>
        <v>441189.07293684676</v>
      </c>
      <c r="I195" s="751">
        <f t="shared" si="26"/>
        <v>43.040835249308095</v>
      </c>
      <c r="J195" s="752">
        <f t="shared" si="24"/>
        <v>3235567.8862279034</v>
      </c>
      <c r="K195" s="385">
        <f t="shared" si="27"/>
        <v>3235610.9270631527</v>
      </c>
      <c r="L195" s="752">
        <f t="shared" si="28"/>
        <v>1.93200554093346</v>
      </c>
    </row>
    <row r="196" spans="1:12" x14ac:dyDescent="0.75">
      <c r="A196" s="309">
        <f t="shared" si="25"/>
        <v>27</v>
      </c>
      <c r="B196" s="310">
        <v>189</v>
      </c>
      <c r="C196" s="746">
        <f>IF('User Dashboard'!Z$12=5,
IF('SIR Model Patient Calcs'!B196&lt;'User Dashboard'!AJ$15,'User Dashboard'!AN$14,
IF('SIR Model Patient Calcs'!B196&lt;'User Dashboard'!AJ$16,'User Dashboard'!AN$15,
IF('SIR Model Patient Calcs'!B196&lt;'User Dashboard'!AJ$17,'User Dashboard'!AN$16,
IF('SIR Model Patient Calcs'!B196&lt;'User Dashboard'!AJ$18,'User Dashboard'!AN$17,
'User Dashboard'!AN$18)))),
IF('User Dashboard'!Z$12=4,
IF('SIR Model Patient Calcs'!B196&lt;'User Dashboard'!AJ$15,'User Dashboard'!AN$14,
IF('SIR Model Patient Calcs'!B196&lt;'User Dashboard'!AJ$16,'User Dashboard'!AN$15,
IF('SIR Model Patient Calcs'!B196&lt;'User Dashboard'!AJ$17,'User Dashboard'!AN$16,
'User Dashboard'!AN$17))),
IF('User Dashboard'!Z$12=3,
IF('SIR Model Patient Calcs'!B196&lt;'User Dashboard'!AJ$15,'User Dashboard'!AN$14,
IF('SIR Model Patient Calcs'!B196&lt;'User Dashboard'!AJ$16,'User Dashboard'!AN$15,
'User Dashboard'!AN$16)),
IF('User Dashboard'!Z$12=2,
IF('SIR Model Patient Calcs'!B196&lt;'User Dashboard'!AJ$15,'User Dashboard'!AN$14,
'User Dashboard'!AN$15),
IF('User Dashboard'!Z$12=1,
'User Dashboard'!AN$14)))))</f>
        <v>15.209356603107825</v>
      </c>
      <c r="D196" s="747">
        <f>'User Dashboard'!X$15</f>
        <v>2.2072878851804097E-2</v>
      </c>
      <c r="E196" s="739">
        <f t="shared" si="22"/>
        <v>9.1306104687305738E-8</v>
      </c>
      <c r="F196" s="739">
        <f t="shared" si="29"/>
        <v>9.1306104687305725E-8</v>
      </c>
      <c r="G196" s="749">
        <f>1/'User Dashboard'!X$12</f>
        <v>0.14285714285714285</v>
      </c>
      <c r="H196" s="385">
        <f t="shared" si="23"/>
        <v>441187.33911187568</v>
      </c>
      <c r="I196" s="751">
        <f t="shared" si="26"/>
        <v>38.625969470455679</v>
      </c>
      <c r="J196" s="752">
        <f t="shared" si="24"/>
        <v>3235574.0349186533</v>
      </c>
      <c r="K196" s="385">
        <f t="shared" si="27"/>
        <v>3235612.6608881238</v>
      </c>
      <c r="L196" s="752">
        <f t="shared" si="28"/>
        <v>1.7338249711319804</v>
      </c>
    </row>
    <row r="197" spans="1:12" x14ac:dyDescent="0.75">
      <c r="A197" s="309">
        <f t="shared" si="25"/>
        <v>28</v>
      </c>
      <c r="B197" s="310">
        <v>190</v>
      </c>
      <c r="C197" s="746">
        <f>IF('User Dashboard'!Z$12=5,
IF('SIR Model Patient Calcs'!B197&lt;'User Dashboard'!AJ$15,'User Dashboard'!AN$14,
IF('SIR Model Patient Calcs'!B197&lt;'User Dashboard'!AJ$16,'User Dashboard'!AN$15,
IF('SIR Model Patient Calcs'!B197&lt;'User Dashboard'!AJ$17,'User Dashboard'!AN$16,
IF('SIR Model Patient Calcs'!B197&lt;'User Dashboard'!AJ$18,'User Dashboard'!AN$17,
'User Dashboard'!AN$18)))),
IF('User Dashboard'!Z$12=4,
IF('SIR Model Patient Calcs'!B197&lt;'User Dashboard'!AJ$15,'User Dashboard'!AN$14,
IF('SIR Model Patient Calcs'!B197&lt;'User Dashboard'!AJ$16,'User Dashboard'!AN$15,
IF('SIR Model Patient Calcs'!B197&lt;'User Dashboard'!AJ$17,'User Dashboard'!AN$16,
'User Dashboard'!AN$17))),
IF('User Dashboard'!Z$12=3,
IF('SIR Model Patient Calcs'!B197&lt;'User Dashboard'!AJ$15,'User Dashboard'!AN$14,
IF('SIR Model Patient Calcs'!B197&lt;'User Dashboard'!AJ$16,'User Dashboard'!AN$15,
'User Dashboard'!AN$16)),
IF('User Dashboard'!Z$12=2,
IF('SIR Model Patient Calcs'!B197&lt;'User Dashboard'!AJ$15,'User Dashboard'!AN$14,
'User Dashboard'!AN$15),
IF('User Dashboard'!Z$12=1,
'User Dashboard'!AN$14)))))</f>
        <v>15.209356603107825</v>
      </c>
      <c r="D197" s="747">
        <f>'User Dashboard'!X$15</f>
        <v>2.2072878851804097E-2</v>
      </c>
      <c r="E197" s="739">
        <f t="shared" si="22"/>
        <v>9.1306104687305738E-8</v>
      </c>
      <c r="F197" s="739">
        <f t="shared" si="29"/>
        <v>9.1306104687305725E-8</v>
      </c>
      <c r="G197" s="749">
        <f>1/'User Dashboard'!X$12</f>
        <v>0.14285714285714285</v>
      </c>
      <c r="H197" s="385">
        <f t="shared" si="23"/>
        <v>441185.78313818644</v>
      </c>
      <c r="I197" s="751">
        <f t="shared" si="26"/>
        <v>34.663947521072394</v>
      </c>
      <c r="J197" s="752">
        <f t="shared" si="24"/>
        <v>3235579.5529142921</v>
      </c>
      <c r="K197" s="385">
        <f t="shared" si="27"/>
        <v>3235614.2168618133</v>
      </c>
      <c r="L197" s="752">
        <f t="shared" si="28"/>
        <v>1.5559736895374954</v>
      </c>
    </row>
    <row r="198" spans="1:12" x14ac:dyDescent="0.75">
      <c r="A198" s="309">
        <f t="shared" si="25"/>
        <v>28</v>
      </c>
      <c r="B198" s="310">
        <v>191</v>
      </c>
      <c r="C198" s="746">
        <f>IF('User Dashboard'!Z$12=5,
IF('SIR Model Patient Calcs'!B198&lt;'User Dashboard'!AJ$15,'User Dashboard'!AN$14,
IF('SIR Model Patient Calcs'!B198&lt;'User Dashboard'!AJ$16,'User Dashboard'!AN$15,
IF('SIR Model Patient Calcs'!B198&lt;'User Dashboard'!AJ$17,'User Dashboard'!AN$16,
IF('SIR Model Patient Calcs'!B198&lt;'User Dashboard'!AJ$18,'User Dashboard'!AN$17,
'User Dashboard'!AN$18)))),
IF('User Dashboard'!Z$12=4,
IF('SIR Model Patient Calcs'!B198&lt;'User Dashboard'!AJ$15,'User Dashboard'!AN$14,
IF('SIR Model Patient Calcs'!B198&lt;'User Dashboard'!AJ$16,'User Dashboard'!AN$15,
IF('SIR Model Patient Calcs'!B198&lt;'User Dashboard'!AJ$17,'User Dashboard'!AN$16,
'User Dashboard'!AN$17))),
IF('User Dashboard'!Z$12=3,
IF('SIR Model Patient Calcs'!B198&lt;'User Dashboard'!AJ$15,'User Dashboard'!AN$14,
IF('SIR Model Patient Calcs'!B198&lt;'User Dashboard'!AJ$16,'User Dashboard'!AN$15,
'User Dashboard'!AN$16)),
IF('User Dashboard'!Z$12=2,
IF('SIR Model Patient Calcs'!B198&lt;'User Dashboard'!AJ$15,'User Dashboard'!AN$14,
'User Dashboard'!AN$15),
IF('User Dashboard'!Z$12=1,
'User Dashboard'!AN$14)))))</f>
        <v>15.209356603107825</v>
      </c>
      <c r="D198" s="747">
        <f>'User Dashboard'!X$15</f>
        <v>2.2072878851804097E-2</v>
      </c>
      <c r="E198" s="739">
        <f t="shared" si="22"/>
        <v>9.1306104687305738E-8</v>
      </c>
      <c r="F198" s="739">
        <f t="shared" si="29"/>
        <v>9.1306104687305725E-8</v>
      </c>
      <c r="G198" s="749">
        <f>1/'User Dashboard'!X$12</f>
        <v>0.14285714285714285</v>
      </c>
      <c r="H198" s="385">
        <f t="shared" si="23"/>
        <v>441184.38677193789</v>
      </c>
      <c r="I198" s="751">
        <f t="shared" si="26"/>
        <v>31.108321266636182</v>
      </c>
      <c r="J198" s="752">
        <f t="shared" si="24"/>
        <v>3235584.504906795</v>
      </c>
      <c r="K198" s="385">
        <f t="shared" si="27"/>
        <v>3235615.6132280617</v>
      </c>
      <c r="L198" s="752">
        <f t="shared" si="28"/>
        <v>1.3963662483729422</v>
      </c>
    </row>
    <row r="199" spans="1:12" x14ac:dyDescent="0.75">
      <c r="A199" s="309">
        <f t="shared" si="25"/>
        <v>28</v>
      </c>
      <c r="B199" s="310">
        <v>192</v>
      </c>
      <c r="C199" s="746">
        <f>IF('User Dashboard'!Z$12=5,
IF('SIR Model Patient Calcs'!B199&lt;'User Dashboard'!AJ$15,'User Dashboard'!AN$14,
IF('SIR Model Patient Calcs'!B199&lt;'User Dashboard'!AJ$16,'User Dashboard'!AN$15,
IF('SIR Model Patient Calcs'!B199&lt;'User Dashboard'!AJ$17,'User Dashboard'!AN$16,
IF('SIR Model Patient Calcs'!B199&lt;'User Dashboard'!AJ$18,'User Dashboard'!AN$17,
'User Dashboard'!AN$18)))),
IF('User Dashboard'!Z$12=4,
IF('SIR Model Patient Calcs'!B199&lt;'User Dashboard'!AJ$15,'User Dashboard'!AN$14,
IF('SIR Model Patient Calcs'!B199&lt;'User Dashboard'!AJ$16,'User Dashboard'!AN$15,
IF('SIR Model Patient Calcs'!B199&lt;'User Dashboard'!AJ$17,'User Dashboard'!AN$16,
'User Dashboard'!AN$17))),
IF('User Dashboard'!Z$12=3,
IF('SIR Model Patient Calcs'!B199&lt;'User Dashboard'!AJ$15,'User Dashboard'!AN$14,
IF('SIR Model Patient Calcs'!B199&lt;'User Dashboard'!AJ$16,'User Dashboard'!AN$15,
'User Dashboard'!AN$16)),
IF('User Dashboard'!Z$12=2,
IF('SIR Model Patient Calcs'!B199&lt;'User Dashboard'!AJ$15,'User Dashboard'!AN$14,
'User Dashboard'!AN$15),
IF('User Dashboard'!Z$12=1,
'User Dashboard'!AN$14)))))</f>
        <v>15.209356603107825</v>
      </c>
      <c r="D199" s="747">
        <f>'User Dashboard'!X$15</f>
        <v>2.2072878851804097E-2</v>
      </c>
      <c r="E199" s="739">
        <f t="shared" ref="E199:E262" si="30">(C199*D199)/SUM(H199:J199)</f>
        <v>9.1306104687305738E-8</v>
      </c>
      <c r="F199" s="739">
        <f t="shared" si="29"/>
        <v>9.1306104687305725E-8</v>
      </c>
      <c r="G199" s="749">
        <f>1/'User Dashboard'!X$12</f>
        <v>0.14285714285714285</v>
      </c>
      <c r="H199" s="385">
        <f t="shared" si="23"/>
        <v>441183.13364078902</v>
      </c>
      <c r="I199" s="751">
        <f t="shared" si="26"/>
        <v>27.91740652028907</v>
      </c>
      <c r="J199" s="752">
        <f t="shared" si="24"/>
        <v>3235588.9489526902</v>
      </c>
      <c r="K199" s="385">
        <f t="shared" si="27"/>
        <v>3235616.8663592106</v>
      </c>
      <c r="L199" s="752">
        <f t="shared" si="28"/>
        <v>1.2531311488710344</v>
      </c>
    </row>
    <row r="200" spans="1:12" x14ac:dyDescent="0.75">
      <c r="A200" s="309">
        <f t="shared" si="25"/>
        <v>28</v>
      </c>
      <c r="B200" s="310">
        <v>193</v>
      </c>
      <c r="C200" s="746">
        <f>IF('User Dashboard'!Z$12=5,
IF('SIR Model Patient Calcs'!B200&lt;'User Dashboard'!AJ$15,'User Dashboard'!AN$14,
IF('SIR Model Patient Calcs'!B200&lt;'User Dashboard'!AJ$16,'User Dashboard'!AN$15,
IF('SIR Model Patient Calcs'!B200&lt;'User Dashboard'!AJ$17,'User Dashboard'!AN$16,
IF('SIR Model Patient Calcs'!B200&lt;'User Dashboard'!AJ$18,'User Dashboard'!AN$17,
'User Dashboard'!AN$18)))),
IF('User Dashboard'!Z$12=4,
IF('SIR Model Patient Calcs'!B200&lt;'User Dashboard'!AJ$15,'User Dashboard'!AN$14,
IF('SIR Model Patient Calcs'!B200&lt;'User Dashboard'!AJ$16,'User Dashboard'!AN$15,
IF('SIR Model Patient Calcs'!B200&lt;'User Dashboard'!AJ$17,'User Dashboard'!AN$16,
'User Dashboard'!AN$17))),
IF('User Dashboard'!Z$12=3,
IF('SIR Model Patient Calcs'!B200&lt;'User Dashboard'!AJ$15,'User Dashboard'!AN$14,
IF('SIR Model Patient Calcs'!B200&lt;'User Dashboard'!AJ$16,'User Dashboard'!AN$15,
'User Dashboard'!AN$16)),
IF('User Dashboard'!Z$12=2,
IF('SIR Model Patient Calcs'!B200&lt;'User Dashboard'!AJ$15,'User Dashboard'!AN$14,
'User Dashboard'!AN$15),
IF('User Dashboard'!Z$12=1,
'User Dashboard'!AN$14)))))</f>
        <v>15.209356603107825</v>
      </c>
      <c r="D200" s="747">
        <f>'User Dashboard'!X$15</f>
        <v>2.2072878851804097E-2</v>
      </c>
      <c r="E200" s="739">
        <f t="shared" si="30"/>
        <v>9.1306104687305738E-8</v>
      </c>
      <c r="F200" s="739">
        <f t="shared" si="29"/>
        <v>9.1306104687305725E-8</v>
      </c>
      <c r="G200" s="749">
        <f>1/'User Dashboard'!X$12</f>
        <v>0.14285714285714285</v>
      </c>
      <c r="H200" s="385">
        <f t="shared" ref="H200:H263" si="31">-MIN(F199*I199,1)*H199+H199</f>
        <v>441182.00905190367</v>
      </c>
      <c r="I200" s="751">
        <f t="shared" si="26"/>
        <v>25.053794474169841</v>
      </c>
      <c r="J200" s="752">
        <f t="shared" ref="J200:J263" si="32">G199*I199+J199</f>
        <v>3235592.9371536216</v>
      </c>
      <c r="K200" s="385">
        <f t="shared" si="27"/>
        <v>3235617.9909480959</v>
      </c>
      <c r="L200" s="752">
        <f t="shared" si="28"/>
        <v>1.1245888853445649</v>
      </c>
    </row>
    <row r="201" spans="1:12" x14ac:dyDescent="0.75">
      <c r="A201" s="309">
        <f t="shared" ref="A201:A264" si="33">IF(AND(IF(L201&lt;1,0,1)*ROUNDUP(B201/7,0)=0,B201&lt;&gt;0),"",IF(L201&lt;1,0,1)*ROUNDUP(B201/7,0))</f>
        <v>28</v>
      </c>
      <c r="B201" s="310">
        <v>194</v>
      </c>
      <c r="C201" s="746">
        <f>IF('User Dashboard'!Z$12=5,
IF('SIR Model Patient Calcs'!B201&lt;'User Dashboard'!AJ$15,'User Dashboard'!AN$14,
IF('SIR Model Patient Calcs'!B201&lt;'User Dashboard'!AJ$16,'User Dashboard'!AN$15,
IF('SIR Model Patient Calcs'!B201&lt;'User Dashboard'!AJ$17,'User Dashboard'!AN$16,
IF('SIR Model Patient Calcs'!B201&lt;'User Dashboard'!AJ$18,'User Dashboard'!AN$17,
'User Dashboard'!AN$18)))),
IF('User Dashboard'!Z$12=4,
IF('SIR Model Patient Calcs'!B201&lt;'User Dashboard'!AJ$15,'User Dashboard'!AN$14,
IF('SIR Model Patient Calcs'!B201&lt;'User Dashboard'!AJ$16,'User Dashboard'!AN$15,
IF('SIR Model Patient Calcs'!B201&lt;'User Dashboard'!AJ$17,'User Dashboard'!AN$16,
'User Dashboard'!AN$17))),
IF('User Dashboard'!Z$12=3,
IF('SIR Model Patient Calcs'!B201&lt;'User Dashboard'!AJ$15,'User Dashboard'!AN$14,
IF('SIR Model Patient Calcs'!B201&lt;'User Dashboard'!AJ$16,'User Dashboard'!AN$15,
'User Dashboard'!AN$16)),
IF('User Dashboard'!Z$12=2,
IF('SIR Model Patient Calcs'!B201&lt;'User Dashboard'!AJ$15,'User Dashboard'!AN$14,
'User Dashboard'!AN$15),
IF('User Dashboard'!Z$12=1,
'User Dashboard'!AN$14)))))</f>
        <v>15.209356603107825</v>
      </c>
      <c r="D201" s="747">
        <f>'User Dashboard'!X$15</f>
        <v>2.2072878851804097E-2</v>
      </c>
      <c r="E201" s="739">
        <f t="shared" si="30"/>
        <v>9.1306104687305738E-8</v>
      </c>
      <c r="F201" s="739">
        <f t="shared" si="29"/>
        <v>9.1306104687305725E-8</v>
      </c>
      <c r="G201" s="749">
        <f>1/'User Dashboard'!X$12</f>
        <v>0.14285714285714285</v>
      </c>
      <c r="H201" s="385">
        <f t="shared" si="31"/>
        <v>441180.99981965421</v>
      </c>
      <c r="I201" s="751">
        <f t="shared" ref="I201:I264" si="34">MIN(F200*I200,1)*H200-G200*I200+I200</f>
        <v>22.483913227337133</v>
      </c>
      <c r="J201" s="752">
        <f t="shared" si="32"/>
        <v>3235596.516267118</v>
      </c>
      <c r="K201" s="385">
        <f t="shared" ref="K201:K264" si="35">(I201+J201)</f>
        <v>3235619.0001803455</v>
      </c>
      <c r="L201" s="752">
        <f t="shared" ref="L201:L264" si="36">(K201-K200)</f>
        <v>1.0092322495765984</v>
      </c>
    </row>
    <row r="202" spans="1:12" x14ac:dyDescent="0.75">
      <c r="A202" s="309" t="str">
        <f t="shared" si="33"/>
        <v/>
      </c>
      <c r="B202" s="310">
        <v>195</v>
      </c>
      <c r="C202" s="746">
        <f>IF('User Dashboard'!Z$12=5,
IF('SIR Model Patient Calcs'!B202&lt;'User Dashboard'!AJ$15,'User Dashboard'!AN$14,
IF('SIR Model Patient Calcs'!B202&lt;'User Dashboard'!AJ$16,'User Dashboard'!AN$15,
IF('SIR Model Patient Calcs'!B202&lt;'User Dashboard'!AJ$17,'User Dashboard'!AN$16,
IF('SIR Model Patient Calcs'!B202&lt;'User Dashboard'!AJ$18,'User Dashboard'!AN$17,
'User Dashboard'!AN$18)))),
IF('User Dashboard'!Z$12=4,
IF('SIR Model Patient Calcs'!B202&lt;'User Dashboard'!AJ$15,'User Dashboard'!AN$14,
IF('SIR Model Patient Calcs'!B202&lt;'User Dashboard'!AJ$16,'User Dashboard'!AN$15,
IF('SIR Model Patient Calcs'!B202&lt;'User Dashboard'!AJ$17,'User Dashboard'!AN$16,
'User Dashboard'!AN$17))),
IF('User Dashboard'!Z$12=3,
IF('SIR Model Patient Calcs'!B202&lt;'User Dashboard'!AJ$15,'User Dashboard'!AN$14,
IF('SIR Model Patient Calcs'!B202&lt;'User Dashboard'!AJ$16,'User Dashboard'!AN$15,
'User Dashboard'!AN$16)),
IF('User Dashboard'!Z$12=2,
IF('SIR Model Patient Calcs'!B202&lt;'User Dashboard'!AJ$15,'User Dashboard'!AN$14,
'User Dashboard'!AN$15),
IF('User Dashboard'!Z$12=1,
'User Dashboard'!AN$14)))))</f>
        <v>15.209356603107825</v>
      </c>
      <c r="D202" s="747">
        <f>'User Dashboard'!X$15</f>
        <v>2.2072878851804097E-2</v>
      </c>
      <c r="E202" s="739">
        <f t="shared" si="30"/>
        <v>9.1306104687305738E-8</v>
      </c>
      <c r="F202" s="739">
        <f t="shared" si="29"/>
        <v>9.1306104687305725E-8</v>
      </c>
      <c r="G202" s="749">
        <f>1/'User Dashboard'!X$12</f>
        <v>0.14285714285714285</v>
      </c>
      <c r="H202" s="385">
        <f t="shared" si="31"/>
        <v>441180.09411100246</v>
      </c>
      <c r="I202" s="751">
        <f t="shared" si="34"/>
        <v>20.177634275214167</v>
      </c>
      <c r="J202" s="752">
        <f t="shared" si="32"/>
        <v>3235599.728254722</v>
      </c>
      <c r="K202" s="385">
        <f t="shared" si="35"/>
        <v>3235619.905888997</v>
      </c>
      <c r="L202" s="752">
        <f t="shared" si="36"/>
        <v>0.90570865152403712</v>
      </c>
    </row>
    <row r="203" spans="1:12" x14ac:dyDescent="0.75">
      <c r="A203" s="309" t="str">
        <f t="shared" si="33"/>
        <v/>
      </c>
      <c r="B203" s="310">
        <v>196</v>
      </c>
      <c r="C203" s="746">
        <f>IF('User Dashboard'!Z$12=5,
IF('SIR Model Patient Calcs'!B203&lt;'User Dashboard'!AJ$15,'User Dashboard'!AN$14,
IF('SIR Model Patient Calcs'!B203&lt;'User Dashboard'!AJ$16,'User Dashboard'!AN$15,
IF('SIR Model Patient Calcs'!B203&lt;'User Dashboard'!AJ$17,'User Dashboard'!AN$16,
IF('SIR Model Patient Calcs'!B203&lt;'User Dashboard'!AJ$18,'User Dashboard'!AN$17,
'User Dashboard'!AN$18)))),
IF('User Dashboard'!Z$12=4,
IF('SIR Model Patient Calcs'!B203&lt;'User Dashboard'!AJ$15,'User Dashboard'!AN$14,
IF('SIR Model Patient Calcs'!B203&lt;'User Dashboard'!AJ$16,'User Dashboard'!AN$15,
IF('SIR Model Patient Calcs'!B203&lt;'User Dashboard'!AJ$17,'User Dashboard'!AN$16,
'User Dashboard'!AN$17))),
IF('User Dashboard'!Z$12=3,
IF('SIR Model Patient Calcs'!B203&lt;'User Dashboard'!AJ$15,'User Dashboard'!AN$14,
IF('SIR Model Patient Calcs'!B203&lt;'User Dashboard'!AJ$16,'User Dashboard'!AN$15,
'User Dashboard'!AN$16)),
IF('User Dashboard'!Z$12=2,
IF('SIR Model Patient Calcs'!B203&lt;'User Dashboard'!AJ$15,'User Dashboard'!AN$14,
'User Dashboard'!AN$15),
IF('User Dashboard'!Z$12=1,
'User Dashboard'!AN$14)))))</f>
        <v>15.209356603107825</v>
      </c>
      <c r="D203" s="747">
        <f>'User Dashboard'!X$15</f>
        <v>2.2072878851804097E-2</v>
      </c>
      <c r="E203" s="739">
        <f t="shared" si="30"/>
        <v>9.1306104687305738E-8</v>
      </c>
      <c r="F203" s="739">
        <f t="shared" si="29"/>
        <v>9.1306104687305725E-8</v>
      </c>
      <c r="G203" s="749">
        <f>1/'User Dashboard'!X$12</f>
        <v>0.14285714285714285</v>
      </c>
      <c r="H203" s="385">
        <f t="shared" si="31"/>
        <v>441179.28130674397</v>
      </c>
      <c r="I203" s="751">
        <f t="shared" si="34"/>
        <v>18.107919351515456</v>
      </c>
      <c r="J203" s="752">
        <f t="shared" si="32"/>
        <v>3235602.6107739042</v>
      </c>
      <c r="K203" s="385">
        <f t="shared" si="35"/>
        <v>3235620.7186932559</v>
      </c>
      <c r="L203" s="752">
        <f t="shared" si="36"/>
        <v>0.81280425889417529</v>
      </c>
    </row>
    <row r="204" spans="1:12" x14ac:dyDescent="0.75">
      <c r="A204" s="309" t="str">
        <f t="shared" si="33"/>
        <v/>
      </c>
      <c r="B204" s="310">
        <v>197</v>
      </c>
      <c r="C204" s="746">
        <f>IF('User Dashboard'!Z$12=5,
IF('SIR Model Patient Calcs'!B204&lt;'User Dashboard'!AJ$15,'User Dashboard'!AN$14,
IF('SIR Model Patient Calcs'!B204&lt;'User Dashboard'!AJ$16,'User Dashboard'!AN$15,
IF('SIR Model Patient Calcs'!B204&lt;'User Dashboard'!AJ$17,'User Dashboard'!AN$16,
IF('SIR Model Patient Calcs'!B204&lt;'User Dashboard'!AJ$18,'User Dashboard'!AN$17,
'User Dashboard'!AN$18)))),
IF('User Dashboard'!Z$12=4,
IF('SIR Model Patient Calcs'!B204&lt;'User Dashboard'!AJ$15,'User Dashboard'!AN$14,
IF('SIR Model Patient Calcs'!B204&lt;'User Dashboard'!AJ$16,'User Dashboard'!AN$15,
IF('SIR Model Patient Calcs'!B204&lt;'User Dashboard'!AJ$17,'User Dashboard'!AN$16,
'User Dashboard'!AN$17))),
IF('User Dashboard'!Z$12=3,
IF('SIR Model Patient Calcs'!B204&lt;'User Dashboard'!AJ$15,'User Dashboard'!AN$14,
IF('SIR Model Patient Calcs'!B204&lt;'User Dashboard'!AJ$16,'User Dashboard'!AN$15,
'User Dashboard'!AN$16)),
IF('User Dashboard'!Z$12=2,
IF('SIR Model Patient Calcs'!B204&lt;'User Dashboard'!AJ$15,'User Dashboard'!AN$14,
'User Dashboard'!AN$15),
IF('User Dashboard'!Z$12=1,
'User Dashboard'!AN$14)))))</f>
        <v>15.209356603107825</v>
      </c>
      <c r="D204" s="747">
        <f>'User Dashboard'!X$15</f>
        <v>2.2072878851804097E-2</v>
      </c>
      <c r="E204" s="739">
        <f t="shared" si="30"/>
        <v>9.1306104687305738E-8</v>
      </c>
      <c r="F204" s="739">
        <f t="shared" si="29"/>
        <v>9.1306104687305725E-8</v>
      </c>
      <c r="G204" s="749">
        <f>1/'User Dashboard'!X$12</f>
        <v>0.14285714285714285</v>
      </c>
      <c r="H204" s="385">
        <f t="shared" si="31"/>
        <v>441178.55187698803</v>
      </c>
      <c r="I204" s="751">
        <f t="shared" si="34"/>
        <v>16.250503485824165</v>
      </c>
      <c r="J204" s="752">
        <f t="shared" si="32"/>
        <v>3235605.1976195257</v>
      </c>
      <c r="K204" s="385">
        <f t="shared" si="35"/>
        <v>3235621.4481230117</v>
      </c>
      <c r="L204" s="752">
        <f t="shared" si="36"/>
        <v>0.72942975582554936</v>
      </c>
    </row>
    <row r="205" spans="1:12" x14ac:dyDescent="0.75">
      <c r="A205" s="309" t="str">
        <f t="shared" si="33"/>
        <v/>
      </c>
      <c r="B205" s="310">
        <v>198</v>
      </c>
      <c r="C205" s="746">
        <f>IF('User Dashboard'!Z$12=5,
IF('SIR Model Patient Calcs'!B205&lt;'User Dashboard'!AJ$15,'User Dashboard'!AN$14,
IF('SIR Model Patient Calcs'!B205&lt;'User Dashboard'!AJ$16,'User Dashboard'!AN$15,
IF('SIR Model Patient Calcs'!B205&lt;'User Dashboard'!AJ$17,'User Dashboard'!AN$16,
IF('SIR Model Patient Calcs'!B205&lt;'User Dashboard'!AJ$18,'User Dashboard'!AN$17,
'User Dashboard'!AN$18)))),
IF('User Dashboard'!Z$12=4,
IF('SIR Model Patient Calcs'!B205&lt;'User Dashboard'!AJ$15,'User Dashboard'!AN$14,
IF('SIR Model Patient Calcs'!B205&lt;'User Dashboard'!AJ$16,'User Dashboard'!AN$15,
IF('SIR Model Patient Calcs'!B205&lt;'User Dashboard'!AJ$17,'User Dashboard'!AN$16,
'User Dashboard'!AN$17))),
IF('User Dashboard'!Z$12=3,
IF('SIR Model Patient Calcs'!B205&lt;'User Dashboard'!AJ$15,'User Dashboard'!AN$14,
IF('SIR Model Patient Calcs'!B205&lt;'User Dashboard'!AJ$16,'User Dashboard'!AN$15,
'User Dashboard'!AN$16)),
IF('User Dashboard'!Z$12=2,
IF('SIR Model Patient Calcs'!B205&lt;'User Dashboard'!AJ$15,'User Dashboard'!AN$14,
'User Dashboard'!AN$15),
IF('User Dashboard'!Z$12=1,
'User Dashboard'!AN$14)))))</f>
        <v>15.209356603107825</v>
      </c>
      <c r="D205" s="747">
        <f>'User Dashboard'!X$15</f>
        <v>2.2072878851804097E-2</v>
      </c>
      <c r="E205" s="739">
        <f t="shared" si="30"/>
        <v>9.1306104687305738E-8</v>
      </c>
      <c r="F205" s="739">
        <f t="shared" si="29"/>
        <v>9.1306104687305725E-8</v>
      </c>
      <c r="G205" s="749">
        <f>1/'User Dashboard'!X$12</f>
        <v>0.14285714285714285</v>
      </c>
      <c r="H205" s="385">
        <f t="shared" si="31"/>
        <v>441177.897269412</v>
      </c>
      <c r="I205" s="751">
        <f t="shared" si="34"/>
        <v>14.583610563870259</v>
      </c>
      <c r="J205" s="752">
        <f t="shared" si="32"/>
        <v>3235607.5191200236</v>
      </c>
      <c r="K205" s="385">
        <f t="shared" si="35"/>
        <v>3235622.1027305876</v>
      </c>
      <c r="L205" s="752">
        <f t="shared" si="36"/>
        <v>0.65460757585242391</v>
      </c>
    </row>
    <row r="206" spans="1:12" x14ac:dyDescent="0.75">
      <c r="A206" s="309" t="str">
        <f t="shared" si="33"/>
        <v/>
      </c>
      <c r="B206" s="310">
        <v>199</v>
      </c>
      <c r="C206" s="746">
        <f>IF('User Dashboard'!Z$12=5,
IF('SIR Model Patient Calcs'!B206&lt;'User Dashboard'!AJ$15,'User Dashboard'!AN$14,
IF('SIR Model Patient Calcs'!B206&lt;'User Dashboard'!AJ$16,'User Dashboard'!AN$15,
IF('SIR Model Patient Calcs'!B206&lt;'User Dashboard'!AJ$17,'User Dashboard'!AN$16,
IF('SIR Model Patient Calcs'!B206&lt;'User Dashboard'!AJ$18,'User Dashboard'!AN$17,
'User Dashboard'!AN$18)))),
IF('User Dashboard'!Z$12=4,
IF('SIR Model Patient Calcs'!B206&lt;'User Dashboard'!AJ$15,'User Dashboard'!AN$14,
IF('SIR Model Patient Calcs'!B206&lt;'User Dashboard'!AJ$16,'User Dashboard'!AN$15,
IF('SIR Model Patient Calcs'!B206&lt;'User Dashboard'!AJ$17,'User Dashboard'!AN$16,
'User Dashboard'!AN$17))),
IF('User Dashboard'!Z$12=3,
IF('SIR Model Patient Calcs'!B206&lt;'User Dashboard'!AJ$15,'User Dashboard'!AN$14,
IF('SIR Model Patient Calcs'!B206&lt;'User Dashboard'!AJ$16,'User Dashboard'!AN$15,
'User Dashboard'!AN$16)),
IF('User Dashboard'!Z$12=2,
IF('SIR Model Patient Calcs'!B206&lt;'User Dashboard'!AJ$15,'User Dashboard'!AN$14,
'User Dashboard'!AN$15),
IF('User Dashboard'!Z$12=1,
'User Dashboard'!AN$14)))))</f>
        <v>15.209356603107825</v>
      </c>
      <c r="D206" s="747">
        <f>'User Dashboard'!X$15</f>
        <v>2.2072878851804097E-2</v>
      </c>
      <c r="E206" s="739">
        <f t="shared" si="30"/>
        <v>9.1306104687305751E-8</v>
      </c>
      <c r="F206" s="739">
        <f t="shared" si="29"/>
        <v>9.1306104687305725E-8</v>
      </c>
      <c r="G206" s="749">
        <f>1/'User Dashboard'!X$12</f>
        <v>0.14285714285714285</v>
      </c>
      <c r="H206" s="385">
        <f t="shared" si="31"/>
        <v>441177.30980898015</v>
      </c>
      <c r="I206" s="751">
        <f t="shared" si="34"/>
        <v>13.087698058049897</v>
      </c>
      <c r="J206" s="752">
        <f t="shared" si="32"/>
        <v>3235609.6024929611</v>
      </c>
      <c r="K206" s="385">
        <f t="shared" si="35"/>
        <v>3235622.6901910193</v>
      </c>
      <c r="L206" s="752">
        <f t="shared" si="36"/>
        <v>0.58746043173596263</v>
      </c>
    </row>
    <row r="207" spans="1:12" x14ac:dyDescent="0.75">
      <c r="A207" s="309" t="str">
        <f t="shared" si="33"/>
        <v/>
      </c>
      <c r="B207" s="310">
        <v>200</v>
      </c>
      <c r="C207" s="746">
        <f>IF('User Dashboard'!Z$12=5,
IF('SIR Model Patient Calcs'!B207&lt;'User Dashboard'!AJ$15,'User Dashboard'!AN$14,
IF('SIR Model Patient Calcs'!B207&lt;'User Dashboard'!AJ$16,'User Dashboard'!AN$15,
IF('SIR Model Patient Calcs'!B207&lt;'User Dashboard'!AJ$17,'User Dashboard'!AN$16,
IF('SIR Model Patient Calcs'!B207&lt;'User Dashboard'!AJ$18,'User Dashboard'!AN$17,
'User Dashboard'!AN$18)))),
IF('User Dashboard'!Z$12=4,
IF('SIR Model Patient Calcs'!B207&lt;'User Dashboard'!AJ$15,'User Dashboard'!AN$14,
IF('SIR Model Patient Calcs'!B207&lt;'User Dashboard'!AJ$16,'User Dashboard'!AN$15,
IF('SIR Model Patient Calcs'!B207&lt;'User Dashboard'!AJ$17,'User Dashboard'!AN$16,
'User Dashboard'!AN$17))),
IF('User Dashboard'!Z$12=3,
IF('SIR Model Patient Calcs'!B207&lt;'User Dashboard'!AJ$15,'User Dashboard'!AN$14,
IF('SIR Model Patient Calcs'!B207&lt;'User Dashboard'!AJ$16,'User Dashboard'!AN$15,
'User Dashboard'!AN$16)),
IF('User Dashboard'!Z$12=2,
IF('SIR Model Patient Calcs'!B207&lt;'User Dashboard'!AJ$15,'User Dashboard'!AN$14,
'User Dashboard'!AN$15),
IF('User Dashboard'!Z$12=1,
'User Dashboard'!AN$14)))))</f>
        <v>15.209356603107825</v>
      </c>
      <c r="D207" s="747">
        <f>'User Dashboard'!X$15</f>
        <v>2.2072878851804097E-2</v>
      </c>
      <c r="E207" s="739">
        <f t="shared" si="30"/>
        <v>9.1306104687305751E-8</v>
      </c>
      <c r="F207" s="739">
        <f t="shared" si="29"/>
        <v>9.1306104687305725E-8</v>
      </c>
      <c r="G207" s="749">
        <f>1/'User Dashboard'!X$12</f>
        <v>0.14285714285714285</v>
      </c>
      <c r="H207" s="385">
        <f t="shared" si="31"/>
        <v>441176.7826079498</v>
      </c>
      <c r="I207" s="751">
        <f t="shared" si="34"/>
        <v>11.745227937259397</v>
      </c>
      <c r="J207" s="752">
        <f t="shared" si="32"/>
        <v>3235611.4721641121</v>
      </c>
      <c r="K207" s="385">
        <f t="shared" si="35"/>
        <v>3235623.2173920493</v>
      </c>
      <c r="L207" s="752">
        <f t="shared" si="36"/>
        <v>0.52720102993771434</v>
      </c>
    </row>
    <row r="208" spans="1:12" x14ac:dyDescent="0.75">
      <c r="A208" s="309" t="str">
        <f t="shared" si="33"/>
        <v/>
      </c>
      <c r="B208" s="310">
        <v>201</v>
      </c>
      <c r="C208" s="746">
        <f>IF('User Dashboard'!Z$12=5,
IF('SIR Model Patient Calcs'!B208&lt;'User Dashboard'!AJ$15,'User Dashboard'!AN$14,
IF('SIR Model Patient Calcs'!B208&lt;'User Dashboard'!AJ$16,'User Dashboard'!AN$15,
IF('SIR Model Patient Calcs'!B208&lt;'User Dashboard'!AJ$17,'User Dashboard'!AN$16,
IF('SIR Model Patient Calcs'!B208&lt;'User Dashboard'!AJ$18,'User Dashboard'!AN$17,
'User Dashboard'!AN$18)))),
IF('User Dashboard'!Z$12=4,
IF('SIR Model Patient Calcs'!B208&lt;'User Dashboard'!AJ$15,'User Dashboard'!AN$14,
IF('SIR Model Patient Calcs'!B208&lt;'User Dashboard'!AJ$16,'User Dashboard'!AN$15,
IF('SIR Model Patient Calcs'!B208&lt;'User Dashboard'!AJ$17,'User Dashboard'!AN$16,
'User Dashboard'!AN$17))),
IF('User Dashboard'!Z$12=3,
IF('SIR Model Patient Calcs'!B208&lt;'User Dashboard'!AJ$15,'User Dashboard'!AN$14,
IF('SIR Model Patient Calcs'!B208&lt;'User Dashboard'!AJ$16,'User Dashboard'!AN$15,
'User Dashboard'!AN$16)),
IF('User Dashboard'!Z$12=2,
IF('SIR Model Patient Calcs'!B208&lt;'User Dashboard'!AJ$15,'User Dashboard'!AN$14,
'User Dashboard'!AN$15),
IF('User Dashboard'!Z$12=1,
'User Dashboard'!AN$14)))))</f>
        <v>15.209356603107825</v>
      </c>
      <c r="D208" s="747">
        <f>'User Dashboard'!X$15</f>
        <v>2.2072878851804097E-2</v>
      </c>
      <c r="E208" s="739">
        <f t="shared" si="30"/>
        <v>9.1306104687305751E-8</v>
      </c>
      <c r="F208" s="739">
        <f t="shared" ref="F208:F271" si="37">AVERAGE(E199:E208)</f>
        <v>9.1306104687305725E-8</v>
      </c>
      <c r="G208" s="749">
        <f>1/'User Dashboard'!X$12</f>
        <v>0.14285714285714285</v>
      </c>
      <c r="H208" s="385">
        <f t="shared" si="31"/>
        <v>441176.30948511005</v>
      </c>
      <c r="I208" s="751">
        <f t="shared" si="34"/>
        <v>10.540461071674565</v>
      </c>
      <c r="J208" s="752">
        <f t="shared" si="32"/>
        <v>3235613.1500538173</v>
      </c>
      <c r="K208" s="385">
        <f t="shared" si="35"/>
        <v>3235623.6905148891</v>
      </c>
      <c r="L208" s="752">
        <f t="shared" si="36"/>
        <v>0.47312283981591463</v>
      </c>
    </row>
    <row r="209" spans="1:12" x14ac:dyDescent="0.75">
      <c r="A209" s="309" t="str">
        <f t="shared" si="33"/>
        <v/>
      </c>
      <c r="B209" s="310">
        <v>202</v>
      </c>
      <c r="C209" s="746">
        <f>IF('User Dashboard'!Z$12=5,
IF('SIR Model Patient Calcs'!B209&lt;'User Dashboard'!AJ$15,'User Dashboard'!AN$14,
IF('SIR Model Patient Calcs'!B209&lt;'User Dashboard'!AJ$16,'User Dashboard'!AN$15,
IF('SIR Model Patient Calcs'!B209&lt;'User Dashboard'!AJ$17,'User Dashboard'!AN$16,
IF('SIR Model Patient Calcs'!B209&lt;'User Dashboard'!AJ$18,'User Dashboard'!AN$17,
'User Dashboard'!AN$18)))),
IF('User Dashboard'!Z$12=4,
IF('SIR Model Patient Calcs'!B209&lt;'User Dashboard'!AJ$15,'User Dashboard'!AN$14,
IF('SIR Model Patient Calcs'!B209&lt;'User Dashboard'!AJ$16,'User Dashboard'!AN$15,
IF('SIR Model Patient Calcs'!B209&lt;'User Dashboard'!AJ$17,'User Dashboard'!AN$16,
'User Dashboard'!AN$17))),
IF('User Dashboard'!Z$12=3,
IF('SIR Model Patient Calcs'!B209&lt;'User Dashboard'!AJ$15,'User Dashboard'!AN$14,
IF('SIR Model Patient Calcs'!B209&lt;'User Dashboard'!AJ$16,'User Dashboard'!AN$15,
'User Dashboard'!AN$16)),
IF('User Dashboard'!Z$12=2,
IF('SIR Model Patient Calcs'!B209&lt;'User Dashboard'!AJ$15,'User Dashboard'!AN$14,
'User Dashboard'!AN$15),
IF('User Dashboard'!Z$12=1,
'User Dashboard'!AN$14)))))</f>
        <v>15.209356603107825</v>
      </c>
      <c r="D209" s="747">
        <f>'User Dashboard'!X$15</f>
        <v>2.2072878851804097E-2</v>
      </c>
      <c r="E209" s="739">
        <f t="shared" si="30"/>
        <v>9.1306104687305751E-8</v>
      </c>
      <c r="F209" s="739">
        <f t="shared" si="37"/>
        <v>9.1306104687305725E-8</v>
      </c>
      <c r="G209" s="749">
        <f>1/'User Dashboard'!X$12</f>
        <v>0.14285714285714285</v>
      </c>
      <c r="H209" s="385">
        <f t="shared" si="31"/>
        <v>441175.88489330537</v>
      </c>
      <c r="I209" s="751">
        <f t="shared" si="34"/>
        <v>9.4592727232647746</v>
      </c>
      <c r="J209" s="752">
        <f t="shared" si="32"/>
        <v>3235614.6558339703</v>
      </c>
      <c r="K209" s="385">
        <f t="shared" si="35"/>
        <v>3235624.1151066935</v>
      </c>
      <c r="L209" s="752">
        <f t="shared" si="36"/>
        <v>0.42459180438891053</v>
      </c>
    </row>
    <row r="210" spans="1:12" x14ac:dyDescent="0.75">
      <c r="A210" s="309" t="str">
        <f t="shared" si="33"/>
        <v/>
      </c>
      <c r="B210" s="310">
        <v>203</v>
      </c>
      <c r="C210" s="746">
        <f>IF('User Dashboard'!Z$12=5,
IF('SIR Model Patient Calcs'!B210&lt;'User Dashboard'!AJ$15,'User Dashboard'!AN$14,
IF('SIR Model Patient Calcs'!B210&lt;'User Dashboard'!AJ$16,'User Dashboard'!AN$15,
IF('SIR Model Patient Calcs'!B210&lt;'User Dashboard'!AJ$17,'User Dashboard'!AN$16,
IF('SIR Model Patient Calcs'!B210&lt;'User Dashboard'!AJ$18,'User Dashboard'!AN$17,
'User Dashboard'!AN$18)))),
IF('User Dashboard'!Z$12=4,
IF('SIR Model Patient Calcs'!B210&lt;'User Dashboard'!AJ$15,'User Dashboard'!AN$14,
IF('SIR Model Patient Calcs'!B210&lt;'User Dashboard'!AJ$16,'User Dashboard'!AN$15,
IF('SIR Model Patient Calcs'!B210&lt;'User Dashboard'!AJ$17,'User Dashboard'!AN$16,
'User Dashboard'!AN$17))),
IF('User Dashboard'!Z$12=3,
IF('SIR Model Patient Calcs'!B210&lt;'User Dashboard'!AJ$15,'User Dashboard'!AN$14,
IF('SIR Model Patient Calcs'!B210&lt;'User Dashboard'!AJ$16,'User Dashboard'!AN$15,
'User Dashboard'!AN$16)),
IF('User Dashboard'!Z$12=2,
IF('SIR Model Patient Calcs'!B210&lt;'User Dashboard'!AJ$15,'User Dashboard'!AN$14,
'User Dashboard'!AN$15),
IF('User Dashboard'!Z$12=1,
'User Dashboard'!AN$14)))))</f>
        <v>15.209356603107825</v>
      </c>
      <c r="D210" s="747">
        <f>'User Dashboard'!X$15</f>
        <v>2.2072878851804097E-2</v>
      </c>
      <c r="E210" s="739">
        <f t="shared" si="30"/>
        <v>9.1306104687305751E-8</v>
      </c>
      <c r="F210" s="739">
        <f t="shared" si="37"/>
        <v>9.1306104687305725E-8</v>
      </c>
      <c r="G210" s="749">
        <f>1/'User Dashboard'!X$12</f>
        <v>0.14285714285714285</v>
      </c>
      <c r="H210" s="385">
        <f t="shared" si="31"/>
        <v>441175.50385439408</v>
      </c>
      <c r="I210" s="751">
        <f t="shared" si="34"/>
        <v>8.4889869598025118</v>
      </c>
      <c r="J210" s="752">
        <f t="shared" si="32"/>
        <v>3235616.007158645</v>
      </c>
      <c r="K210" s="385">
        <f t="shared" si="35"/>
        <v>3235624.4961456046</v>
      </c>
      <c r="L210" s="752">
        <f t="shared" si="36"/>
        <v>0.38103891117498279</v>
      </c>
    </row>
    <row r="211" spans="1:12" x14ac:dyDescent="0.75">
      <c r="A211" s="309" t="str">
        <f t="shared" si="33"/>
        <v/>
      </c>
      <c r="B211" s="310">
        <v>204</v>
      </c>
      <c r="C211" s="746">
        <f>IF('User Dashboard'!Z$12=5,
IF('SIR Model Patient Calcs'!B211&lt;'User Dashboard'!AJ$15,'User Dashboard'!AN$14,
IF('SIR Model Patient Calcs'!B211&lt;'User Dashboard'!AJ$16,'User Dashboard'!AN$15,
IF('SIR Model Patient Calcs'!B211&lt;'User Dashboard'!AJ$17,'User Dashboard'!AN$16,
IF('SIR Model Patient Calcs'!B211&lt;'User Dashboard'!AJ$18,'User Dashboard'!AN$17,
'User Dashboard'!AN$18)))),
IF('User Dashboard'!Z$12=4,
IF('SIR Model Patient Calcs'!B211&lt;'User Dashboard'!AJ$15,'User Dashboard'!AN$14,
IF('SIR Model Patient Calcs'!B211&lt;'User Dashboard'!AJ$16,'User Dashboard'!AN$15,
IF('SIR Model Patient Calcs'!B211&lt;'User Dashboard'!AJ$17,'User Dashboard'!AN$16,
'User Dashboard'!AN$17))),
IF('User Dashboard'!Z$12=3,
IF('SIR Model Patient Calcs'!B211&lt;'User Dashboard'!AJ$15,'User Dashboard'!AN$14,
IF('SIR Model Patient Calcs'!B211&lt;'User Dashboard'!AJ$16,'User Dashboard'!AN$15,
'User Dashboard'!AN$16)),
IF('User Dashboard'!Z$12=2,
IF('SIR Model Patient Calcs'!B211&lt;'User Dashboard'!AJ$15,'User Dashboard'!AN$14,
'User Dashboard'!AN$15),
IF('User Dashboard'!Z$12=1,
'User Dashboard'!AN$14)))))</f>
        <v>15.209356603107825</v>
      </c>
      <c r="D211" s="747">
        <f>'User Dashboard'!X$15</f>
        <v>2.2072878851804097E-2</v>
      </c>
      <c r="E211" s="739">
        <f t="shared" si="30"/>
        <v>9.1306104687305751E-8</v>
      </c>
      <c r="F211" s="739">
        <f t="shared" si="37"/>
        <v>9.1306104687305738E-8</v>
      </c>
      <c r="G211" s="749">
        <f>1/'User Dashboard'!X$12</f>
        <v>0.14285714285714285</v>
      </c>
      <c r="H211" s="385">
        <f t="shared" si="31"/>
        <v>441175.16190087923</v>
      </c>
      <c r="I211" s="751">
        <f t="shared" si="34"/>
        <v>7.618228051797419</v>
      </c>
      <c r="J211" s="752">
        <f t="shared" si="32"/>
        <v>3235617.2198710679</v>
      </c>
      <c r="K211" s="385">
        <f t="shared" si="35"/>
        <v>3235624.8380991197</v>
      </c>
      <c r="L211" s="752">
        <f t="shared" si="36"/>
        <v>0.34195351507514715</v>
      </c>
    </row>
    <row r="212" spans="1:12" x14ac:dyDescent="0.75">
      <c r="A212" s="309" t="str">
        <f t="shared" si="33"/>
        <v/>
      </c>
      <c r="B212" s="310">
        <v>205</v>
      </c>
      <c r="C212" s="746">
        <f>IF('User Dashboard'!Z$12=5,
IF('SIR Model Patient Calcs'!B212&lt;'User Dashboard'!AJ$15,'User Dashboard'!AN$14,
IF('SIR Model Patient Calcs'!B212&lt;'User Dashboard'!AJ$16,'User Dashboard'!AN$15,
IF('SIR Model Patient Calcs'!B212&lt;'User Dashboard'!AJ$17,'User Dashboard'!AN$16,
IF('SIR Model Patient Calcs'!B212&lt;'User Dashboard'!AJ$18,'User Dashboard'!AN$17,
'User Dashboard'!AN$18)))),
IF('User Dashboard'!Z$12=4,
IF('SIR Model Patient Calcs'!B212&lt;'User Dashboard'!AJ$15,'User Dashboard'!AN$14,
IF('SIR Model Patient Calcs'!B212&lt;'User Dashboard'!AJ$16,'User Dashboard'!AN$15,
IF('SIR Model Patient Calcs'!B212&lt;'User Dashboard'!AJ$17,'User Dashboard'!AN$16,
'User Dashboard'!AN$17))),
IF('User Dashboard'!Z$12=3,
IF('SIR Model Patient Calcs'!B212&lt;'User Dashboard'!AJ$15,'User Dashboard'!AN$14,
IF('SIR Model Patient Calcs'!B212&lt;'User Dashboard'!AJ$16,'User Dashboard'!AN$15,
'User Dashboard'!AN$16)),
IF('User Dashboard'!Z$12=2,
IF('SIR Model Patient Calcs'!B212&lt;'User Dashboard'!AJ$15,'User Dashboard'!AN$14,
'User Dashboard'!AN$15),
IF('User Dashboard'!Z$12=1,
'User Dashboard'!AN$14)))))</f>
        <v>15.209356603107825</v>
      </c>
      <c r="D212" s="747">
        <f>'User Dashboard'!X$15</f>
        <v>2.2072878851804097E-2</v>
      </c>
      <c r="E212" s="739">
        <f t="shared" si="30"/>
        <v>9.1306104687305764E-8</v>
      </c>
      <c r="F212" s="739">
        <f t="shared" si="37"/>
        <v>9.1306104687305738E-8</v>
      </c>
      <c r="G212" s="749">
        <f>1/'User Dashboard'!X$12</f>
        <v>0.14285714285714285</v>
      </c>
      <c r="H212" s="385">
        <f t="shared" si="31"/>
        <v>441174.85502352717</v>
      </c>
      <c r="I212" s="751">
        <f t="shared" si="34"/>
        <v>6.8367871107385279</v>
      </c>
      <c r="J212" s="752">
        <f t="shared" si="32"/>
        <v>3235618.3081893609</v>
      </c>
      <c r="K212" s="385">
        <f t="shared" si="35"/>
        <v>3235625.1449764716</v>
      </c>
      <c r="L212" s="752">
        <f t="shared" si="36"/>
        <v>0.30687735183164477</v>
      </c>
    </row>
    <row r="213" spans="1:12" x14ac:dyDescent="0.75">
      <c r="A213" s="309" t="str">
        <f t="shared" si="33"/>
        <v/>
      </c>
      <c r="B213" s="310">
        <v>206</v>
      </c>
      <c r="C213" s="746">
        <f>IF('User Dashboard'!Z$12=5,
IF('SIR Model Patient Calcs'!B213&lt;'User Dashboard'!AJ$15,'User Dashboard'!AN$14,
IF('SIR Model Patient Calcs'!B213&lt;'User Dashboard'!AJ$16,'User Dashboard'!AN$15,
IF('SIR Model Patient Calcs'!B213&lt;'User Dashboard'!AJ$17,'User Dashboard'!AN$16,
IF('SIR Model Patient Calcs'!B213&lt;'User Dashboard'!AJ$18,'User Dashboard'!AN$17,
'User Dashboard'!AN$18)))),
IF('User Dashboard'!Z$12=4,
IF('SIR Model Patient Calcs'!B213&lt;'User Dashboard'!AJ$15,'User Dashboard'!AN$14,
IF('SIR Model Patient Calcs'!B213&lt;'User Dashboard'!AJ$16,'User Dashboard'!AN$15,
IF('SIR Model Patient Calcs'!B213&lt;'User Dashboard'!AJ$17,'User Dashboard'!AN$16,
'User Dashboard'!AN$17))),
IF('User Dashboard'!Z$12=3,
IF('SIR Model Patient Calcs'!B213&lt;'User Dashboard'!AJ$15,'User Dashboard'!AN$14,
IF('SIR Model Patient Calcs'!B213&lt;'User Dashboard'!AJ$16,'User Dashboard'!AN$15,
'User Dashboard'!AN$16)),
IF('User Dashboard'!Z$12=2,
IF('SIR Model Patient Calcs'!B213&lt;'User Dashboard'!AJ$15,'User Dashboard'!AN$14,
'User Dashboard'!AN$15),
IF('User Dashboard'!Z$12=1,
'User Dashboard'!AN$14)))))</f>
        <v>15.209356603107825</v>
      </c>
      <c r="D213" s="747">
        <f>'User Dashboard'!X$15</f>
        <v>2.2072878851804097E-2</v>
      </c>
      <c r="E213" s="739">
        <f t="shared" si="30"/>
        <v>9.1306104687305764E-8</v>
      </c>
      <c r="F213" s="739">
        <f t="shared" si="37"/>
        <v>9.1306104687305751E-8</v>
      </c>
      <c r="G213" s="749">
        <f>1/'User Dashboard'!X$12</f>
        <v>0.14285714285714285</v>
      </c>
      <c r="H213" s="385">
        <f t="shared" si="31"/>
        <v>441174.57962435932</v>
      </c>
      <c r="I213" s="751">
        <f t="shared" si="34"/>
        <v>6.1355024055947904</v>
      </c>
      <c r="J213" s="752">
        <f t="shared" si="32"/>
        <v>3235619.2848732336</v>
      </c>
      <c r="K213" s="385">
        <f t="shared" si="35"/>
        <v>3235625.4203756391</v>
      </c>
      <c r="L213" s="752">
        <f t="shared" si="36"/>
        <v>0.27539916755631566</v>
      </c>
    </row>
    <row r="214" spans="1:12" x14ac:dyDescent="0.75">
      <c r="A214" s="309" t="str">
        <f t="shared" si="33"/>
        <v/>
      </c>
      <c r="B214" s="310">
        <v>207</v>
      </c>
      <c r="C214" s="746">
        <f>IF('User Dashboard'!Z$12=5,
IF('SIR Model Patient Calcs'!B214&lt;'User Dashboard'!AJ$15,'User Dashboard'!AN$14,
IF('SIR Model Patient Calcs'!B214&lt;'User Dashboard'!AJ$16,'User Dashboard'!AN$15,
IF('SIR Model Patient Calcs'!B214&lt;'User Dashboard'!AJ$17,'User Dashboard'!AN$16,
IF('SIR Model Patient Calcs'!B214&lt;'User Dashboard'!AJ$18,'User Dashboard'!AN$17,
'User Dashboard'!AN$18)))),
IF('User Dashboard'!Z$12=4,
IF('SIR Model Patient Calcs'!B214&lt;'User Dashboard'!AJ$15,'User Dashboard'!AN$14,
IF('SIR Model Patient Calcs'!B214&lt;'User Dashboard'!AJ$16,'User Dashboard'!AN$15,
IF('SIR Model Patient Calcs'!B214&lt;'User Dashboard'!AJ$17,'User Dashboard'!AN$16,
'User Dashboard'!AN$17))),
IF('User Dashboard'!Z$12=3,
IF('SIR Model Patient Calcs'!B214&lt;'User Dashboard'!AJ$15,'User Dashboard'!AN$14,
IF('SIR Model Patient Calcs'!B214&lt;'User Dashboard'!AJ$16,'User Dashboard'!AN$15,
'User Dashboard'!AN$16)),
IF('User Dashboard'!Z$12=2,
IF('SIR Model Patient Calcs'!B214&lt;'User Dashboard'!AJ$15,'User Dashboard'!AN$14,
'User Dashboard'!AN$15),
IF('User Dashboard'!Z$12=1,
'User Dashboard'!AN$14)))))</f>
        <v>15.209356603107825</v>
      </c>
      <c r="D214" s="747">
        <f>'User Dashboard'!X$15</f>
        <v>2.2072878851804097E-2</v>
      </c>
      <c r="E214" s="739">
        <f t="shared" si="30"/>
        <v>9.1306104687305764E-8</v>
      </c>
      <c r="F214" s="739">
        <f t="shared" si="37"/>
        <v>9.1306104687305751E-8</v>
      </c>
      <c r="G214" s="749">
        <f>1/'User Dashboard'!X$12</f>
        <v>0.14285714285714285</v>
      </c>
      <c r="H214" s="385">
        <f t="shared" si="31"/>
        <v>441174.33247446647</v>
      </c>
      <c r="I214" s="751">
        <f t="shared" si="34"/>
        <v>5.5061519547895292</v>
      </c>
      <c r="J214" s="752">
        <f t="shared" si="32"/>
        <v>3235620.1613735771</v>
      </c>
      <c r="K214" s="385">
        <f t="shared" si="35"/>
        <v>3235625.6675255317</v>
      </c>
      <c r="L214" s="752">
        <f t="shared" si="36"/>
        <v>0.24714989261701703</v>
      </c>
    </row>
    <row r="215" spans="1:12" x14ac:dyDescent="0.75">
      <c r="A215" s="309" t="str">
        <f t="shared" si="33"/>
        <v/>
      </c>
      <c r="B215" s="310">
        <v>208</v>
      </c>
      <c r="C215" s="746">
        <f>IF('User Dashboard'!Z$12=5,
IF('SIR Model Patient Calcs'!B215&lt;'User Dashboard'!AJ$15,'User Dashboard'!AN$14,
IF('SIR Model Patient Calcs'!B215&lt;'User Dashboard'!AJ$16,'User Dashboard'!AN$15,
IF('SIR Model Patient Calcs'!B215&lt;'User Dashboard'!AJ$17,'User Dashboard'!AN$16,
IF('SIR Model Patient Calcs'!B215&lt;'User Dashboard'!AJ$18,'User Dashboard'!AN$17,
'User Dashboard'!AN$18)))),
IF('User Dashboard'!Z$12=4,
IF('SIR Model Patient Calcs'!B215&lt;'User Dashboard'!AJ$15,'User Dashboard'!AN$14,
IF('SIR Model Patient Calcs'!B215&lt;'User Dashboard'!AJ$16,'User Dashboard'!AN$15,
IF('SIR Model Patient Calcs'!B215&lt;'User Dashboard'!AJ$17,'User Dashboard'!AN$16,
'User Dashboard'!AN$17))),
IF('User Dashboard'!Z$12=3,
IF('SIR Model Patient Calcs'!B215&lt;'User Dashboard'!AJ$15,'User Dashboard'!AN$14,
IF('SIR Model Patient Calcs'!B215&lt;'User Dashboard'!AJ$16,'User Dashboard'!AN$15,
'User Dashboard'!AN$16)),
IF('User Dashboard'!Z$12=2,
IF('SIR Model Patient Calcs'!B215&lt;'User Dashboard'!AJ$15,'User Dashboard'!AN$14,
'User Dashboard'!AN$15),
IF('User Dashboard'!Z$12=1,
'User Dashboard'!AN$14)))))</f>
        <v>15.209356603107825</v>
      </c>
      <c r="D215" s="747">
        <f>'User Dashboard'!X$15</f>
        <v>2.2072878851804097E-2</v>
      </c>
      <c r="E215" s="739">
        <f t="shared" si="30"/>
        <v>9.1306104687305764E-8</v>
      </c>
      <c r="F215" s="739">
        <f t="shared" si="37"/>
        <v>9.1306104687305778E-8</v>
      </c>
      <c r="G215" s="749">
        <f>1/'User Dashboard'!X$12</f>
        <v>0.14285714285714285</v>
      </c>
      <c r="H215" s="385">
        <f t="shared" si="31"/>
        <v>441174.11067615019</v>
      </c>
      <c r="I215" s="751">
        <f t="shared" si="34"/>
        <v>4.9413571347033285</v>
      </c>
      <c r="J215" s="752">
        <f t="shared" si="32"/>
        <v>3235620.9479667135</v>
      </c>
      <c r="K215" s="385">
        <f t="shared" si="35"/>
        <v>3235625.8893238483</v>
      </c>
      <c r="L215" s="752">
        <f t="shared" si="36"/>
        <v>0.2217983165755868</v>
      </c>
    </row>
    <row r="216" spans="1:12" x14ac:dyDescent="0.75">
      <c r="A216" s="309" t="str">
        <f t="shared" si="33"/>
        <v/>
      </c>
      <c r="B216" s="310">
        <v>209</v>
      </c>
      <c r="C216" s="746">
        <f>IF('User Dashboard'!Z$12=5,
IF('SIR Model Patient Calcs'!B216&lt;'User Dashboard'!AJ$15,'User Dashboard'!AN$14,
IF('SIR Model Patient Calcs'!B216&lt;'User Dashboard'!AJ$16,'User Dashboard'!AN$15,
IF('SIR Model Patient Calcs'!B216&lt;'User Dashboard'!AJ$17,'User Dashboard'!AN$16,
IF('SIR Model Patient Calcs'!B216&lt;'User Dashboard'!AJ$18,'User Dashboard'!AN$17,
'User Dashboard'!AN$18)))),
IF('User Dashboard'!Z$12=4,
IF('SIR Model Patient Calcs'!B216&lt;'User Dashboard'!AJ$15,'User Dashboard'!AN$14,
IF('SIR Model Patient Calcs'!B216&lt;'User Dashboard'!AJ$16,'User Dashboard'!AN$15,
IF('SIR Model Patient Calcs'!B216&lt;'User Dashboard'!AJ$17,'User Dashboard'!AN$16,
'User Dashboard'!AN$17))),
IF('User Dashboard'!Z$12=3,
IF('SIR Model Patient Calcs'!B216&lt;'User Dashboard'!AJ$15,'User Dashboard'!AN$14,
IF('SIR Model Patient Calcs'!B216&lt;'User Dashboard'!AJ$16,'User Dashboard'!AN$15,
'User Dashboard'!AN$16)),
IF('User Dashboard'!Z$12=2,
IF('SIR Model Patient Calcs'!B216&lt;'User Dashboard'!AJ$15,'User Dashboard'!AN$14,
'User Dashboard'!AN$15),
IF('User Dashboard'!Z$12=1,
'User Dashboard'!AN$14)))))</f>
        <v>15.209356603107825</v>
      </c>
      <c r="D216" s="747">
        <f>'User Dashboard'!X$15</f>
        <v>2.2072878851804097E-2</v>
      </c>
      <c r="E216" s="739">
        <f t="shared" si="30"/>
        <v>9.1306104687305764E-8</v>
      </c>
      <c r="F216" s="739">
        <f t="shared" si="37"/>
        <v>9.1306104687305778E-8</v>
      </c>
      <c r="G216" s="749">
        <f>1/'User Dashboard'!X$12</f>
        <v>0.14285714285714285</v>
      </c>
      <c r="H216" s="385">
        <f t="shared" si="31"/>
        <v>441173.91162894794</v>
      </c>
      <c r="I216" s="751">
        <f t="shared" si="34"/>
        <v>4.4344961748546003</v>
      </c>
      <c r="J216" s="752">
        <f t="shared" si="32"/>
        <v>3235621.6538748755</v>
      </c>
      <c r="K216" s="385">
        <f t="shared" si="35"/>
        <v>3235626.0883710505</v>
      </c>
      <c r="L216" s="752">
        <f t="shared" si="36"/>
        <v>0.19904720224440098</v>
      </c>
    </row>
    <row r="217" spans="1:12" x14ac:dyDescent="0.75">
      <c r="A217" s="309" t="str">
        <f t="shared" si="33"/>
        <v/>
      </c>
      <c r="B217" s="310">
        <v>210</v>
      </c>
      <c r="C217" s="746">
        <f>IF('User Dashboard'!Z$12=5,
IF('SIR Model Patient Calcs'!B217&lt;'User Dashboard'!AJ$15,'User Dashboard'!AN$14,
IF('SIR Model Patient Calcs'!B217&lt;'User Dashboard'!AJ$16,'User Dashboard'!AN$15,
IF('SIR Model Patient Calcs'!B217&lt;'User Dashboard'!AJ$17,'User Dashboard'!AN$16,
IF('SIR Model Patient Calcs'!B217&lt;'User Dashboard'!AJ$18,'User Dashboard'!AN$17,
'User Dashboard'!AN$18)))),
IF('User Dashboard'!Z$12=4,
IF('SIR Model Patient Calcs'!B217&lt;'User Dashboard'!AJ$15,'User Dashboard'!AN$14,
IF('SIR Model Patient Calcs'!B217&lt;'User Dashboard'!AJ$16,'User Dashboard'!AN$15,
IF('SIR Model Patient Calcs'!B217&lt;'User Dashboard'!AJ$17,'User Dashboard'!AN$16,
'User Dashboard'!AN$17))),
IF('User Dashboard'!Z$12=3,
IF('SIR Model Patient Calcs'!B217&lt;'User Dashboard'!AJ$15,'User Dashboard'!AN$14,
IF('SIR Model Patient Calcs'!B217&lt;'User Dashboard'!AJ$16,'User Dashboard'!AN$15,
'User Dashboard'!AN$16)),
IF('User Dashboard'!Z$12=2,
IF('SIR Model Patient Calcs'!B217&lt;'User Dashboard'!AJ$15,'User Dashboard'!AN$14,
'User Dashboard'!AN$15),
IF('User Dashboard'!Z$12=1,
'User Dashboard'!AN$14)))))</f>
        <v>15.209356603107825</v>
      </c>
      <c r="D217" s="747">
        <f>'User Dashboard'!X$15</f>
        <v>2.2072878851804097E-2</v>
      </c>
      <c r="E217" s="739">
        <f t="shared" si="30"/>
        <v>9.1306104687305764E-8</v>
      </c>
      <c r="F217" s="739">
        <f t="shared" si="37"/>
        <v>9.1306104687305778E-8</v>
      </c>
      <c r="G217" s="749">
        <f>1/'User Dashboard'!X$12</f>
        <v>0.14285714285714285</v>
      </c>
      <c r="H217" s="385">
        <f t="shared" si="31"/>
        <v>441173.73299914348</v>
      </c>
      <c r="I217" s="751">
        <f t="shared" si="34"/>
        <v>3.9796265257680696</v>
      </c>
      <c r="J217" s="752">
        <f t="shared" si="32"/>
        <v>3235622.2873743293</v>
      </c>
      <c r="K217" s="385">
        <f t="shared" si="35"/>
        <v>3235626.2670008549</v>
      </c>
      <c r="L217" s="752">
        <f t="shared" si="36"/>
        <v>0.1786298044025898</v>
      </c>
    </row>
    <row r="218" spans="1:12" x14ac:dyDescent="0.75">
      <c r="A218" s="309" t="str">
        <f t="shared" si="33"/>
        <v/>
      </c>
      <c r="B218" s="310">
        <v>211</v>
      </c>
      <c r="C218" s="746">
        <f>IF('User Dashboard'!Z$12=5,
IF('SIR Model Patient Calcs'!B218&lt;'User Dashboard'!AJ$15,'User Dashboard'!AN$14,
IF('SIR Model Patient Calcs'!B218&lt;'User Dashboard'!AJ$16,'User Dashboard'!AN$15,
IF('SIR Model Patient Calcs'!B218&lt;'User Dashboard'!AJ$17,'User Dashboard'!AN$16,
IF('SIR Model Patient Calcs'!B218&lt;'User Dashboard'!AJ$18,'User Dashboard'!AN$17,
'User Dashboard'!AN$18)))),
IF('User Dashboard'!Z$12=4,
IF('SIR Model Patient Calcs'!B218&lt;'User Dashboard'!AJ$15,'User Dashboard'!AN$14,
IF('SIR Model Patient Calcs'!B218&lt;'User Dashboard'!AJ$16,'User Dashboard'!AN$15,
IF('SIR Model Patient Calcs'!B218&lt;'User Dashboard'!AJ$17,'User Dashboard'!AN$16,
'User Dashboard'!AN$17))),
IF('User Dashboard'!Z$12=3,
IF('SIR Model Patient Calcs'!B218&lt;'User Dashboard'!AJ$15,'User Dashboard'!AN$14,
IF('SIR Model Patient Calcs'!B218&lt;'User Dashboard'!AJ$16,'User Dashboard'!AN$15,
'User Dashboard'!AN$16)),
IF('User Dashboard'!Z$12=2,
IF('SIR Model Patient Calcs'!B218&lt;'User Dashboard'!AJ$15,'User Dashboard'!AN$14,
'User Dashboard'!AN$15),
IF('User Dashboard'!Z$12=1,
'User Dashboard'!AN$14)))))</f>
        <v>15.209356603107825</v>
      </c>
      <c r="D218" s="747">
        <f>'User Dashboard'!X$15</f>
        <v>2.2072878851804097E-2</v>
      </c>
      <c r="E218" s="739">
        <f t="shared" si="30"/>
        <v>9.1306104687305764E-8</v>
      </c>
      <c r="F218" s="739">
        <f t="shared" si="37"/>
        <v>9.1306104687305778E-8</v>
      </c>
      <c r="G218" s="749">
        <f>1/'User Dashboard'!X$12</f>
        <v>0.14285714285714285</v>
      </c>
      <c r="H218" s="385">
        <f t="shared" si="31"/>
        <v>441173.57269240462</v>
      </c>
      <c r="I218" s="751">
        <f t="shared" si="34"/>
        <v>3.5714151895244965</v>
      </c>
      <c r="J218" s="752">
        <f t="shared" si="32"/>
        <v>3235622.8558924044</v>
      </c>
      <c r="K218" s="385">
        <f t="shared" si="35"/>
        <v>3235626.4273075941</v>
      </c>
      <c r="L218" s="752">
        <f t="shared" si="36"/>
        <v>0.1603067391552031</v>
      </c>
    </row>
    <row r="219" spans="1:12" x14ac:dyDescent="0.75">
      <c r="A219" s="309" t="str">
        <f t="shared" si="33"/>
        <v/>
      </c>
      <c r="B219" s="310">
        <v>212</v>
      </c>
      <c r="C219" s="746">
        <f>IF('User Dashboard'!Z$12=5,
IF('SIR Model Patient Calcs'!B219&lt;'User Dashboard'!AJ$15,'User Dashboard'!AN$14,
IF('SIR Model Patient Calcs'!B219&lt;'User Dashboard'!AJ$16,'User Dashboard'!AN$15,
IF('SIR Model Patient Calcs'!B219&lt;'User Dashboard'!AJ$17,'User Dashboard'!AN$16,
IF('SIR Model Patient Calcs'!B219&lt;'User Dashboard'!AJ$18,'User Dashboard'!AN$17,
'User Dashboard'!AN$18)))),
IF('User Dashboard'!Z$12=4,
IF('SIR Model Patient Calcs'!B219&lt;'User Dashboard'!AJ$15,'User Dashboard'!AN$14,
IF('SIR Model Patient Calcs'!B219&lt;'User Dashboard'!AJ$16,'User Dashboard'!AN$15,
IF('SIR Model Patient Calcs'!B219&lt;'User Dashboard'!AJ$17,'User Dashboard'!AN$16,
'User Dashboard'!AN$17))),
IF('User Dashboard'!Z$12=3,
IF('SIR Model Patient Calcs'!B219&lt;'User Dashboard'!AJ$15,'User Dashboard'!AN$14,
IF('SIR Model Patient Calcs'!B219&lt;'User Dashboard'!AJ$16,'User Dashboard'!AN$15,
'User Dashboard'!AN$16)),
IF('User Dashboard'!Z$12=2,
IF('SIR Model Patient Calcs'!B219&lt;'User Dashboard'!AJ$15,'User Dashboard'!AN$14,
'User Dashboard'!AN$15),
IF('User Dashboard'!Z$12=1,
'User Dashboard'!AN$14)))))</f>
        <v>15.209356603107825</v>
      </c>
      <c r="D219" s="747">
        <f>'User Dashboard'!X$15</f>
        <v>2.2072878851804097E-2</v>
      </c>
      <c r="E219" s="739">
        <f t="shared" si="30"/>
        <v>9.1306104687305764E-8</v>
      </c>
      <c r="F219" s="739">
        <f t="shared" si="37"/>
        <v>9.1306104687305778E-8</v>
      </c>
      <c r="G219" s="749">
        <f>1/'User Dashboard'!X$12</f>
        <v>0.14285714285714285</v>
      </c>
      <c r="H219" s="385">
        <f t="shared" si="31"/>
        <v>441173.42882922792</v>
      </c>
      <c r="I219" s="751">
        <f t="shared" si="34"/>
        <v>3.2050761963072922</v>
      </c>
      <c r="J219" s="752">
        <f t="shared" si="32"/>
        <v>3235623.3660945743</v>
      </c>
      <c r="K219" s="385">
        <f t="shared" si="35"/>
        <v>3235626.5711707706</v>
      </c>
      <c r="L219" s="752">
        <f t="shared" si="36"/>
        <v>0.14386317646130919</v>
      </c>
    </row>
    <row r="220" spans="1:12" x14ac:dyDescent="0.75">
      <c r="A220" s="309" t="str">
        <f t="shared" si="33"/>
        <v/>
      </c>
      <c r="B220" s="310">
        <v>213</v>
      </c>
      <c r="C220" s="746">
        <f>IF('User Dashboard'!Z$12=5,
IF('SIR Model Patient Calcs'!B220&lt;'User Dashboard'!AJ$15,'User Dashboard'!AN$14,
IF('SIR Model Patient Calcs'!B220&lt;'User Dashboard'!AJ$16,'User Dashboard'!AN$15,
IF('SIR Model Patient Calcs'!B220&lt;'User Dashboard'!AJ$17,'User Dashboard'!AN$16,
IF('SIR Model Patient Calcs'!B220&lt;'User Dashboard'!AJ$18,'User Dashboard'!AN$17,
'User Dashboard'!AN$18)))),
IF('User Dashboard'!Z$12=4,
IF('SIR Model Patient Calcs'!B220&lt;'User Dashboard'!AJ$15,'User Dashboard'!AN$14,
IF('SIR Model Patient Calcs'!B220&lt;'User Dashboard'!AJ$16,'User Dashboard'!AN$15,
IF('SIR Model Patient Calcs'!B220&lt;'User Dashboard'!AJ$17,'User Dashboard'!AN$16,
'User Dashboard'!AN$17))),
IF('User Dashboard'!Z$12=3,
IF('SIR Model Patient Calcs'!B220&lt;'User Dashboard'!AJ$15,'User Dashboard'!AN$14,
IF('SIR Model Patient Calcs'!B220&lt;'User Dashboard'!AJ$16,'User Dashboard'!AN$15,
'User Dashboard'!AN$16)),
IF('User Dashboard'!Z$12=2,
IF('SIR Model Patient Calcs'!B220&lt;'User Dashboard'!AJ$15,'User Dashboard'!AN$14,
'User Dashboard'!AN$15),
IF('User Dashboard'!Z$12=1,
'User Dashboard'!AN$14)))))</f>
        <v>15.209356603107825</v>
      </c>
      <c r="D220" s="747">
        <f>'User Dashboard'!X$15</f>
        <v>2.2072878851804097E-2</v>
      </c>
      <c r="E220" s="739">
        <f t="shared" si="30"/>
        <v>9.1306104687305764E-8</v>
      </c>
      <c r="F220" s="739">
        <f t="shared" si="37"/>
        <v>9.1306104687305778E-8</v>
      </c>
      <c r="G220" s="749">
        <f>1/'User Dashboard'!X$12</f>
        <v>0.14285714285714285</v>
      </c>
      <c r="H220" s="385">
        <f t="shared" si="31"/>
        <v>441173.29972290219</v>
      </c>
      <c r="I220" s="751">
        <f t="shared" si="34"/>
        <v>2.876314494015678</v>
      </c>
      <c r="J220" s="752">
        <f t="shared" si="32"/>
        <v>3235623.8239626023</v>
      </c>
      <c r="K220" s="385">
        <f t="shared" si="35"/>
        <v>3235626.7002770961</v>
      </c>
      <c r="L220" s="752">
        <f t="shared" si="36"/>
        <v>0.12910632556304336</v>
      </c>
    </row>
    <row r="221" spans="1:12" x14ac:dyDescent="0.75">
      <c r="A221" s="309" t="str">
        <f t="shared" si="33"/>
        <v/>
      </c>
      <c r="B221" s="310">
        <v>214</v>
      </c>
      <c r="C221" s="746">
        <f>IF('User Dashboard'!Z$12=5,
IF('SIR Model Patient Calcs'!B221&lt;'User Dashboard'!AJ$15,'User Dashboard'!AN$14,
IF('SIR Model Patient Calcs'!B221&lt;'User Dashboard'!AJ$16,'User Dashboard'!AN$15,
IF('SIR Model Patient Calcs'!B221&lt;'User Dashboard'!AJ$17,'User Dashboard'!AN$16,
IF('SIR Model Patient Calcs'!B221&lt;'User Dashboard'!AJ$18,'User Dashboard'!AN$17,
'User Dashboard'!AN$18)))),
IF('User Dashboard'!Z$12=4,
IF('SIR Model Patient Calcs'!B221&lt;'User Dashboard'!AJ$15,'User Dashboard'!AN$14,
IF('SIR Model Patient Calcs'!B221&lt;'User Dashboard'!AJ$16,'User Dashboard'!AN$15,
IF('SIR Model Patient Calcs'!B221&lt;'User Dashboard'!AJ$17,'User Dashboard'!AN$16,
'User Dashboard'!AN$17))),
IF('User Dashboard'!Z$12=3,
IF('SIR Model Patient Calcs'!B221&lt;'User Dashboard'!AJ$15,'User Dashboard'!AN$14,
IF('SIR Model Patient Calcs'!B221&lt;'User Dashboard'!AJ$16,'User Dashboard'!AN$15,
'User Dashboard'!AN$16)),
IF('User Dashboard'!Z$12=2,
IF('SIR Model Patient Calcs'!B221&lt;'User Dashboard'!AJ$15,'User Dashboard'!AN$14,
'User Dashboard'!AN$15),
IF('User Dashboard'!Z$12=1,
'User Dashboard'!AN$14)))))</f>
        <v>15.209356603107825</v>
      </c>
      <c r="D221" s="747">
        <f>'User Dashboard'!X$15</f>
        <v>2.2072878851804097E-2</v>
      </c>
      <c r="E221" s="739">
        <f t="shared" si="30"/>
        <v>9.1306104687305764E-8</v>
      </c>
      <c r="F221" s="739">
        <f t="shared" si="37"/>
        <v>9.1306104687305778E-8</v>
      </c>
      <c r="G221" s="749">
        <f>1/'User Dashboard'!X$12</f>
        <v>0.14285714285714285</v>
      </c>
      <c r="H221" s="385">
        <f t="shared" si="31"/>
        <v>441173.18385973247</v>
      </c>
      <c r="I221" s="751">
        <f t="shared" si="34"/>
        <v>2.5812755931804241</v>
      </c>
      <c r="J221" s="752">
        <f t="shared" si="32"/>
        <v>3235624.2348646726</v>
      </c>
      <c r="K221" s="385">
        <f t="shared" si="35"/>
        <v>3235626.8161402657</v>
      </c>
      <c r="L221" s="752">
        <f t="shared" si="36"/>
        <v>0.11586316954344511</v>
      </c>
    </row>
    <row r="222" spans="1:12" x14ac:dyDescent="0.75">
      <c r="A222" s="309" t="str">
        <f t="shared" si="33"/>
        <v/>
      </c>
      <c r="B222" s="310">
        <v>215</v>
      </c>
      <c r="C222" s="746">
        <f>IF('User Dashboard'!Z$12=5,
IF('SIR Model Patient Calcs'!B222&lt;'User Dashboard'!AJ$15,'User Dashboard'!AN$14,
IF('SIR Model Patient Calcs'!B222&lt;'User Dashboard'!AJ$16,'User Dashboard'!AN$15,
IF('SIR Model Patient Calcs'!B222&lt;'User Dashboard'!AJ$17,'User Dashboard'!AN$16,
IF('SIR Model Patient Calcs'!B222&lt;'User Dashboard'!AJ$18,'User Dashboard'!AN$17,
'User Dashboard'!AN$18)))),
IF('User Dashboard'!Z$12=4,
IF('SIR Model Patient Calcs'!B222&lt;'User Dashboard'!AJ$15,'User Dashboard'!AN$14,
IF('SIR Model Patient Calcs'!B222&lt;'User Dashboard'!AJ$16,'User Dashboard'!AN$15,
IF('SIR Model Patient Calcs'!B222&lt;'User Dashboard'!AJ$17,'User Dashboard'!AN$16,
'User Dashboard'!AN$17))),
IF('User Dashboard'!Z$12=3,
IF('SIR Model Patient Calcs'!B222&lt;'User Dashboard'!AJ$15,'User Dashboard'!AN$14,
IF('SIR Model Patient Calcs'!B222&lt;'User Dashboard'!AJ$16,'User Dashboard'!AN$15,
'User Dashboard'!AN$16)),
IF('User Dashboard'!Z$12=2,
IF('SIR Model Patient Calcs'!B222&lt;'User Dashboard'!AJ$15,'User Dashboard'!AN$14,
'User Dashboard'!AN$15),
IF('User Dashboard'!Z$12=1,
'User Dashboard'!AN$14)))))</f>
        <v>15.209356603107825</v>
      </c>
      <c r="D222" s="747">
        <f>'User Dashboard'!X$15</f>
        <v>2.2072878851804097E-2</v>
      </c>
      <c r="E222" s="739">
        <f t="shared" si="30"/>
        <v>9.1306104687305764E-8</v>
      </c>
      <c r="F222" s="739">
        <f t="shared" si="37"/>
        <v>9.1306104687305778E-8</v>
      </c>
      <c r="G222" s="749">
        <f>1/'User Dashboard'!X$12</f>
        <v>0.14285714285714285</v>
      </c>
      <c r="H222" s="385">
        <f t="shared" si="31"/>
        <v>441173.07988129259</v>
      </c>
      <c r="I222" s="751">
        <f t="shared" si="34"/>
        <v>2.3165003768771113</v>
      </c>
      <c r="J222" s="752">
        <f t="shared" si="32"/>
        <v>3235624.6036183289</v>
      </c>
      <c r="K222" s="385">
        <f t="shared" si="35"/>
        <v>3235626.9201187058</v>
      </c>
      <c r="L222" s="752">
        <f t="shared" si="36"/>
        <v>0.10397844016551971</v>
      </c>
    </row>
    <row r="223" spans="1:12" x14ac:dyDescent="0.75">
      <c r="A223" s="309" t="str">
        <f t="shared" si="33"/>
        <v/>
      </c>
      <c r="B223" s="310">
        <v>216</v>
      </c>
      <c r="C223" s="746">
        <f>IF('User Dashboard'!Z$12=5,
IF('SIR Model Patient Calcs'!B223&lt;'User Dashboard'!AJ$15,'User Dashboard'!AN$14,
IF('SIR Model Patient Calcs'!B223&lt;'User Dashboard'!AJ$16,'User Dashboard'!AN$15,
IF('SIR Model Patient Calcs'!B223&lt;'User Dashboard'!AJ$17,'User Dashboard'!AN$16,
IF('SIR Model Patient Calcs'!B223&lt;'User Dashboard'!AJ$18,'User Dashboard'!AN$17,
'User Dashboard'!AN$18)))),
IF('User Dashboard'!Z$12=4,
IF('SIR Model Patient Calcs'!B223&lt;'User Dashboard'!AJ$15,'User Dashboard'!AN$14,
IF('SIR Model Patient Calcs'!B223&lt;'User Dashboard'!AJ$16,'User Dashboard'!AN$15,
IF('SIR Model Patient Calcs'!B223&lt;'User Dashboard'!AJ$17,'User Dashboard'!AN$16,
'User Dashboard'!AN$17))),
IF('User Dashboard'!Z$12=3,
IF('SIR Model Patient Calcs'!B223&lt;'User Dashboard'!AJ$15,'User Dashboard'!AN$14,
IF('SIR Model Patient Calcs'!B223&lt;'User Dashboard'!AJ$16,'User Dashboard'!AN$15,
'User Dashboard'!AN$16)),
IF('User Dashboard'!Z$12=2,
IF('SIR Model Patient Calcs'!B223&lt;'User Dashboard'!AJ$15,'User Dashboard'!AN$14,
'User Dashboard'!AN$15),
IF('User Dashboard'!Z$12=1,
'User Dashboard'!AN$14)))))</f>
        <v>15.209356603107825</v>
      </c>
      <c r="D223" s="747">
        <f>'User Dashboard'!X$15</f>
        <v>2.2072878851804097E-2</v>
      </c>
      <c r="E223" s="739">
        <f t="shared" si="30"/>
        <v>9.1306104687305764E-8</v>
      </c>
      <c r="F223" s="739">
        <f t="shared" si="37"/>
        <v>9.1306104687305778E-8</v>
      </c>
      <c r="G223" s="749">
        <f>1/'User Dashboard'!X$12</f>
        <v>0.14285714285714285</v>
      </c>
      <c r="H223" s="385">
        <f t="shared" si="31"/>
        <v>441172.98656849831</v>
      </c>
      <c r="I223" s="751">
        <f t="shared" si="34"/>
        <v>2.0788845458734011</v>
      </c>
      <c r="J223" s="752">
        <f t="shared" si="32"/>
        <v>3235624.934546954</v>
      </c>
      <c r="K223" s="385">
        <f t="shared" si="35"/>
        <v>3235627.0134314997</v>
      </c>
      <c r="L223" s="752">
        <f t="shared" si="36"/>
        <v>9.3312793876975775E-2</v>
      </c>
    </row>
    <row r="224" spans="1:12" x14ac:dyDescent="0.75">
      <c r="A224" s="309" t="str">
        <f t="shared" si="33"/>
        <v/>
      </c>
      <c r="B224" s="310">
        <v>217</v>
      </c>
      <c r="C224" s="746">
        <f>IF('User Dashboard'!Z$12=5,
IF('SIR Model Patient Calcs'!B224&lt;'User Dashboard'!AJ$15,'User Dashboard'!AN$14,
IF('SIR Model Patient Calcs'!B224&lt;'User Dashboard'!AJ$16,'User Dashboard'!AN$15,
IF('SIR Model Patient Calcs'!B224&lt;'User Dashboard'!AJ$17,'User Dashboard'!AN$16,
IF('SIR Model Patient Calcs'!B224&lt;'User Dashboard'!AJ$18,'User Dashboard'!AN$17,
'User Dashboard'!AN$18)))),
IF('User Dashboard'!Z$12=4,
IF('SIR Model Patient Calcs'!B224&lt;'User Dashboard'!AJ$15,'User Dashboard'!AN$14,
IF('SIR Model Patient Calcs'!B224&lt;'User Dashboard'!AJ$16,'User Dashboard'!AN$15,
IF('SIR Model Patient Calcs'!B224&lt;'User Dashboard'!AJ$17,'User Dashboard'!AN$16,
'User Dashboard'!AN$17))),
IF('User Dashboard'!Z$12=3,
IF('SIR Model Patient Calcs'!B224&lt;'User Dashboard'!AJ$15,'User Dashboard'!AN$14,
IF('SIR Model Patient Calcs'!B224&lt;'User Dashboard'!AJ$16,'User Dashboard'!AN$15,
'User Dashboard'!AN$16)),
IF('User Dashboard'!Z$12=2,
IF('SIR Model Patient Calcs'!B224&lt;'User Dashboard'!AJ$15,'User Dashboard'!AN$14,
'User Dashboard'!AN$15),
IF('User Dashboard'!Z$12=1,
'User Dashboard'!AN$14)))))</f>
        <v>15.209356603107825</v>
      </c>
      <c r="D224" s="747">
        <f>'User Dashboard'!X$15</f>
        <v>2.2072878851804097E-2</v>
      </c>
      <c r="E224" s="739">
        <f t="shared" si="30"/>
        <v>9.1306104687305764E-8</v>
      </c>
      <c r="F224" s="739">
        <f t="shared" si="37"/>
        <v>9.1306104687305778E-8</v>
      </c>
      <c r="G224" s="749">
        <f>1/'User Dashboard'!X$12</f>
        <v>0.14285714285714285</v>
      </c>
      <c r="H224" s="385">
        <f t="shared" si="31"/>
        <v>441172.90282731404</v>
      </c>
      <c r="I224" s="751">
        <f t="shared" si="34"/>
        <v>1.8656422235800534</v>
      </c>
      <c r="J224" s="752">
        <f t="shared" si="32"/>
        <v>3235625.2315304605</v>
      </c>
      <c r="K224" s="385">
        <f t="shared" si="35"/>
        <v>3235627.097172684</v>
      </c>
      <c r="L224" s="752">
        <f t="shared" si="36"/>
        <v>8.3741184324026108E-2</v>
      </c>
    </row>
    <row r="225" spans="1:12" x14ac:dyDescent="0.75">
      <c r="A225" s="309" t="str">
        <f t="shared" si="33"/>
        <v/>
      </c>
      <c r="B225" s="310">
        <v>218</v>
      </c>
      <c r="C225" s="746">
        <f>IF('User Dashboard'!Z$12=5,
IF('SIR Model Patient Calcs'!B225&lt;'User Dashboard'!AJ$15,'User Dashboard'!AN$14,
IF('SIR Model Patient Calcs'!B225&lt;'User Dashboard'!AJ$16,'User Dashboard'!AN$15,
IF('SIR Model Patient Calcs'!B225&lt;'User Dashboard'!AJ$17,'User Dashboard'!AN$16,
IF('SIR Model Patient Calcs'!B225&lt;'User Dashboard'!AJ$18,'User Dashboard'!AN$17,
'User Dashboard'!AN$18)))),
IF('User Dashboard'!Z$12=4,
IF('SIR Model Patient Calcs'!B225&lt;'User Dashboard'!AJ$15,'User Dashboard'!AN$14,
IF('SIR Model Patient Calcs'!B225&lt;'User Dashboard'!AJ$16,'User Dashboard'!AN$15,
IF('SIR Model Patient Calcs'!B225&lt;'User Dashboard'!AJ$17,'User Dashboard'!AN$16,
'User Dashboard'!AN$17))),
IF('User Dashboard'!Z$12=3,
IF('SIR Model Patient Calcs'!B225&lt;'User Dashboard'!AJ$15,'User Dashboard'!AN$14,
IF('SIR Model Patient Calcs'!B225&lt;'User Dashboard'!AJ$16,'User Dashboard'!AN$15,
'User Dashboard'!AN$16)),
IF('User Dashboard'!Z$12=2,
IF('SIR Model Patient Calcs'!B225&lt;'User Dashboard'!AJ$15,'User Dashboard'!AN$14,
'User Dashboard'!AN$15),
IF('User Dashboard'!Z$12=1,
'User Dashboard'!AN$14)))))</f>
        <v>15.209356603107825</v>
      </c>
      <c r="D225" s="747">
        <f>'User Dashboard'!X$15</f>
        <v>2.2072878851804097E-2</v>
      </c>
      <c r="E225" s="739">
        <f t="shared" si="30"/>
        <v>9.1306104687305764E-8</v>
      </c>
      <c r="F225" s="739">
        <f t="shared" si="37"/>
        <v>9.1306104687305778E-8</v>
      </c>
      <c r="G225" s="749">
        <f>1/'User Dashboard'!X$12</f>
        <v>0.14285714285714285</v>
      </c>
      <c r="H225" s="385">
        <f t="shared" si="31"/>
        <v>441172.82767592586</v>
      </c>
      <c r="I225" s="751">
        <f t="shared" si="34"/>
        <v>1.6742732941368963</v>
      </c>
      <c r="J225" s="752">
        <f t="shared" si="32"/>
        <v>3235625.4980507782</v>
      </c>
      <c r="K225" s="385">
        <f t="shared" si="35"/>
        <v>3235627.1723240721</v>
      </c>
      <c r="L225" s="752">
        <f t="shared" si="36"/>
        <v>7.5151388067752123E-2</v>
      </c>
    </row>
    <row r="226" spans="1:12" x14ac:dyDescent="0.75">
      <c r="A226" s="309" t="str">
        <f t="shared" si="33"/>
        <v/>
      </c>
      <c r="B226" s="310">
        <v>219</v>
      </c>
      <c r="C226" s="746">
        <f>IF('User Dashboard'!Z$12=5,
IF('SIR Model Patient Calcs'!B226&lt;'User Dashboard'!AJ$15,'User Dashboard'!AN$14,
IF('SIR Model Patient Calcs'!B226&lt;'User Dashboard'!AJ$16,'User Dashboard'!AN$15,
IF('SIR Model Patient Calcs'!B226&lt;'User Dashboard'!AJ$17,'User Dashboard'!AN$16,
IF('SIR Model Patient Calcs'!B226&lt;'User Dashboard'!AJ$18,'User Dashboard'!AN$17,
'User Dashboard'!AN$18)))),
IF('User Dashboard'!Z$12=4,
IF('SIR Model Patient Calcs'!B226&lt;'User Dashboard'!AJ$15,'User Dashboard'!AN$14,
IF('SIR Model Patient Calcs'!B226&lt;'User Dashboard'!AJ$16,'User Dashboard'!AN$15,
IF('SIR Model Patient Calcs'!B226&lt;'User Dashboard'!AJ$17,'User Dashboard'!AN$16,
'User Dashboard'!AN$17))),
IF('User Dashboard'!Z$12=3,
IF('SIR Model Patient Calcs'!B226&lt;'User Dashboard'!AJ$15,'User Dashboard'!AN$14,
IF('SIR Model Patient Calcs'!B226&lt;'User Dashboard'!AJ$16,'User Dashboard'!AN$15,
'User Dashboard'!AN$16)),
IF('User Dashboard'!Z$12=2,
IF('SIR Model Patient Calcs'!B226&lt;'User Dashboard'!AJ$15,'User Dashboard'!AN$14,
'User Dashboard'!AN$15),
IF('User Dashboard'!Z$12=1,
'User Dashboard'!AN$14)))))</f>
        <v>15.209356603107825</v>
      </c>
      <c r="D226" s="747">
        <f>'User Dashboard'!X$15</f>
        <v>2.2072878851804097E-2</v>
      </c>
      <c r="E226" s="739">
        <f t="shared" si="30"/>
        <v>9.1306104687305764E-8</v>
      </c>
      <c r="F226" s="739">
        <f t="shared" si="37"/>
        <v>9.1306104687305778E-8</v>
      </c>
      <c r="G226" s="749">
        <f>1/'User Dashboard'!X$12</f>
        <v>0.14285714285714285</v>
      </c>
      <c r="H226" s="385">
        <f t="shared" si="31"/>
        <v>441172.76023323013</v>
      </c>
      <c r="I226" s="751">
        <f t="shared" si="34"/>
        <v>1.5025340907258407</v>
      </c>
      <c r="J226" s="752">
        <f t="shared" si="32"/>
        <v>3235625.7372326772</v>
      </c>
      <c r="K226" s="385">
        <f t="shared" si="35"/>
        <v>3235627.2397667677</v>
      </c>
      <c r="L226" s="752">
        <f t="shared" si="36"/>
        <v>6.7442695610225201E-2</v>
      </c>
    </row>
    <row r="227" spans="1:12" x14ac:dyDescent="0.75">
      <c r="A227" s="309" t="str">
        <f t="shared" si="33"/>
        <v/>
      </c>
      <c r="B227" s="310">
        <v>220</v>
      </c>
      <c r="C227" s="746">
        <f>IF('User Dashboard'!Z$12=5,
IF('SIR Model Patient Calcs'!B227&lt;'User Dashboard'!AJ$15,'User Dashboard'!AN$14,
IF('SIR Model Patient Calcs'!B227&lt;'User Dashboard'!AJ$16,'User Dashboard'!AN$15,
IF('SIR Model Patient Calcs'!B227&lt;'User Dashboard'!AJ$17,'User Dashboard'!AN$16,
IF('SIR Model Patient Calcs'!B227&lt;'User Dashboard'!AJ$18,'User Dashboard'!AN$17,
'User Dashboard'!AN$18)))),
IF('User Dashboard'!Z$12=4,
IF('SIR Model Patient Calcs'!B227&lt;'User Dashboard'!AJ$15,'User Dashboard'!AN$14,
IF('SIR Model Patient Calcs'!B227&lt;'User Dashboard'!AJ$16,'User Dashboard'!AN$15,
IF('SIR Model Patient Calcs'!B227&lt;'User Dashboard'!AJ$17,'User Dashboard'!AN$16,
'User Dashboard'!AN$17))),
IF('User Dashboard'!Z$12=3,
IF('SIR Model Patient Calcs'!B227&lt;'User Dashboard'!AJ$15,'User Dashboard'!AN$14,
IF('SIR Model Patient Calcs'!B227&lt;'User Dashboard'!AJ$16,'User Dashboard'!AN$15,
'User Dashboard'!AN$16)),
IF('User Dashboard'!Z$12=2,
IF('SIR Model Patient Calcs'!B227&lt;'User Dashboard'!AJ$15,'User Dashboard'!AN$14,
'User Dashboard'!AN$15),
IF('User Dashboard'!Z$12=1,
'User Dashboard'!AN$14)))))</f>
        <v>15.209356603107825</v>
      </c>
      <c r="D227" s="747">
        <f>'User Dashboard'!X$15</f>
        <v>2.2072878851804097E-2</v>
      </c>
      <c r="E227" s="739">
        <f t="shared" si="30"/>
        <v>9.1306104687305764E-8</v>
      </c>
      <c r="F227" s="739">
        <f t="shared" si="37"/>
        <v>9.1306104687305778E-8</v>
      </c>
      <c r="G227" s="749">
        <f>1/'User Dashboard'!X$12</f>
        <v>0.14285714285714285</v>
      </c>
      <c r="H227" s="385">
        <f t="shared" si="31"/>
        <v>441172.69970850315</v>
      </c>
      <c r="I227" s="751">
        <f t="shared" si="34"/>
        <v>1.3484110904760831</v>
      </c>
      <c r="J227" s="752">
        <f t="shared" si="32"/>
        <v>3235625.9518804043</v>
      </c>
      <c r="K227" s="385">
        <f t="shared" si="35"/>
        <v>3235627.3002914949</v>
      </c>
      <c r="L227" s="752">
        <f t="shared" si="36"/>
        <v>6.0524727217853069E-2</v>
      </c>
    </row>
    <row r="228" spans="1:12" x14ac:dyDescent="0.75">
      <c r="A228" s="309" t="str">
        <f t="shared" si="33"/>
        <v/>
      </c>
      <c r="B228" s="310">
        <v>221</v>
      </c>
      <c r="C228" s="746">
        <f>IF('User Dashboard'!Z$12=5,
IF('SIR Model Patient Calcs'!B228&lt;'User Dashboard'!AJ$15,'User Dashboard'!AN$14,
IF('SIR Model Patient Calcs'!B228&lt;'User Dashboard'!AJ$16,'User Dashboard'!AN$15,
IF('SIR Model Patient Calcs'!B228&lt;'User Dashboard'!AJ$17,'User Dashboard'!AN$16,
IF('SIR Model Patient Calcs'!B228&lt;'User Dashboard'!AJ$18,'User Dashboard'!AN$17,
'User Dashboard'!AN$18)))),
IF('User Dashboard'!Z$12=4,
IF('SIR Model Patient Calcs'!B228&lt;'User Dashboard'!AJ$15,'User Dashboard'!AN$14,
IF('SIR Model Patient Calcs'!B228&lt;'User Dashboard'!AJ$16,'User Dashboard'!AN$15,
IF('SIR Model Patient Calcs'!B228&lt;'User Dashboard'!AJ$17,'User Dashboard'!AN$16,
'User Dashboard'!AN$17))),
IF('User Dashboard'!Z$12=3,
IF('SIR Model Patient Calcs'!B228&lt;'User Dashboard'!AJ$15,'User Dashboard'!AN$14,
IF('SIR Model Patient Calcs'!B228&lt;'User Dashboard'!AJ$16,'User Dashboard'!AN$15,
'User Dashboard'!AN$16)),
IF('User Dashboard'!Z$12=2,
IF('SIR Model Patient Calcs'!B228&lt;'User Dashboard'!AJ$15,'User Dashboard'!AN$14,
'User Dashboard'!AN$15),
IF('User Dashboard'!Z$12=1,
'User Dashboard'!AN$14)))))</f>
        <v>15.209356603107825</v>
      </c>
      <c r="D228" s="747">
        <f>'User Dashboard'!X$15</f>
        <v>2.2072878851804097E-2</v>
      </c>
      <c r="E228" s="739">
        <f t="shared" si="30"/>
        <v>9.1306104687305764E-8</v>
      </c>
      <c r="F228" s="739">
        <f t="shared" si="37"/>
        <v>9.1306104687305778E-8</v>
      </c>
      <c r="G228" s="749">
        <f>1/'User Dashboard'!X$12</f>
        <v>0.14285714285714285</v>
      </c>
      <c r="H228" s="385">
        <f t="shared" si="31"/>
        <v>441172.64539213025</v>
      </c>
      <c r="I228" s="751">
        <f t="shared" si="34"/>
        <v>1.2100973075719956</v>
      </c>
      <c r="J228" s="752">
        <f t="shared" si="32"/>
        <v>3235626.1445105602</v>
      </c>
      <c r="K228" s="385">
        <f t="shared" si="35"/>
        <v>3235627.3546078675</v>
      </c>
      <c r="L228" s="752">
        <f t="shared" si="36"/>
        <v>5.4316372610628605E-2</v>
      </c>
    </row>
    <row r="229" spans="1:12" x14ac:dyDescent="0.75">
      <c r="A229" s="309" t="str">
        <f t="shared" si="33"/>
        <v/>
      </c>
      <c r="B229" s="310">
        <v>222</v>
      </c>
      <c r="C229" s="746">
        <f>IF('User Dashboard'!Z$12=5,
IF('SIR Model Patient Calcs'!B229&lt;'User Dashboard'!AJ$15,'User Dashboard'!AN$14,
IF('SIR Model Patient Calcs'!B229&lt;'User Dashboard'!AJ$16,'User Dashboard'!AN$15,
IF('SIR Model Patient Calcs'!B229&lt;'User Dashboard'!AJ$17,'User Dashboard'!AN$16,
IF('SIR Model Patient Calcs'!B229&lt;'User Dashboard'!AJ$18,'User Dashboard'!AN$17,
'User Dashboard'!AN$18)))),
IF('User Dashboard'!Z$12=4,
IF('SIR Model Patient Calcs'!B229&lt;'User Dashboard'!AJ$15,'User Dashboard'!AN$14,
IF('SIR Model Patient Calcs'!B229&lt;'User Dashboard'!AJ$16,'User Dashboard'!AN$15,
IF('SIR Model Patient Calcs'!B229&lt;'User Dashboard'!AJ$17,'User Dashboard'!AN$16,
'User Dashboard'!AN$17))),
IF('User Dashboard'!Z$12=3,
IF('SIR Model Patient Calcs'!B229&lt;'User Dashboard'!AJ$15,'User Dashboard'!AN$14,
IF('SIR Model Patient Calcs'!B229&lt;'User Dashboard'!AJ$16,'User Dashboard'!AN$15,
'User Dashboard'!AN$16)),
IF('User Dashboard'!Z$12=2,
IF('SIR Model Patient Calcs'!B229&lt;'User Dashboard'!AJ$15,'User Dashboard'!AN$14,
'User Dashboard'!AN$15),
IF('User Dashboard'!Z$12=1,
'User Dashboard'!AN$14)))))</f>
        <v>15.209356603107825</v>
      </c>
      <c r="D229" s="747">
        <f>'User Dashboard'!X$15</f>
        <v>2.2072878851804097E-2</v>
      </c>
      <c r="E229" s="739">
        <f t="shared" si="30"/>
        <v>9.1306104687305764E-8</v>
      </c>
      <c r="F229" s="739">
        <f t="shared" si="37"/>
        <v>9.1306104687305778E-8</v>
      </c>
      <c r="G229" s="749">
        <f>1/'User Dashboard'!X$12</f>
        <v>0.14285714285714285</v>
      </c>
      <c r="H229" s="385">
        <f t="shared" si="31"/>
        <v>441172.59664728609</v>
      </c>
      <c r="I229" s="751">
        <f t="shared" si="34"/>
        <v>1.0859711078048593</v>
      </c>
      <c r="J229" s="752">
        <f t="shared" si="32"/>
        <v>3235626.3173816041</v>
      </c>
      <c r="K229" s="385">
        <f t="shared" si="35"/>
        <v>3235627.4033527118</v>
      </c>
      <c r="L229" s="752">
        <f t="shared" si="36"/>
        <v>4.8744844272732735E-2</v>
      </c>
    </row>
    <row r="230" spans="1:12" x14ac:dyDescent="0.75">
      <c r="A230" s="309" t="str">
        <f t="shared" si="33"/>
        <v/>
      </c>
      <c r="B230" s="310">
        <v>223</v>
      </c>
      <c r="C230" s="746">
        <f>IF('User Dashboard'!Z$12=5,
IF('SIR Model Patient Calcs'!B230&lt;'User Dashboard'!AJ$15,'User Dashboard'!AN$14,
IF('SIR Model Patient Calcs'!B230&lt;'User Dashboard'!AJ$16,'User Dashboard'!AN$15,
IF('SIR Model Patient Calcs'!B230&lt;'User Dashboard'!AJ$17,'User Dashboard'!AN$16,
IF('SIR Model Patient Calcs'!B230&lt;'User Dashboard'!AJ$18,'User Dashboard'!AN$17,
'User Dashboard'!AN$18)))),
IF('User Dashboard'!Z$12=4,
IF('SIR Model Patient Calcs'!B230&lt;'User Dashboard'!AJ$15,'User Dashboard'!AN$14,
IF('SIR Model Patient Calcs'!B230&lt;'User Dashboard'!AJ$16,'User Dashboard'!AN$15,
IF('SIR Model Patient Calcs'!B230&lt;'User Dashboard'!AJ$17,'User Dashboard'!AN$16,
'User Dashboard'!AN$17))),
IF('User Dashboard'!Z$12=3,
IF('SIR Model Patient Calcs'!B230&lt;'User Dashboard'!AJ$15,'User Dashboard'!AN$14,
IF('SIR Model Patient Calcs'!B230&lt;'User Dashboard'!AJ$16,'User Dashboard'!AN$15,
'User Dashboard'!AN$16)),
IF('User Dashboard'!Z$12=2,
IF('SIR Model Patient Calcs'!B230&lt;'User Dashboard'!AJ$15,'User Dashboard'!AN$14,
'User Dashboard'!AN$15),
IF('User Dashboard'!Z$12=1,
'User Dashboard'!AN$14)))))</f>
        <v>15.209356603107825</v>
      </c>
      <c r="D230" s="747">
        <f>'User Dashboard'!X$15</f>
        <v>2.2072878851804097E-2</v>
      </c>
      <c r="E230" s="739">
        <f t="shared" si="30"/>
        <v>9.1306104687305764E-8</v>
      </c>
      <c r="F230" s="739">
        <f t="shared" si="37"/>
        <v>9.1306104687305778E-8</v>
      </c>
      <c r="G230" s="749">
        <f>1/'User Dashboard'!X$12</f>
        <v>0.14285714285714285</v>
      </c>
      <c r="H230" s="385">
        <f t="shared" si="31"/>
        <v>441172.55290246801</v>
      </c>
      <c r="I230" s="751">
        <f t="shared" si="34"/>
        <v>0.97457719619621908</v>
      </c>
      <c r="J230" s="752">
        <f t="shared" si="32"/>
        <v>3235626.4725203337</v>
      </c>
      <c r="K230" s="385">
        <f t="shared" si="35"/>
        <v>3235627.4470975301</v>
      </c>
      <c r="L230" s="752">
        <f t="shared" si="36"/>
        <v>4.3744818307459354E-2</v>
      </c>
    </row>
    <row r="231" spans="1:12" x14ac:dyDescent="0.75">
      <c r="A231" s="309" t="str">
        <f t="shared" si="33"/>
        <v/>
      </c>
      <c r="B231" s="310">
        <v>224</v>
      </c>
      <c r="C231" s="746">
        <f>IF('User Dashboard'!Z$12=5,
IF('SIR Model Patient Calcs'!B231&lt;'User Dashboard'!AJ$15,'User Dashboard'!AN$14,
IF('SIR Model Patient Calcs'!B231&lt;'User Dashboard'!AJ$16,'User Dashboard'!AN$15,
IF('SIR Model Patient Calcs'!B231&lt;'User Dashboard'!AJ$17,'User Dashboard'!AN$16,
IF('SIR Model Patient Calcs'!B231&lt;'User Dashboard'!AJ$18,'User Dashboard'!AN$17,
'User Dashboard'!AN$18)))),
IF('User Dashboard'!Z$12=4,
IF('SIR Model Patient Calcs'!B231&lt;'User Dashboard'!AJ$15,'User Dashboard'!AN$14,
IF('SIR Model Patient Calcs'!B231&lt;'User Dashboard'!AJ$16,'User Dashboard'!AN$15,
IF('SIR Model Patient Calcs'!B231&lt;'User Dashboard'!AJ$17,'User Dashboard'!AN$16,
'User Dashboard'!AN$17))),
IF('User Dashboard'!Z$12=3,
IF('SIR Model Patient Calcs'!B231&lt;'User Dashboard'!AJ$15,'User Dashboard'!AN$14,
IF('SIR Model Patient Calcs'!B231&lt;'User Dashboard'!AJ$16,'User Dashboard'!AN$15,
'User Dashboard'!AN$16)),
IF('User Dashboard'!Z$12=2,
IF('SIR Model Patient Calcs'!B231&lt;'User Dashboard'!AJ$15,'User Dashboard'!AN$14,
'User Dashboard'!AN$15),
IF('User Dashboard'!Z$12=1,
'User Dashboard'!AN$14)))))</f>
        <v>15.209356603107825</v>
      </c>
      <c r="D231" s="747">
        <f>'User Dashboard'!X$15</f>
        <v>2.2072878851804097E-2</v>
      </c>
      <c r="E231" s="739">
        <f t="shared" si="30"/>
        <v>9.1306104687305764E-8</v>
      </c>
      <c r="F231" s="739">
        <f t="shared" si="37"/>
        <v>9.1306104687305778E-8</v>
      </c>
      <c r="G231" s="749">
        <f>1/'User Dashboard'!X$12</f>
        <v>0.14285714285714285</v>
      </c>
      <c r="H231" s="385">
        <f t="shared" si="31"/>
        <v>441172.51364479569</v>
      </c>
      <c r="I231" s="751">
        <f t="shared" si="34"/>
        <v>0.8746095547958872</v>
      </c>
      <c r="J231" s="752">
        <f t="shared" si="32"/>
        <v>3235626.6117456476</v>
      </c>
      <c r="K231" s="385">
        <f t="shared" si="35"/>
        <v>3235627.4863552023</v>
      </c>
      <c r="L231" s="752">
        <f t="shared" si="36"/>
        <v>3.9257672149688005E-2</v>
      </c>
    </row>
    <row r="232" spans="1:12" x14ac:dyDescent="0.75">
      <c r="A232" s="309" t="str">
        <f t="shared" si="33"/>
        <v/>
      </c>
      <c r="B232" s="310">
        <v>225</v>
      </c>
      <c r="C232" s="746">
        <f>IF('User Dashboard'!Z$12=5,
IF('SIR Model Patient Calcs'!B232&lt;'User Dashboard'!AJ$15,'User Dashboard'!AN$14,
IF('SIR Model Patient Calcs'!B232&lt;'User Dashboard'!AJ$16,'User Dashboard'!AN$15,
IF('SIR Model Patient Calcs'!B232&lt;'User Dashboard'!AJ$17,'User Dashboard'!AN$16,
IF('SIR Model Patient Calcs'!B232&lt;'User Dashboard'!AJ$18,'User Dashboard'!AN$17,
'User Dashboard'!AN$18)))),
IF('User Dashboard'!Z$12=4,
IF('SIR Model Patient Calcs'!B232&lt;'User Dashboard'!AJ$15,'User Dashboard'!AN$14,
IF('SIR Model Patient Calcs'!B232&lt;'User Dashboard'!AJ$16,'User Dashboard'!AN$15,
IF('SIR Model Patient Calcs'!B232&lt;'User Dashboard'!AJ$17,'User Dashboard'!AN$16,
'User Dashboard'!AN$17))),
IF('User Dashboard'!Z$12=3,
IF('SIR Model Patient Calcs'!B232&lt;'User Dashboard'!AJ$15,'User Dashboard'!AN$14,
IF('SIR Model Patient Calcs'!B232&lt;'User Dashboard'!AJ$16,'User Dashboard'!AN$15,
'User Dashboard'!AN$16)),
IF('User Dashboard'!Z$12=2,
IF('SIR Model Patient Calcs'!B232&lt;'User Dashboard'!AJ$15,'User Dashboard'!AN$14,
'User Dashboard'!AN$15),
IF('User Dashboard'!Z$12=1,
'User Dashboard'!AN$14)))))</f>
        <v>15.209356603107825</v>
      </c>
      <c r="D232" s="747">
        <f>'User Dashboard'!X$15</f>
        <v>2.2072878851804097E-2</v>
      </c>
      <c r="E232" s="739">
        <f t="shared" si="30"/>
        <v>9.1306104687305764E-8</v>
      </c>
      <c r="F232" s="739">
        <f t="shared" si="37"/>
        <v>9.1306104687305778E-8</v>
      </c>
      <c r="G232" s="749">
        <f>1/'User Dashboard'!X$12</f>
        <v>0.14285714285714285</v>
      </c>
      <c r="H232" s="385">
        <f t="shared" si="31"/>
        <v>441172.47841399774</v>
      </c>
      <c r="I232" s="751">
        <f t="shared" si="34"/>
        <v>0.7848961306200537</v>
      </c>
      <c r="J232" s="752">
        <f t="shared" si="32"/>
        <v>3235626.7366898698</v>
      </c>
      <c r="K232" s="385">
        <f t="shared" si="35"/>
        <v>3235627.5215860005</v>
      </c>
      <c r="L232" s="752">
        <f t="shared" si="36"/>
        <v>3.5230798181146383E-2</v>
      </c>
    </row>
    <row r="233" spans="1:12" x14ac:dyDescent="0.75">
      <c r="A233" s="309" t="str">
        <f t="shared" si="33"/>
        <v/>
      </c>
      <c r="B233" s="310">
        <v>226</v>
      </c>
      <c r="C233" s="746">
        <f>IF('User Dashboard'!Z$12=5,
IF('SIR Model Patient Calcs'!B233&lt;'User Dashboard'!AJ$15,'User Dashboard'!AN$14,
IF('SIR Model Patient Calcs'!B233&lt;'User Dashboard'!AJ$16,'User Dashboard'!AN$15,
IF('SIR Model Patient Calcs'!B233&lt;'User Dashboard'!AJ$17,'User Dashboard'!AN$16,
IF('SIR Model Patient Calcs'!B233&lt;'User Dashboard'!AJ$18,'User Dashboard'!AN$17,
'User Dashboard'!AN$18)))),
IF('User Dashboard'!Z$12=4,
IF('SIR Model Patient Calcs'!B233&lt;'User Dashboard'!AJ$15,'User Dashboard'!AN$14,
IF('SIR Model Patient Calcs'!B233&lt;'User Dashboard'!AJ$16,'User Dashboard'!AN$15,
IF('SIR Model Patient Calcs'!B233&lt;'User Dashboard'!AJ$17,'User Dashboard'!AN$16,
'User Dashboard'!AN$17))),
IF('User Dashboard'!Z$12=3,
IF('SIR Model Patient Calcs'!B233&lt;'User Dashboard'!AJ$15,'User Dashboard'!AN$14,
IF('SIR Model Patient Calcs'!B233&lt;'User Dashboard'!AJ$16,'User Dashboard'!AN$15,
'User Dashboard'!AN$16)),
IF('User Dashboard'!Z$12=2,
IF('SIR Model Patient Calcs'!B233&lt;'User Dashboard'!AJ$15,'User Dashboard'!AN$14,
'User Dashboard'!AN$15),
IF('User Dashboard'!Z$12=1,
'User Dashboard'!AN$14)))))</f>
        <v>15.209356603107825</v>
      </c>
      <c r="D233" s="747">
        <f>'User Dashboard'!X$15</f>
        <v>2.2072878851804097E-2</v>
      </c>
      <c r="E233" s="739">
        <f t="shared" si="30"/>
        <v>9.1306104687305764E-8</v>
      </c>
      <c r="F233" s="739">
        <f t="shared" si="37"/>
        <v>9.1306104687305778E-8</v>
      </c>
      <c r="G233" s="749">
        <f>1/'User Dashboard'!X$12</f>
        <v>0.14285714285714285</v>
      </c>
      <c r="H233" s="385">
        <f t="shared" si="31"/>
        <v>441172.44679701549</v>
      </c>
      <c r="I233" s="751">
        <f t="shared" si="34"/>
        <v>0.70438509421253015</v>
      </c>
      <c r="J233" s="752">
        <f t="shared" si="32"/>
        <v>3235626.8488178886</v>
      </c>
      <c r="K233" s="385">
        <f t="shared" si="35"/>
        <v>3235627.553202983</v>
      </c>
      <c r="L233" s="752">
        <f t="shared" si="36"/>
        <v>3.1616982538253069E-2</v>
      </c>
    </row>
    <row r="234" spans="1:12" x14ac:dyDescent="0.75">
      <c r="A234" s="309" t="str">
        <f t="shared" si="33"/>
        <v/>
      </c>
      <c r="B234" s="310">
        <v>227</v>
      </c>
      <c r="C234" s="746">
        <f>IF('User Dashboard'!Z$12=5,
IF('SIR Model Patient Calcs'!B234&lt;'User Dashboard'!AJ$15,'User Dashboard'!AN$14,
IF('SIR Model Patient Calcs'!B234&lt;'User Dashboard'!AJ$16,'User Dashboard'!AN$15,
IF('SIR Model Patient Calcs'!B234&lt;'User Dashboard'!AJ$17,'User Dashboard'!AN$16,
IF('SIR Model Patient Calcs'!B234&lt;'User Dashboard'!AJ$18,'User Dashboard'!AN$17,
'User Dashboard'!AN$18)))),
IF('User Dashboard'!Z$12=4,
IF('SIR Model Patient Calcs'!B234&lt;'User Dashboard'!AJ$15,'User Dashboard'!AN$14,
IF('SIR Model Patient Calcs'!B234&lt;'User Dashboard'!AJ$16,'User Dashboard'!AN$15,
IF('SIR Model Patient Calcs'!B234&lt;'User Dashboard'!AJ$17,'User Dashboard'!AN$16,
'User Dashboard'!AN$17))),
IF('User Dashboard'!Z$12=3,
IF('SIR Model Patient Calcs'!B234&lt;'User Dashboard'!AJ$15,'User Dashboard'!AN$14,
IF('SIR Model Patient Calcs'!B234&lt;'User Dashboard'!AJ$16,'User Dashboard'!AN$15,
'User Dashboard'!AN$16)),
IF('User Dashboard'!Z$12=2,
IF('SIR Model Patient Calcs'!B234&lt;'User Dashboard'!AJ$15,'User Dashboard'!AN$14,
'User Dashboard'!AN$15),
IF('User Dashboard'!Z$12=1,
'User Dashboard'!AN$14)))))</f>
        <v>15.209356603107825</v>
      </c>
      <c r="D234" s="747">
        <f>'User Dashboard'!X$15</f>
        <v>2.2072878851804097E-2</v>
      </c>
      <c r="E234" s="739">
        <f t="shared" si="30"/>
        <v>9.1306104687305764E-8</v>
      </c>
      <c r="F234" s="739">
        <f t="shared" si="37"/>
        <v>9.1306104687305778E-8</v>
      </c>
      <c r="G234" s="749">
        <f>1/'User Dashboard'!X$12</f>
        <v>0.14285714285714285</v>
      </c>
      <c r="H234" s="385">
        <f t="shared" si="31"/>
        <v>441172.41842315998</v>
      </c>
      <c r="I234" s="751">
        <f t="shared" si="34"/>
        <v>0.6321325077253257</v>
      </c>
      <c r="J234" s="752">
        <f t="shared" si="32"/>
        <v>3235626.9494443308</v>
      </c>
      <c r="K234" s="385">
        <f t="shared" si="35"/>
        <v>3235627.5815768386</v>
      </c>
      <c r="L234" s="752">
        <f t="shared" si="36"/>
        <v>2.8373855631798506E-2</v>
      </c>
    </row>
    <row r="235" spans="1:12" x14ac:dyDescent="0.75">
      <c r="A235" s="309" t="str">
        <f t="shared" si="33"/>
        <v/>
      </c>
      <c r="B235" s="310">
        <v>228</v>
      </c>
      <c r="C235" s="746">
        <f>IF('User Dashboard'!Z$12=5,
IF('SIR Model Patient Calcs'!B235&lt;'User Dashboard'!AJ$15,'User Dashboard'!AN$14,
IF('SIR Model Patient Calcs'!B235&lt;'User Dashboard'!AJ$16,'User Dashboard'!AN$15,
IF('SIR Model Patient Calcs'!B235&lt;'User Dashboard'!AJ$17,'User Dashboard'!AN$16,
IF('SIR Model Patient Calcs'!B235&lt;'User Dashboard'!AJ$18,'User Dashboard'!AN$17,
'User Dashboard'!AN$18)))),
IF('User Dashboard'!Z$12=4,
IF('SIR Model Patient Calcs'!B235&lt;'User Dashboard'!AJ$15,'User Dashboard'!AN$14,
IF('SIR Model Patient Calcs'!B235&lt;'User Dashboard'!AJ$16,'User Dashboard'!AN$15,
IF('SIR Model Patient Calcs'!B235&lt;'User Dashboard'!AJ$17,'User Dashboard'!AN$16,
'User Dashboard'!AN$17))),
IF('User Dashboard'!Z$12=3,
IF('SIR Model Patient Calcs'!B235&lt;'User Dashboard'!AJ$15,'User Dashboard'!AN$14,
IF('SIR Model Patient Calcs'!B235&lt;'User Dashboard'!AJ$16,'User Dashboard'!AN$15,
'User Dashboard'!AN$16)),
IF('User Dashboard'!Z$12=2,
IF('SIR Model Patient Calcs'!B235&lt;'User Dashboard'!AJ$15,'User Dashboard'!AN$14,
'User Dashboard'!AN$15),
IF('User Dashboard'!Z$12=1,
'User Dashboard'!AN$14)))))</f>
        <v>15.209356603107825</v>
      </c>
      <c r="D235" s="747">
        <f>'User Dashboard'!X$15</f>
        <v>2.2072878851804097E-2</v>
      </c>
      <c r="E235" s="739">
        <f t="shared" si="30"/>
        <v>9.1306104687305764E-8</v>
      </c>
      <c r="F235" s="739">
        <f t="shared" si="37"/>
        <v>9.1306104687305778E-8</v>
      </c>
      <c r="G235" s="749">
        <f>1/'User Dashboard'!X$12</f>
        <v>0.14285714285714285</v>
      </c>
      <c r="H235" s="385">
        <f t="shared" si="31"/>
        <v>441172.3929597658</v>
      </c>
      <c r="I235" s="751">
        <f t="shared" si="34"/>
        <v>0.5672912579393572</v>
      </c>
      <c r="J235" s="752">
        <f t="shared" si="32"/>
        <v>3235627.0397489746</v>
      </c>
      <c r="K235" s="385">
        <f t="shared" si="35"/>
        <v>3235627.6070402325</v>
      </c>
      <c r="L235" s="752">
        <f t="shared" si="36"/>
        <v>2.546339388936758E-2</v>
      </c>
    </row>
    <row r="236" spans="1:12" x14ac:dyDescent="0.75">
      <c r="A236" s="309" t="str">
        <f t="shared" si="33"/>
        <v/>
      </c>
      <c r="B236" s="310">
        <v>229</v>
      </c>
      <c r="C236" s="746">
        <f>IF('User Dashboard'!Z$12=5,
IF('SIR Model Patient Calcs'!B236&lt;'User Dashboard'!AJ$15,'User Dashboard'!AN$14,
IF('SIR Model Patient Calcs'!B236&lt;'User Dashboard'!AJ$16,'User Dashboard'!AN$15,
IF('SIR Model Patient Calcs'!B236&lt;'User Dashboard'!AJ$17,'User Dashboard'!AN$16,
IF('SIR Model Patient Calcs'!B236&lt;'User Dashboard'!AJ$18,'User Dashboard'!AN$17,
'User Dashboard'!AN$18)))),
IF('User Dashboard'!Z$12=4,
IF('SIR Model Patient Calcs'!B236&lt;'User Dashboard'!AJ$15,'User Dashboard'!AN$14,
IF('SIR Model Patient Calcs'!B236&lt;'User Dashboard'!AJ$16,'User Dashboard'!AN$15,
IF('SIR Model Patient Calcs'!B236&lt;'User Dashboard'!AJ$17,'User Dashboard'!AN$16,
'User Dashboard'!AN$17))),
IF('User Dashboard'!Z$12=3,
IF('SIR Model Patient Calcs'!B236&lt;'User Dashboard'!AJ$15,'User Dashboard'!AN$14,
IF('SIR Model Patient Calcs'!B236&lt;'User Dashboard'!AJ$16,'User Dashboard'!AN$15,
'User Dashboard'!AN$16)),
IF('User Dashboard'!Z$12=2,
IF('SIR Model Patient Calcs'!B236&lt;'User Dashboard'!AJ$15,'User Dashboard'!AN$14,
'User Dashboard'!AN$15),
IF('User Dashboard'!Z$12=1,
'User Dashboard'!AN$14)))))</f>
        <v>15.209356603107825</v>
      </c>
      <c r="D236" s="747">
        <f>'User Dashboard'!X$15</f>
        <v>2.2072878851804097E-2</v>
      </c>
      <c r="E236" s="739">
        <f t="shared" si="30"/>
        <v>9.1306104687305764E-8</v>
      </c>
      <c r="F236" s="739">
        <f t="shared" si="37"/>
        <v>9.1306104687305778E-8</v>
      </c>
      <c r="G236" s="749">
        <f>1/'User Dashboard'!X$12</f>
        <v>0.14285714285714285</v>
      </c>
      <c r="H236" s="385">
        <f t="shared" si="31"/>
        <v>441172.37010829098</v>
      </c>
      <c r="I236" s="751">
        <f t="shared" si="34"/>
        <v>0.50910112447581313</v>
      </c>
      <c r="J236" s="752">
        <f t="shared" si="32"/>
        <v>3235627.1207905831</v>
      </c>
      <c r="K236" s="385">
        <f t="shared" si="35"/>
        <v>3235627.6298917076</v>
      </c>
      <c r="L236" s="752">
        <f t="shared" si="36"/>
        <v>2.2851475048810244E-2</v>
      </c>
    </row>
    <row r="237" spans="1:12" x14ac:dyDescent="0.75">
      <c r="A237" s="309" t="str">
        <f t="shared" si="33"/>
        <v/>
      </c>
      <c r="B237" s="310">
        <v>230</v>
      </c>
      <c r="C237" s="746">
        <f>IF('User Dashboard'!Z$12=5,
IF('SIR Model Patient Calcs'!B237&lt;'User Dashboard'!AJ$15,'User Dashboard'!AN$14,
IF('SIR Model Patient Calcs'!B237&lt;'User Dashboard'!AJ$16,'User Dashboard'!AN$15,
IF('SIR Model Patient Calcs'!B237&lt;'User Dashboard'!AJ$17,'User Dashboard'!AN$16,
IF('SIR Model Patient Calcs'!B237&lt;'User Dashboard'!AJ$18,'User Dashboard'!AN$17,
'User Dashboard'!AN$18)))),
IF('User Dashboard'!Z$12=4,
IF('SIR Model Patient Calcs'!B237&lt;'User Dashboard'!AJ$15,'User Dashboard'!AN$14,
IF('SIR Model Patient Calcs'!B237&lt;'User Dashboard'!AJ$16,'User Dashboard'!AN$15,
IF('SIR Model Patient Calcs'!B237&lt;'User Dashboard'!AJ$17,'User Dashboard'!AN$16,
'User Dashboard'!AN$17))),
IF('User Dashboard'!Z$12=3,
IF('SIR Model Patient Calcs'!B237&lt;'User Dashboard'!AJ$15,'User Dashboard'!AN$14,
IF('SIR Model Patient Calcs'!B237&lt;'User Dashboard'!AJ$16,'User Dashboard'!AN$15,
'User Dashboard'!AN$16)),
IF('User Dashboard'!Z$12=2,
IF('SIR Model Patient Calcs'!B237&lt;'User Dashboard'!AJ$15,'User Dashboard'!AN$14,
'User Dashboard'!AN$15),
IF('User Dashboard'!Z$12=1,
'User Dashboard'!AN$14)))))</f>
        <v>15.209356603107825</v>
      </c>
      <c r="D237" s="747">
        <f>'User Dashboard'!X$15</f>
        <v>2.2072878851804097E-2</v>
      </c>
      <c r="E237" s="739">
        <f t="shared" si="30"/>
        <v>9.1306104687305764E-8</v>
      </c>
      <c r="F237" s="739">
        <f t="shared" si="37"/>
        <v>9.1306104687305778E-8</v>
      </c>
      <c r="G237" s="749">
        <f>1/'User Dashboard'!X$12</f>
        <v>0.14285714285714285</v>
      </c>
      <c r="H237" s="385">
        <f t="shared" si="31"/>
        <v>441172.34960081661</v>
      </c>
      <c r="I237" s="751">
        <f t="shared" si="34"/>
        <v>0.45687986675735215</v>
      </c>
      <c r="J237" s="752">
        <f t="shared" si="32"/>
        <v>3235627.1935193152</v>
      </c>
      <c r="K237" s="385">
        <f t="shared" si="35"/>
        <v>3235627.650399182</v>
      </c>
      <c r="L237" s="752">
        <f t="shared" si="36"/>
        <v>2.0507474429905415E-2</v>
      </c>
    </row>
    <row r="238" spans="1:12" x14ac:dyDescent="0.75">
      <c r="A238" s="309" t="str">
        <f t="shared" si="33"/>
        <v/>
      </c>
      <c r="B238" s="310">
        <v>231</v>
      </c>
      <c r="C238" s="746">
        <f>IF('User Dashboard'!Z$12=5,
IF('SIR Model Patient Calcs'!B238&lt;'User Dashboard'!AJ$15,'User Dashboard'!AN$14,
IF('SIR Model Patient Calcs'!B238&lt;'User Dashboard'!AJ$16,'User Dashboard'!AN$15,
IF('SIR Model Patient Calcs'!B238&lt;'User Dashboard'!AJ$17,'User Dashboard'!AN$16,
IF('SIR Model Patient Calcs'!B238&lt;'User Dashboard'!AJ$18,'User Dashboard'!AN$17,
'User Dashboard'!AN$18)))),
IF('User Dashboard'!Z$12=4,
IF('SIR Model Patient Calcs'!B238&lt;'User Dashboard'!AJ$15,'User Dashboard'!AN$14,
IF('SIR Model Patient Calcs'!B238&lt;'User Dashboard'!AJ$16,'User Dashboard'!AN$15,
IF('SIR Model Patient Calcs'!B238&lt;'User Dashboard'!AJ$17,'User Dashboard'!AN$16,
'User Dashboard'!AN$17))),
IF('User Dashboard'!Z$12=3,
IF('SIR Model Patient Calcs'!B238&lt;'User Dashboard'!AJ$15,'User Dashboard'!AN$14,
IF('SIR Model Patient Calcs'!B238&lt;'User Dashboard'!AJ$16,'User Dashboard'!AN$15,
'User Dashboard'!AN$16)),
IF('User Dashboard'!Z$12=2,
IF('SIR Model Patient Calcs'!B238&lt;'User Dashboard'!AJ$15,'User Dashboard'!AN$14,
'User Dashboard'!AN$15),
IF('User Dashboard'!Z$12=1,
'User Dashboard'!AN$14)))))</f>
        <v>15.209356603107825</v>
      </c>
      <c r="D238" s="747">
        <f>'User Dashboard'!X$15</f>
        <v>2.2072878851804097E-2</v>
      </c>
      <c r="E238" s="739">
        <f t="shared" si="30"/>
        <v>9.1306104687305764E-8</v>
      </c>
      <c r="F238" s="739">
        <f t="shared" si="37"/>
        <v>9.1306104687305778E-8</v>
      </c>
      <c r="G238" s="749">
        <f>1/'User Dashboard'!X$12</f>
        <v>0.14285714285714285</v>
      </c>
      <c r="H238" s="385">
        <f t="shared" si="31"/>
        <v>441172.33119690575</v>
      </c>
      <c r="I238" s="751">
        <f t="shared" si="34"/>
        <v>0.41001522522192513</v>
      </c>
      <c r="J238" s="752">
        <f t="shared" si="32"/>
        <v>3235627.2587878676</v>
      </c>
      <c r="K238" s="385">
        <f t="shared" si="35"/>
        <v>3235627.668803093</v>
      </c>
      <c r="L238" s="752">
        <f t="shared" si="36"/>
        <v>1.8403911031782627E-2</v>
      </c>
    </row>
    <row r="239" spans="1:12" x14ac:dyDescent="0.75">
      <c r="A239" s="309" t="str">
        <f t="shared" si="33"/>
        <v/>
      </c>
      <c r="B239" s="310">
        <v>232</v>
      </c>
      <c r="C239" s="746">
        <f>IF('User Dashboard'!Z$12=5,
IF('SIR Model Patient Calcs'!B239&lt;'User Dashboard'!AJ$15,'User Dashboard'!AN$14,
IF('SIR Model Patient Calcs'!B239&lt;'User Dashboard'!AJ$16,'User Dashboard'!AN$15,
IF('SIR Model Patient Calcs'!B239&lt;'User Dashboard'!AJ$17,'User Dashboard'!AN$16,
IF('SIR Model Patient Calcs'!B239&lt;'User Dashboard'!AJ$18,'User Dashboard'!AN$17,
'User Dashboard'!AN$18)))),
IF('User Dashboard'!Z$12=4,
IF('SIR Model Patient Calcs'!B239&lt;'User Dashboard'!AJ$15,'User Dashboard'!AN$14,
IF('SIR Model Patient Calcs'!B239&lt;'User Dashboard'!AJ$16,'User Dashboard'!AN$15,
IF('SIR Model Patient Calcs'!B239&lt;'User Dashboard'!AJ$17,'User Dashboard'!AN$16,
'User Dashboard'!AN$17))),
IF('User Dashboard'!Z$12=3,
IF('SIR Model Patient Calcs'!B239&lt;'User Dashboard'!AJ$15,'User Dashboard'!AN$14,
IF('SIR Model Patient Calcs'!B239&lt;'User Dashboard'!AJ$16,'User Dashboard'!AN$15,
'User Dashboard'!AN$16)),
IF('User Dashboard'!Z$12=2,
IF('SIR Model Patient Calcs'!B239&lt;'User Dashboard'!AJ$15,'User Dashboard'!AN$14,
'User Dashboard'!AN$15),
IF('User Dashboard'!Z$12=1,
'User Dashboard'!AN$14)))))</f>
        <v>15.209356603107825</v>
      </c>
      <c r="D239" s="747">
        <f>'User Dashboard'!X$15</f>
        <v>2.2072878851804097E-2</v>
      </c>
      <c r="E239" s="739">
        <f t="shared" si="30"/>
        <v>9.1306104687305764E-8</v>
      </c>
      <c r="F239" s="739">
        <f t="shared" si="37"/>
        <v>9.1306104687305778E-8</v>
      </c>
      <c r="G239" s="749">
        <f>1/'User Dashboard'!X$12</f>
        <v>0.14285714285714285</v>
      </c>
      <c r="H239" s="385">
        <f t="shared" si="31"/>
        <v>441172.31468078436</v>
      </c>
      <c r="I239" s="751">
        <f t="shared" si="34"/>
        <v>0.367957743010564</v>
      </c>
      <c r="J239" s="752">
        <f t="shared" si="32"/>
        <v>3235627.3173614712</v>
      </c>
      <c r="K239" s="385">
        <f t="shared" si="35"/>
        <v>3235627.6853192141</v>
      </c>
      <c r="L239" s="752">
        <f t="shared" si="36"/>
        <v>1.6516121104359627E-2</v>
      </c>
    </row>
    <row r="240" spans="1:12" x14ac:dyDescent="0.75">
      <c r="A240" s="309" t="str">
        <f t="shared" si="33"/>
        <v/>
      </c>
      <c r="B240" s="310">
        <v>233</v>
      </c>
      <c r="C240" s="746">
        <f>IF('User Dashboard'!Z$12=5,
IF('SIR Model Patient Calcs'!B240&lt;'User Dashboard'!AJ$15,'User Dashboard'!AN$14,
IF('SIR Model Patient Calcs'!B240&lt;'User Dashboard'!AJ$16,'User Dashboard'!AN$15,
IF('SIR Model Patient Calcs'!B240&lt;'User Dashboard'!AJ$17,'User Dashboard'!AN$16,
IF('SIR Model Patient Calcs'!B240&lt;'User Dashboard'!AJ$18,'User Dashboard'!AN$17,
'User Dashboard'!AN$18)))),
IF('User Dashboard'!Z$12=4,
IF('SIR Model Patient Calcs'!B240&lt;'User Dashboard'!AJ$15,'User Dashboard'!AN$14,
IF('SIR Model Patient Calcs'!B240&lt;'User Dashboard'!AJ$16,'User Dashboard'!AN$15,
IF('SIR Model Patient Calcs'!B240&lt;'User Dashboard'!AJ$17,'User Dashboard'!AN$16,
'User Dashboard'!AN$17))),
IF('User Dashboard'!Z$12=3,
IF('SIR Model Patient Calcs'!B240&lt;'User Dashboard'!AJ$15,'User Dashboard'!AN$14,
IF('SIR Model Patient Calcs'!B240&lt;'User Dashboard'!AJ$16,'User Dashboard'!AN$15,
'User Dashboard'!AN$16)),
IF('User Dashboard'!Z$12=2,
IF('SIR Model Patient Calcs'!B240&lt;'User Dashboard'!AJ$15,'User Dashboard'!AN$14,
'User Dashboard'!AN$15),
IF('User Dashboard'!Z$12=1,
'User Dashboard'!AN$14)))))</f>
        <v>15.209356603107825</v>
      </c>
      <c r="D240" s="747">
        <f>'User Dashboard'!X$15</f>
        <v>2.2072878851804097E-2</v>
      </c>
      <c r="E240" s="739">
        <f t="shared" si="30"/>
        <v>9.1306104687305764E-8</v>
      </c>
      <c r="F240" s="739">
        <f t="shared" si="37"/>
        <v>9.1306104687305778E-8</v>
      </c>
      <c r="G240" s="749">
        <f>1/'User Dashboard'!X$12</f>
        <v>0.14285714285714285</v>
      </c>
      <c r="H240" s="385">
        <f t="shared" si="31"/>
        <v>441172.29985881154</v>
      </c>
      <c r="I240" s="751">
        <f t="shared" si="34"/>
        <v>0.33021432396963457</v>
      </c>
      <c r="J240" s="752">
        <f t="shared" si="32"/>
        <v>3235627.3699268629</v>
      </c>
      <c r="K240" s="385">
        <f t="shared" si="35"/>
        <v>3235627.7001411868</v>
      </c>
      <c r="L240" s="752">
        <f t="shared" si="36"/>
        <v>1.4821972697973251E-2</v>
      </c>
    </row>
    <row r="241" spans="1:12" x14ac:dyDescent="0.75">
      <c r="A241" s="309" t="str">
        <f t="shared" si="33"/>
        <v/>
      </c>
      <c r="B241" s="310">
        <v>234</v>
      </c>
      <c r="C241" s="746">
        <f>IF('User Dashboard'!Z$12=5,
IF('SIR Model Patient Calcs'!B241&lt;'User Dashboard'!AJ$15,'User Dashboard'!AN$14,
IF('SIR Model Patient Calcs'!B241&lt;'User Dashboard'!AJ$16,'User Dashboard'!AN$15,
IF('SIR Model Patient Calcs'!B241&lt;'User Dashboard'!AJ$17,'User Dashboard'!AN$16,
IF('SIR Model Patient Calcs'!B241&lt;'User Dashboard'!AJ$18,'User Dashboard'!AN$17,
'User Dashboard'!AN$18)))),
IF('User Dashboard'!Z$12=4,
IF('SIR Model Patient Calcs'!B241&lt;'User Dashboard'!AJ$15,'User Dashboard'!AN$14,
IF('SIR Model Patient Calcs'!B241&lt;'User Dashboard'!AJ$16,'User Dashboard'!AN$15,
IF('SIR Model Patient Calcs'!B241&lt;'User Dashboard'!AJ$17,'User Dashboard'!AN$16,
'User Dashboard'!AN$17))),
IF('User Dashboard'!Z$12=3,
IF('SIR Model Patient Calcs'!B241&lt;'User Dashboard'!AJ$15,'User Dashboard'!AN$14,
IF('SIR Model Patient Calcs'!B241&lt;'User Dashboard'!AJ$16,'User Dashboard'!AN$15,
'User Dashboard'!AN$16)),
IF('User Dashboard'!Z$12=2,
IF('SIR Model Patient Calcs'!B241&lt;'User Dashboard'!AJ$15,'User Dashboard'!AN$14,
'User Dashboard'!AN$15),
IF('User Dashboard'!Z$12=1,
'User Dashboard'!AN$14)))))</f>
        <v>15.209356603107825</v>
      </c>
      <c r="D241" s="747">
        <f>'User Dashboard'!X$15</f>
        <v>2.2072878851804097E-2</v>
      </c>
      <c r="E241" s="739">
        <f t="shared" si="30"/>
        <v>9.1306104687305764E-8</v>
      </c>
      <c r="F241" s="739">
        <f t="shared" si="37"/>
        <v>9.1306104687305778E-8</v>
      </c>
      <c r="G241" s="749">
        <f>1/'User Dashboard'!X$12</f>
        <v>0.14285714285714285</v>
      </c>
      <c r="H241" s="385">
        <f t="shared" si="31"/>
        <v>441172.28655720921</v>
      </c>
      <c r="I241" s="751">
        <f t="shared" si="34"/>
        <v>0.29634245144055893</v>
      </c>
      <c r="J241" s="752">
        <f t="shared" si="32"/>
        <v>3235627.4171003378</v>
      </c>
      <c r="K241" s="385">
        <f t="shared" si="35"/>
        <v>3235627.7134427894</v>
      </c>
      <c r="L241" s="752">
        <f t="shared" si="36"/>
        <v>1.3301602564752102E-2</v>
      </c>
    </row>
    <row r="242" spans="1:12" x14ac:dyDescent="0.75">
      <c r="A242" s="309" t="str">
        <f t="shared" si="33"/>
        <v/>
      </c>
      <c r="B242" s="310">
        <v>235</v>
      </c>
      <c r="C242" s="746">
        <f>IF('User Dashboard'!Z$12=5,
IF('SIR Model Patient Calcs'!B242&lt;'User Dashboard'!AJ$15,'User Dashboard'!AN$14,
IF('SIR Model Patient Calcs'!B242&lt;'User Dashboard'!AJ$16,'User Dashboard'!AN$15,
IF('SIR Model Patient Calcs'!B242&lt;'User Dashboard'!AJ$17,'User Dashboard'!AN$16,
IF('SIR Model Patient Calcs'!B242&lt;'User Dashboard'!AJ$18,'User Dashboard'!AN$17,
'User Dashboard'!AN$18)))),
IF('User Dashboard'!Z$12=4,
IF('SIR Model Patient Calcs'!B242&lt;'User Dashboard'!AJ$15,'User Dashboard'!AN$14,
IF('SIR Model Patient Calcs'!B242&lt;'User Dashboard'!AJ$16,'User Dashboard'!AN$15,
IF('SIR Model Patient Calcs'!B242&lt;'User Dashboard'!AJ$17,'User Dashboard'!AN$16,
'User Dashboard'!AN$17))),
IF('User Dashboard'!Z$12=3,
IF('SIR Model Patient Calcs'!B242&lt;'User Dashboard'!AJ$15,'User Dashboard'!AN$14,
IF('SIR Model Patient Calcs'!B242&lt;'User Dashboard'!AJ$16,'User Dashboard'!AN$15,
'User Dashboard'!AN$16)),
IF('User Dashboard'!Z$12=2,
IF('SIR Model Patient Calcs'!B242&lt;'User Dashboard'!AJ$15,'User Dashboard'!AN$14,
'User Dashboard'!AN$15),
IF('User Dashboard'!Z$12=1,
'User Dashboard'!AN$14)))))</f>
        <v>15.209356603107825</v>
      </c>
      <c r="D242" s="747">
        <f>'User Dashboard'!X$15</f>
        <v>2.2072878851804097E-2</v>
      </c>
      <c r="E242" s="739">
        <f t="shared" si="30"/>
        <v>9.1306104687305764E-8</v>
      </c>
      <c r="F242" s="739">
        <f t="shared" si="37"/>
        <v>9.1306104687305778E-8</v>
      </c>
      <c r="G242" s="749">
        <f>1/'User Dashboard'!X$12</f>
        <v>0.14285714285714285</v>
      </c>
      <c r="H242" s="385">
        <f t="shared" si="31"/>
        <v>441172.27462002466</v>
      </c>
      <c r="I242" s="751">
        <f t="shared" si="34"/>
        <v>0.26594500005707539</v>
      </c>
      <c r="J242" s="752">
        <f t="shared" si="32"/>
        <v>3235627.4594349735</v>
      </c>
      <c r="K242" s="385">
        <f t="shared" si="35"/>
        <v>3235627.7253799736</v>
      </c>
      <c r="L242" s="752">
        <f t="shared" si="36"/>
        <v>1.1937184259295464E-2</v>
      </c>
    </row>
    <row r="243" spans="1:12" x14ac:dyDescent="0.75">
      <c r="A243" s="309" t="str">
        <f t="shared" si="33"/>
        <v/>
      </c>
      <c r="B243" s="310">
        <v>236</v>
      </c>
      <c r="C243" s="746">
        <f>IF('User Dashboard'!Z$12=5,
IF('SIR Model Patient Calcs'!B243&lt;'User Dashboard'!AJ$15,'User Dashboard'!AN$14,
IF('SIR Model Patient Calcs'!B243&lt;'User Dashboard'!AJ$16,'User Dashboard'!AN$15,
IF('SIR Model Patient Calcs'!B243&lt;'User Dashboard'!AJ$17,'User Dashboard'!AN$16,
IF('SIR Model Patient Calcs'!B243&lt;'User Dashboard'!AJ$18,'User Dashboard'!AN$17,
'User Dashboard'!AN$18)))),
IF('User Dashboard'!Z$12=4,
IF('SIR Model Patient Calcs'!B243&lt;'User Dashboard'!AJ$15,'User Dashboard'!AN$14,
IF('SIR Model Patient Calcs'!B243&lt;'User Dashboard'!AJ$16,'User Dashboard'!AN$15,
IF('SIR Model Patient Calcs'!B243&lt;'User Dashboard'!AJ$17,'User Dashboard'!AN$16,
'User Dashboard'!AN$17))),
IF('User Dashboard'!Z$12=3,
IF('SIR Model Patient Calcs'!B243&lt;'User Dashboard'!AJ$15,'User Dashboard'!AN$14,
IF('SIR Model Patient Calcs'!B243&lt;'User Dashboard'!AJ$16,'User Dashboard'!AN$15,
'User Dashboard'!AN$16)),
IF('User Dashboard'!Z$12=2,
IF('SIR Model Patient Calcs'!B243&lt;'User Dashboard'!AJ$15,'User Dashboard'!AN$14,
'User Dashboard'!AN$15),
IF('User Dashboard'!Z$12=1,
'User Dashboard'!AN$14)))))</f>
        <v>15.209356603107825</v>
      </c>
      <c r="D243" s="747">
        <f>'User Dashboard'!X$15</f>
        <v>2.2072878851804097E-2</v>
      </c>
      <c r="E243" s="739">
        <f t="shared" si="30"/>
        <v>9.1306104687305764E-8</v>
      </c>
      <c r="F243" s="739">
        <f t="shared" si="37"/>
        <v>9.1306104687305778E-8</v>
      </c>
      <c r="G243" s="749">
        <f>1/'User Dashboard'!X$12</f>
        <v>0.14285714285714285</v>
      </c>
      <c r="H243" s="385">
        <f t="shared" si="31"/>
        <v>441172.26390730211</v>
      </c>
      <c r="I243" s="751">
        <f t="shared" si="34"/>
        <v>0.23866557972253766</v>
      </c>
      <c r="J243" s="752">
        <f t="shared" si="32"/>
        <v>3235627.4974271166</v>
      </c>
      <c r="K243" s="385">
        <f t="shared" si="35"/>
        <v>3235627.7360926964</v>
      </c>
      <c r="L243" s="752">
        <f t="shared" si="36"/>
        <v>1.0712722782045603E-2</v>
      </c>
    </row>
    <row r="244" spans="1:12" x14ac:dyDescent="0.75">
      <c r="A244" s="309" t="str">
        <f t="shared" si="33"/>
        <v/>
      </c>
      <c r="B244" s="310">
        <v>237</v>
      </c>
      <c r="C244" s="746">
        <f>IF('User Dashboard'!Z$12=5,
IF('SIR Model Patient Calcs'!B244&lt;'User Dashboard'!AJ$15,'User Dashboard'!AN$14,
IF('SIR Model Patient Calcs'!B244&lt;'User Dashboard'!AJ$16,'User Dashboard'!AN$15,
IF('SIR Model Patient Calcs'!B244&lt;'User Dashboard'!AJ$17,'User Dashboard'!AN$16,
IF('SIR Model Patient Calcs'!B244&lt;'User Dashboard'!AJ$18,'User Dashboard'!AN$17,
'User Dashboard'!AN$18)))),
IF('User Dashboard'!Z$12=4,
IF('SIR Model Patient Calcs'!B244&lt;'User Dashboard'!AJ$15,'User Dashboard'!AN$14,
IF('SIR Model Patient Calcs'!B244&lt;'User Dashboard'!AJ$16,'User Dashboard'!AN$15,
IF('SIR Model Patient Calcs'!B244&lt;'User Dashboard'!AJ$17,'User Dashboard'!AN$16,
'User Dashboard'!AN$17))),
IF('User Dashboard'!Z$12=3,
IF('SIR Model Patient Calcs'!B244&lt;'User Dashboard'!AJ$15,'User Dashboard'!AN$14,
IF('SIR Model Patient Calcs'!B244&lt;'User Dashboard'!AJ$16,'User Dashboard'!AN$15,
'User Dashboard'!AN$16)),
IF('User Dashboard'!Z$12=2,
IF('SIR Model Patient Calcs'!B244&lt;'User Dashboard'!AJ$15,'User Dashboard'!AN$14,
'User Dashboard'!AN$15),
IF('User Dashboard'!Z$12=1,
'User Dashboard'!AN$14)))))</f>
        <v>15.209356603107825</v>
      </c>
      <c r="D244" s="747">
        <f>'User Dashboard'!X$15</f>
        <v>2.2072878851804097E-2</v>
      </c>
      <c r="E244" s="739">
        <f t="shared" si="30"/>
        <v>9.1306104687305764E-8</v>
      </c>
      <c r="F244" s="739">
        <f t="shared" si="37"/>
        <v>9.1306104687305778E-8</v>
      </c>
      <c r="G244" s="749">
        <f>1/'User Dashboard'!X$12</f>
        <v>0.14285714285714285</v>
      </c>
      <c r="H244" s="385">
        <f t="shared" si="31"/>
        <v>441172.25429344183</v>
      </c>
      <c r="I244" s="751">
        <f t="shared" si="34"/>
        <v>0.2141843571790637</v>
      </c>
      <c r="J244" s="752">
        <f t="shared" si="32"/>
        <v>3235627.5315221995</v>
      </c>
      <c r="K244" s="385">
        <f t="shared" si="35"/>
        <v>3235627.7457065568</v>
      </c>
      <c r="L244" s="752">
        <f t="shared" si="36"/>
        <v>9.6138603985309601E-3</v>
      </c>
    </row>
    <row r="245" spans="1:12" x14ac:dyDescent="0.75">
      <c r="A245" s="309" t="str">
        <f t="shared" si="33"/>
        <v/>
      </c>
      <c r="B245" s="310">
        <v>238</v>
      </c>
      <c r="C245" s="746">
        <f>IF('User Dashboard'!Z$12=5,
IF('SIR Model Patient Calcs'!B245&lt;'User Dashboard'!AJ$15,'User Dashboard'!AN$14,
IF('SIR Model Patient Calcs'!B245&lt;'User Dashboard'!AJ$16,'User Dashboard'!AN$15,
IF('SIR Model Patient Calcs'!B245&lt;'User Dashboard'!AJ$17,'User Dashboard'!AN$16,
IF('SIR Model Patient Calcs'!B245&lt;'User Dashboard'!AJ$18,'User Dashboard'!AN$17,
'User Dashboard'!AN$18)))),
IF('User Dashboard'!Z$12=4,
IF('SIR Model Patient Calcs'!B245&lt;'User Dashboard'!AJ$15,'User Dashboard'!AN$14,
IF('SIR Model Patient Calcs'!B245&lt;'User Dashboard'!AJ$16,'User Dashboard'!AN$15,
IF('SIR Model Patient Calcs'!B245&lt;'User Dashboard'!AJ$17,'User Dashboard'!AN$16,
'User Dashboard'!AN$17))),
IF('User Dashboard'!Z$12=3,
IF('SIR Model Patient Calcs'!B245&lt;'User Dashboard'!AJ$15,'User Dashboard'!AN$14,
IF('SIR Model Patient Calcs'!B245&lt;'User Dashboard'!AJ$16,'User Dashboard'!AN$15,
'User Dashboard'!AN$16)),
IF('User Dashboard'!Z$12=2,
IF('SIR Model Patient Calcs'!B245&lt;'User Dashboard'!AJ$15,'User Dashboard'!AN$14,
'User Dashboard'!AN$15),
IF('User Dashboard'!Z$12=1,
'User Dashboard'!AN$14)))))</f>
        <v>15.209356603107825</v>
      </c>
      <c r="D245" s="747">
        <f>'User Dashboard'!X$15</f>
        <v>2.2072878851804097E-2</v>
      </c>
      <c r="E245" s="739">
        <f t="shared" si="30"/>
        <v>9.1306104687305764E-8</v>
      </c>
      <c r="F245" s="739">
        <f t="shared" si="37"/>
        <v>9.1306104687305778E-8</v>
      </c>
      <c r="G245" s="749">
        <f>1/'User Dashboard'!X$12</f>
        <v>0.14285714285714285</v>
      </c>
      <c r="H245" s="385">
        <f t="shared" si="31"/>
        <v>441172.24566572753</v>
      </c>
      <c r="I245" s="751">
        <f t="shared" si="34"/>
        <v>0.19221430617967195</v>
      </c>
      <c r="J245" s="752">
        <f t="shared" si="32"/>
        <v>3235627.562119965</v>
      </c>
      <c r="K245" s="385">
        <f t="shared" si="35"/>
        <v>3235627.754334271</v>
      </c>
      <c r="L245" s="752">
        <f t="shared" si="36"/>
        <v>8.6277141235768795E-3</v>
      </c>
    </row>
    <row r="246" spans="1:12" x14ac:dyDescent="0.75">
      <c r="A246" s="309" t="str">
        <f t="shared" si="33"/>
        <v/>
      </c>
      <c r="B246" s="310">
        <v>239</v>
      </c>
      <c r="C246" s="746">
        <f>IF('User Dashboard'!Z$12=5,
IF('SIR Model Patient Calcs'!B246&lt;'User Dashboard'!AJ$15,'User Dashboard'!AN$14,
IF('SIR Model Patient Calcs'!B246&lt;'User Dashboard'!AJ$16,'User Dashboard'!AN$15,
IF('SIR Model Patient Calcs'!B246&lt;'User Dashboard'!AJ$17,'User Dashboard'!AN$16,
IF('SIR Model Patient Calcs'!B246&lt;'User Dashboard'!AJ$18,'User Dashboard'!AN$17,
'User Dashboard'!AN$18)))),
IF('User Dashboard'!Z$12=4,
IF('SIR Model Patient Calcs'!B246&lt;'User Dashboard'!AJ$15,'User Dashboard'!AN$14,
IF('SIR Model Patient Calcs'!B246&lt;'User Dashboard'!AJ$16,'User Dashboard'!AN$15,
IF('SIR Model Patient Calcs'!B246&lt;'User Dashboard'!AJ$17,'User Dashboard'!AN$16,
'User Dashboard'!AN$17))),
IF('User Dashboard'!Z$12=3,
IF('SIR Model Patient Calcs'!B246&lt;'User Dashboard'!AJ$15,'User Dashboard'!AN$14,
IF('SIR Model Patient Calcs'!B246&lt;'User Dashboard'!AJ$16,'User Dashboard'!AN$15,
'User Dashboard'!AN$16)),
IF('User Dashboard'!Z$12=2,
IF('SIR Model Patient Calcs'!B246&lt;'User Dashboard'!AJ$15,'User Dashboard'!AN$14,
'User Dashboard'!AN$15),
IF('User Dashboard'!Z$12=1,
'User Dashboard'!AN$14)))))</f>
        <v>15.209356603107825</v>
      </c>
      <c r="D246" s="747">
        <f>'User Dashboard'!X$15</f>
        <v>2.2072878851804097E-2</v>
      </c>
      <c r="E246" s="739">
        <f t="shared" si="30"/>
        <v>9.1306104687305764E-8</v>
      </c>
      <c r="F246" s="739">
        <f t="shared" si="37"/>
        <v>9.1306104687305778E-8</v>
      </c>
      <c r="G246" s="749">
        <f>1/'User Dashboard'!X$12</f>
        <v>0.14285714285714285</v>
      </c>
      <c r="H246" s="385">
        <f t="shared" si="31"/>
        <v>441172.23792300484</v>
      </c>
      <c r="I246" s="751">
        <f t="shared" si="34"/>
        <v>0.17249784229953322</v>
      </c>
      <c r="J246" s="752">
        <f t="shared" si="32"/>
        <v>3235627.5895791515</v>
      </c>
      <c r="K246" s="385">
        <f t="shared" si="35"/>
        <v>3235627.7620769939</v>
      </c>
      <c r="L246" s="752">
        <f t="shared" si="36"/>
        <v>7.7427229844033718E-3</v>
      </c>
    </row>
    <row r="247" spans="1:12" x14ac:dyDescent="0.75">
      <c r="A247" s="309" t="str">
        <f t="shared" si="33"/>
        <v/>
      </c>
      <c r="B247" s="310">
        <v>240</v>
      </c>
      <c r="C247" s="746">
        <f>IF('User Dashboard'!Z$12=5,
IF('SIR Model Patient Calcs'!B247&lt;'User Dashboard'!AJ$15,'User Dashboard'!AN$14,
IF('SIR Model Patient Calcs'!B247&lt;'User Dashboard'!AJ$16,'User Dashboard'!AN$15,
IF('SIR Model Patient Calcs'!B247&lt;'User Dashboard'!AJ$17,'User Dashboard'!AN$16,
IF('SIR Model Patient Calcs'!B247&lt;'User Dashboard'!AJ$18,'User Dashboard'!AN$17,
'User Dashboard'!AN$18)))),
IF('User Dashboard'!Z$12=4,
IF('SIR Model Patient Calcs'!B247&lt;'User Dashboard'!AJ$15,'User Dashboard'!AN$14,
IF('SIR Model Patient Calcs'!B247&lt;'User Dashboard'!AJ$16,'User Dashboard'!AN$15,
IF('SIR Model Patient Calcs'!B247&lt;'User Dashboard'!AJ$17,'User Dashboard'!AN$16,
'User Dashboard'!AN$17))),
IF('User Dashboard'!Z$12=3,
IF('SIR Model Patient Calcs'!B247&lt;'User Dashboard'!AJ$15,'User Dashboard'!AN$14,
IF('SIR Model Patient Calcs'!B247&lt;'User Dashboard'!AJ$16,'User Dashboard'!AN$15,
'User Dashboard'!AN$16)),
IF('User Dashboard'!Z$12=2,
IF('SIR Model Patient Calcs'!B247&lt;'User Dashboard'!AJ$15,'User Dashboard'!AN$14,
'User Dashboard'!AN$15),
IF('User Dashboard'!Z$12=1,
'User Dashboard'!AN$14)))))</f>
        <v>15.209356603107825</v>
      </c>
      <c r="D247" s="747">
        <f>'User Dashboard'!X$15</f>
        <v>2.2072878851804097E-2</v>
      </c>
      <c r="E247" s="739">
        <f t="shared" si="30"/>
        <v>9.1306104687305764E-8</v>
      </c>
      <c r="F247" s="739">
        <f t="shared" si="37"/>
        <v>9.1306104687305778E-8</v>
      </c>
      <c r="G247" s="749">
        <f>1/'User Dashboard'!X$12</f>
        <v>0.14285714285714285</v>
      </c>
      <c r="H247" s="385">
        <f t="shared" si="31"/>
        <v>441172.23097449529</v>
      </c>
      <c r="I247" s="751">
        <f t="shared" si="34"/>
        <v>0.15480380293202758</v>
      </c>
      <c r="J247" s="752">
        <f t="shared" si="32"/>
        <v>3235627.6142217005</v>
      </c>
      <c r="K247" s="385">
        <f t="shared" si="35"/>
        <v>3235627.7690255032</v>
      </c>
      <c r="L247" s="752">
        <f t="shared" si="36"/>
        <v>6.9485092535614967E-3</v>
      </c>
    </row>
    <row r="248" spans="1:12" x14ac:dyDescent="0.75">
      <c r="A248" s="309" t="str">
        <f t="shared" si="33"/>
        <v/>
      </c>
      <c r="B248" s="310">
        <v>241</v>
      </c>
      <c r="C248" s="746">
        <f>IF('User Dashboard'!Z$12=5,
IF('SIR Model Patient Calcs'!B248&lt;'User Dashboard'!AJ$15,'User Dashboard'!AN$14,
IF('SIR Model Patient Calcs'!B248&lt;'User Dashboard'!AJ$16,'User Dashboard'!AN$15,
IF('SIR Model Patient Calcs'!B248&lt;'User Dashboard'!AJ$17,'User Dashboard'!AN$16,
IF('SIR Model Patient Calcs'!B248&lt;'User Dashboard'!AJ$18,'User Dashboard'!AN$17,
'User Dashboard'!AN$18)))),
IF('User Dashboard'!Z$12=4,
IF('SIR Model Patient Calcs'!B248&lt;'User Dashboard'!AJ$15,'User Dashboard'!AN$14,
IF('SIR Model Patient Calcs'!B248&lt;'User Dashboard'!AJ$16,'User Dashboard'!AN$15,
IF('SIR Model Patient Calcs'!B248&lt;'User Dashboard'!AJ$17,'User Dashboard'!AN$16,
'User Dashboard'!AN$17))),
IF('User Dashboard'!Z$12=3,
IF('SIR Model Patient Calcs'!B248&lt;'User Dashboard'!AJ$15,'User Dashboard'!AN$14,
IF('SIR Model Patient Calcs'!B248&lt;'User Dashboard'!AJ$16,'User Dashboard'!AN$15,
'User Dashboard'!AN$16)),
IF('User Dashboard'!Z$12=2,
IF('SIR Model Patient Calcs'!B248&lt;'User Dashboard'!AJ$15,'User Dashboard'!AN$14,
'User Dashboard'!AN$15),
IF('User Dashboard'!Z$12=1,
'User Dashboard'!AN$14)))))</f>
        <v>15.209356603107825</v>
      </c>
      <c r="D248" s="747">
        <f>'User Dashboard'!X$15</f>
        <v>2.2072878851804097E-2</v>
      </c>
      <c r="E248" s="739">
        <f t="shared" si="30"/>
        <v>9.1306104687305751E-8</v>
      </c>
      <c r="F248" s="739">
        <f t="shared" si="37"/>
        <v>9.1306104687305764E-8</v>
      </c>
      <c r="G248" s="749">
        <f>1/'User Dashboard'!X$12</f>
        <v>0.14285714285714285</v>
      </c>
      <c r="H248" s="385">
        <f t="shared" si="31"/>
        <v>441172.22473873215</v>
      </c>
      <c r="I248" s="751">
        <f t="shared" si="34"/>
        <v>0.13892473706229766</v>
      </c>
      <c r="J248" s="752">
        <f t="shared" si="32"/>
        <v>3235627.6363365296</v>
      </c>
      <c r="K248" s="385">
        <f t="shared" si="35"/>
        <v>3235627.7752612666</v>
      </c>
      <c r="L248" s="752">
        <f t="shared" si="36"/>
        <v>6.2357634305953979E-3</v>
      </c>
    </row>
    <row r="249" spans="1:12" x14ac:dyDescent="0.75">
      <c r="A249" s="309" t="str">
        <f t="shared" si="33"/>
        <v/>
      </c>
      <c r="B249" s="310">
        <v>242</v>
      </c>
      <c r="C249" s="746">
        <f>IF('User Dashboard'!Z$12=5,
IF('SIR Model Patient Calcs'!B249&lt;'User Dashboard'!AJ$15,'User Dashboard'!AN$14,
IF('SIR Model Patient Calcs'!B249&lt;'User Dashboard'!AJ$16,'User Dashboard'!AN$15,
IF('SIR Model Patient Calcs'!B249&lt;'User Dashboard'!AJ$17,'User Dashboard'!AN$16,
IF('SIR Model Patient Calcs'!B249&lt;'User Dashboard'!AJ$18,'User Dashboard'!AN$17,
'User Dashboard'!AN$18)))),
IF('User Dashboard'!Z$12=4,
IF('SIR Model Patient Calcs'!B249&lt;'User Dashboard'!AJ$15,'User Dashboard'!AN$14,
IF('SIR Model Patient Calcs'!B249&lt;'User Dashboard'!AJ$16,'User Dashboard'!AN$15,
IF('SIR Model Patient Calcs'!B249&lt;'User Dashboard'!AJ$17,'User Dashboard'!AN$16,
'User Dashboard'!AN$17))),
IF('User Dashboard'!Z$12=3,
IF('SIR Model Patient Calcs'!B249&lt;'User Dashboard'!AJ$15,'User Dashboard'!AN$14,
IF('SIR Model Patient Calcs'!B249&lt;'User Dashboard'!AJ$16,'User Dashboard'!AN$15,
'User Dashboard'!AN$16)),
IF('User Dashboard'!Z$12=2,
IF('SIR Model Patient Calcs'!B249&lt;'User Dashboard'!AJ$15,'User Dashboard'!AN$14,
'User Dashboard'!AN$15),
IF('User Dashboard'!Z$12=1,
'User Dashboard'!AN$14)))))</f>
        <v>15.209356603107825</v>
      </c>
      <c r="D249" s="747">
        <f>'User Dashboard'!X$15</f>
        <v>2.2072878851804097E-2</v>
      </c>
      <c r="E249" s="739">
        <f t="shared" si="30"/>
        <v>9.1306104687305764E-8</v>
      </c>
      <c r="F249" s="739">
        <f t="shared" si="37"/>
        <v>9.1306104687305751E-8</v>
      </c>
      <c r="G249" s="749">
        <f>1/'User Dashboard'!X$12</f>
        <v>0.14285714285714285</v>
      </c>
      <c r="H249" s="385">
        <f t="shared" si="31"/>
        <v>441172.21914260514</v>
      </c>
      <c r="I249" s="751">
        <f t="shared" si="34"/>
        <v>0.12467447304287606</v>
      </c>
      <c r="J249" s="752">
        <f t="shared" si="32"/>
        <v>3235627.6561829206</v>
      </c>
      <c r="K249" s="385">
        <f t="shared" si="35"/>
        <v>3235627.7808573935</v>
      </c>
      <c r="L249" s="752">
        <f t="shared" si="36"/>
        <v>5.5961268953979015E-3</v>
      </c>
    </row>
    <row r="250" spans="1:12" x14ac:dyDescent="0.75">
      <c r="A250" s="309" t="str">
        <f t="shared" si="33"/>
        <v/>
      </c>
      <c r="B250" s="310">
        <v>243</v>
      </c>
      <c r="C250" s="746">
        <f>IF('User Dashboard'!Z$12=5,
IF('SIR Model Patient Calcs'!B250&lt;'User Dashboard'!AJ$15,'User Dashboard'!AN$14,
IF('SIR Model Patient Calcs'!B250&lt;'User Dashboard'!AJ$16,'User Dashboard'!AN$15,
IF('SIR Model Patient Calcs'!B250&lt;'User Dashboard'!AJ$17,'User Dashboard'!AN$16,
IF('SIR Model Patient Calcs'!B250&lt;'User Dashboard'!AJ$18,'User Dashboard'!AN$17,
'User Dashboard'!AN$18)))),
IF('User Dashboard'!Z$12=4,
IF('SIR Model Patient Calcs'!B250&lt;'User Dashboard'!AJ$15,'User Dashboard'!AN$14,
IF('SIR Model Patient Calcs'!B250&lt;'User Dashboard'!AJ$16,'User Dashboard'!AN$15,
IF('SIR Model Patient Calcs'!B250&lt;'User Dashboard'!AJ$17,'User Dashboard'!AN$16,
'User Dashboard'!AN$17))),
IF('User Dashboard'!Z$12=3,
IF('SIR Model Patient Calcs'!B250&lt;'User Dashboard'!AJ$15,'User Dashboard'!AN$14,
IF('SIR Model Patient Calcs'!B250&lt;'User Dashboard'!AJ$16,'User Dashboard'!AN$15,
'User Dashboard'!AN$16)),
IF('User Dashboard'!Z$12=2,
IF('SIR Model Patient Calcs'!B250&lt;'User Dashboard'!AJ$15,'User Dashboard'!AN$14,
'User Dashboard'!AN$15),
IF('User Dashboard'!Z$12=1,
'User Dashboard'!AN$14)))))</f>
        <v>15.209356603107825</v>
      </c>
      <c r="D250" s="747">
        <f>'User Dashboard'!X$15</f>
        <v>2.2072878851804097E-2</v>
      </c>
      <c r="E250" s="739">
        <f t="shared" si="30"/>
        <v>9.1306104687305764E-8</v>
      </c>
      <c r="F250" s="739">
        <f t="shared" si="37"/>
        <v>9.1306104687305751E-8</v>
      </c>
      <c r="G250" s="749">
        <f>1/'User Dashboard'!X$12</f>
        <v>0.14285714285714285</v>
      </c>
      <c r="H250" s="385">
        <f t="shared" si="31"/>
        <v>441172.21412050334</v>
      </c>
      <c r="I250" s="751">
        <f t="shared" si="34"/>
        <v>0.11188593585531548</v>
      </c>
      <c r="J250" s="752">
        <f t="shared" si="32"/>
        <v>3235627.6739935596</v>
      </c>
      <c r="K250" s="385">
        <f t="shared" si="35"/>
        <v>3235627.7858794956</v>
      </c>
      <c r="L250" s="752">
        <f t="shared" si="36"/>
        <v>5.0221020355820656E-3</v>
      </c>
    </row>
    <row r="251" spans="1:12" x14ac:dyDescent="0.75">
      <c r="A251" s="309" t="str">
        <f t="shared" si="33"/>
        <v/>
      </c>
      <c r="B251" s="310">
        <v>244</v>
      </c>
      <c r="C251" s="746">
        <f>IF('User Dashboard'!Z$12=5,
IF('SIR Model Patient Calcs'!B251&lt;'User Dashboard'!AJ$15,'User Dashboard'!AN$14,
IF('SIR Model Patient Calcs'!B251&lt;'User Dashboard'!AJ$16,'User Dashboard'!AN$15,
IF('SIR Model Patient Calcs'!B251&lt;'User Dashboard'!AJ$17,'User Dashboard'!AN$16,
IF('SIR Model Patient Calcs'!B251&lt;'User Dashboard'!AJ$18,'User Dashboard'!AN$17,
'User Dashboard'!AN$18)))),
IF('User Dashboard'!Z$12=4,
IF('SIR Model Patient Calcs'!B251&lt;'User Dashboard'!AJ$15,'User Dashboard'!AN$14,
IF('SIR Model Patient Calcs'!B251&lt;'User Dashboard'!AJ$16,'User Dashboard'!AN$15,
IF('SIR Model Patient Calcs'!B251&lt;'User Dashboard'!AJ$17,'User Dashboard'!AN$16,
'User Dashboard'!AN$17))),
IF('User Dashboard'!Z$12=3,
IF('SIR Model Patient Calcs'!B251&lt;'User Dashboard'!AJ$15,'User Dashboard'!AN$14,
IF('SIR Model Patient Calcs'!B251&lt;'User Dashboard'!AJ$16,'User Dashboard'!AN$15,
'User Dashboard'!AN$16)),
IF('User Dashboard'!Z$12=2,
IF('SIR Model Patient Calcs'!B251&lt;'User Dashboard'!AJ$15,'User Dashboard'!AN$14,
'User Dashboard'!AN$15),
IF('User Dashboard'!Z$12=1,
'User Dashboard'!AN$14)))))</f>
        <v>15.209356603107825</v>
      </c>
      <c r="D251" s="747">
        <f>'User Dashboard'!X$15</f>
        <v>2.2072878851804097E-2</v>
      </c>
      <c r="E251" s="739">
        <f t="shared" si="30"/>
        <v>9.1306104687305764E-8</v>
      </c>
      <c r="F251" s="739">
        <f t="shared" si="37"/>
        <v>9.1306104687305778E-8</v>
      </c>
      <c r="G251" s="749">
        <f>1/'User Dashboard'!X$12</f>
        <v>0.14285714285714285</v>
      </c>
      <c r="H251" s="385">
        <f t="shared" si="31"/>
        <v>441172.2096135458</v>
      </c>
      <c r="I251" s="751">
        <f t="shared" si="34"/>
        <v>0.10040918826677678</v>
      </c>
      <c r="J251" s="752">
        <f t="shared" si="32"/>
        <v>3235627.6899772645</v>
      </c>
      <c r="K251" s="385">
        <f t="shared" si="35"/>
        <v>3235627.7903864528</v>
      </c>
      <c r="L251" s="752">
        <f t="shared" si="36"/>
        <v>4.5069572515785694E-3</v>
      </c>
    </row>
    <row r="252" spans="1:12" x14ac:dyDescent="0.75">
      <c r="A252" s="309" t="str">
        <f t="shared" si="33"/>
        <v/>
      </c>
      <c r="B252" s="310">
        <v>245</v>
      </c>
      <c r="C252" s="746">
        <f>IF('User Dashboard'!Z$12=5,
IF('SIR Model Patient Calcs'!B252&lt;'User Dashboard'!AJ$15,'User Dashboard'!AN$14,
IF('SIR Model Patient Calcs'!B252&lt;'User Dashboard'!AJ$16,'User Dashboard'!AN$15,
IF('SIR Model Patient Calcs'!B252&lt;'User Dashboard'!AJ$17,'User Dashboard'!AN$16,
IF('SIR Model Patient Calcs'!B252&lt;'User Dashboard'!AJ$18,'User Dashboard'!AN$17,
'User Dashboard'!AN$18)))),
IF('User Dashboard'!Z$12=4,
IF('SIR Model Patient Calcs'!B252&lt;'User Dashboard'!AJ$15,'User Dashboard'!AN$14,
IF('SIR Model Patient Calcs'!B252&lt;'User Dashboard'!AJ$16,'User Dashboard'!AN$15,
IF('SIR Model Patient Calcs'!B252&lt;'User Dashboard'!AJ$17,'User Dashboard'!AN$16,
'User Dashboard'!AN$17))),
IF('User Dashboard'!Z$12=3,
IF('SIR Model Patient Calcs'!B252&lt;'User Dashboard'!AJ$15,'User Dashboard'!AN$14,
IF('SIR Model Patient Calcs'!B252&lt;'User Dashboard'!AJ$16,'User Dashboard'!AN$15,
'User Dashboard'!AN$16)),
IF('User Dashboard'!Z$12=2,
IF('SIR Model Patient Calcs'!B252&lt;'User Dashboard'!AJ$15,'User Dashboard'!AN$14,
'User Dashboard'!AN$15),
IF('User Dashboard'!Z$12=1,
'User Dashboard'!AN$14)))))</f>
        <v>15.209356603107825</v>
      </c>
      <c r="D252" s="747">
        <f>'User Dashboard'!X$15</f>
        <v>2.2072878851804097E-2</v>
      </c>
      <c r="E252" s="739">
        <f t="shared" si="30"/>
        <v>9.1306104687305764E-8</v>
      </c>
      <c r="F252" s="739">
        <f t="shared" si="37"/>
        <v>9.1306104687305778E-8</v>
      </c>
      <c r="G252" s="749">
        <f>1/'User Dashboard'!X$12</f>
        <v>0.14285714285714285</v>
      </c>
      <c r="H252" s="385">
        <f t="shared" si="31"/>
        <v>441172.20556889137</v>
      </c>
      <c r="I252" s="751">
        <f t="shared" si="34"/>
        <v>9.0109672915525407E-2</v>
      </c>
      <c r="J252" s="752">
        <f t="shared" si="32"/>
        <v>3235627.7043214343</v>
      </c>
      <c r="K252" s="385">
        <f t="shared" si="35"/>
        <v>3235627.7944311071</v>
      </c>
      <c r="L252" s="752">
        <f t="shared" si="36"/>
        <v>4.0446543134748936E-3</v>
      </c>
    </row>
    <row r="253" spans="1:12" x14ac:dyDescent="0.75">
      <c r="A253" s="309" t="str">
        <f t="shared" si="33"/>
        <v/>
      </c>
      <c r="B253" s="310">
        <v>246</v>
      </c>
      <c r="C253" s="746">
        <f>IF('User Dashboard'!Z$12=5,
IF('SIR Model Patient Calcs'!B253&lt;'User Dashboard'!AJ$15,'User Dashboard'!AN$14,
IF('SIR Model Patient Calcs'!B253&lt;'User Dashboard'!AJ$16,'User Dashboard'!AN$15,
IF('SIR Model Patient Calcs'!B253&lt;'User Dashboard'!AJ$17,'User Dashboard'!AN$16,
IF('SIR Model Patient Calcs'!B253&lt;'User Dashboard'!AJ$18,'User Dashboard'!AN$17,
'User Dashboard'!AN$18)))),
IF('User Dashboard'!Z$12=4,
IF('SIR Model Patient Calcs'!B253&lt;'User Dashboard'!AJ$15,'User Dashboard'!AN$14,
IF('SIR Model Patient Calcs'!B253&lt;'User Dashboard'!AJ$16,'User Dashboard'!AN$15,
IF('SIR Model Patient Calcs'!B253&lt;'User Dashboard'!AJ$17,'User Dashboard'!AN$16,
'User Dashboard'!AN$17))),
IF('User Dashboard'!Z$12=3,
IF('SIR Model Patient Calcs'!B253&lt;'User Dashboard'!AJ$15,'User Dashboard'!AN$14,
IF('SIR Model Patient Calcs'!B253&lt;'User Dashboard'!AJ$16,'User Dashboard'!AN$15,
'User Dashboard'!AN$16)),
IF('User Dashboard'!Z$12=2,
IF('SIR Model Patient Calcs'!B253&lt;'User Dashboard'!AJ$15,'User Dashboard'!AN$14,
'User Dashboard'!AN$15),
IF('User Dashboard'!Z$12=1,
'User Dashboard'!AN$14)))))</f>
        <v>15.209356603107825</v>
      </c>
      <c r="D253" s="747">
        <f>'User Dashboard'!X$15</f>
        <v>2.2072878851804097E-2</v>
      </c>
      <c r="E253" s="739">
        <f t="shared" si="30"/>
        <v>9.1306104687305764E-8</v>
      </c>
      <c r="F253" s="739">
        <f t="shared" si="37"/>
        <v>9.1306104687305778E-8</v>
      </c>
      <c r="G253" s="749">
        <f>1/'User Dashboard'!X$12</f>
        <v>0.14285714285714285</v>
      </c>
      <c r="H253" s="385">
        <f t="shared" si="31"/>
        <v>441172.20193911914</v>
      </c>
      <c r="I253" s="751">
        <f t="shared" si="34"/>
        <v>8.0866634715024796E-2</v>
      </c>
      <c r="J253" s="752">
        <f t="shared" si="32"/>
        <v>3235627.7171942447</v>
      </c>
      <c r="K253" s="385">
        <f t="shared" si="35"/>
        <v>3235627.7980608796</v>
      </c>
      <c r="L253" s="752">
        <f t="shared" si="36"/>
        <v>3.6297724582254887E-3</v>
      </c>
    </row>
    <row r="254" spans="1:12" x14ac:dyDescent="0.75">
      <c r="A254" s="309" t="str">
        <f t="shared" si="33"/>
        <v/>
      </c>
      <c r="B254" s="310">
        <v>247</v>
      </c>
      <c r="C254" s="746">
        <f>IF('User Dashboard'!Z$12=5,
IF('SIR Model Patient Calcs'!B254&lt;'User Dashboard'!AJ$15,'User Dashboard'!AN$14,
IF('SIR Model Patient Calcs'!B254&lt;'User Dashboard'!AJ$16,'User Dashboard'!AN$15,
IF('SIR Model Patient Calcs'!B254&lt;'User Dashboard'!AJ$17,'User Dashboard'!AN$16,
IF('SIR Model Patient Calcs'!B254&lt;'User Dashboard'!AJ$18,'User Dashboard'!AN$17,
'User Dashboard'!AN$18)))),
IF('User Dashboard'!Z$12=4,
IF('SIR Model Patient Calcs'!B254&lt;'User Dashboard'!AJ$15,'User Dashboard'!AN$14,
IF('SIR Model Patient Calcs'!B254&lt;'User Dashboard'!AJ$16,'User Dashboard'!AN$15,
IF('SIR Model Patient Calcs'!B254&lt;'User Dashboard'!AJ$17,'User Dashboard'!AN$16,
'User Dashboard'!AN$17))),
IF('User Dashboard'!Z$12=3,
IF('SIR Model Patient Calcs'!B254&lt;'User Dashboard'!AJ$15,'User Dashboard'!AN$14,
IF('SIR Model Patient Calcs'!B254&lt;'User Dashboard'!AJ$16,'User Dashboard'!AN$15,
'User Dashboard'!AN$16)),
IF('User Dashboard'!Z$12=2,
IF('SIR Model Patient Calcs'!B254&lt;'User Dashboard'!AJ$15,'User Dashboard'!AN$14,
'User Dashboard'!AN$15),
IF('User Dashboard'!Z$12=1,
'User Dashboard'!AN$14)))))</f>
        <v>15.209356603107825</v>
      </c>
      <c r="D254" s="747">
        <f>'User Dashboard'!X$15</f>
        <v>2.2072878851804097E-2</v>
      </c>
      <c r="E254" s="739">
        <f t="shared" si="30"/>
        <v>9.1306104687305764E-8</v>
      </c>
      <c r="F254" s="739">
        <f t="shared" si="37"/>
        <v>9.1306104687305778E-8</v>
      </c>
      <c r="G254" s="749">
        <f>1/'User Dashboard'!X$12</f>
        <v>0.14285714285714285</v>
      </c>
      <c r="H254" s="385">
        <f t="shared" si="31"/>
        <v>441172.19868167239</v>
      </c>
      <c r="I254" s="751">
        <f t="shared" si="34"/>
        <v>7.2571705080415772E-2</v>
      </c>
      <c r="J254" s="752">
        <f t="shared" si="32"/>
        <v>3235627.7287466209</v>
      </c>
      <c r="K254" s="385">
        <f t="shared" si="35"/>
        <v>3235627.801318326</v>
      </c>
      <c r="L254" s="752">
        <f t="shared" si="36"/>
        <v>3.2574464567005634E-3</v>
      </c>
    </row>
    <row r="255" spans="1:12" x14ac:dyDescent="0.75">
      <c r="A255" s="309" t="str">
        <f t="shared" si="33"/>
        <v/>
      </c>
      <c r="B255" s="310">
        <v>248</v>
      </c>
      <c r="C255" s="746">
        <f>IF('User Dashboard'!Z$12=5,
IF('SIR Model Patient Calcs'!B255&lt;'User Dashboard'!AJ$15,'User Dashboard'!AN$14,
IF('SIR Model Patient Calcs'!B255&lt;'User Dashboard'!AJ$16,'User Dashboard'!AN$15,
IF('SIR Model Patient Calcs'!B255&lt;'User Dashboard'!AJ$17,'User Dashboard'!AN$16,
IF('SIR Model Patient Calcs'!B255&lt;'User Dashboard'!AJ$18,'User Dashboard'!AN$17,
'User Dashboard'!AN$18)))),
IF('User Dashboard'!Z$12=4,
IF('SIR Model Patient Calcs'!B255&lt;'User Dashboard'!AJ$15,'User Dashboard'!AN$14,
IF('SIR Model Patient Calcs'!B255&lt;'User Dashboard'!AJ$16,'User Dashboard'!AN$15,
IF('SIR Model Patient Calcs'!B255&lt;'User Dashboard'!AJ$17,'User Dashboard'!AN$16,
'User Dashboard'!AN$17))),
IF('User Dashboard'!Z$12=3,
IF('SIR Model Patient Calcs'!B255&lt;'User Dashboard'!AJ$15,'User Dashboard'!AN$14,
IF('SIR Model Patient Calcs'!B255&lt;'User Dashboard'!AJ$16,'User Dashboard'!AN$15,
'User Dashboard'!AN$16)),
IF('User Dashboard'!Z$12=2,
IF('SIR Model Patient Calcs'!B255&lt;'User Dashboard'!AJ$15,'User Dashboard'!AN$14,
'User Dashboard'!AN$15),
IF('User Dashboard'!Z$12=1,
'User Dashboard'!AN$14)))))</f>
        <v>15.209356603107825</v>
      </c>
      <c r="D255" s="747">
        <f>'User Dashboard'!X$15</f>
        <v>2.2072878851804097E-2</v>
      </c>
      <c r="E255" s="739">
        <f t="shared" si="30"/>
        <v>9.1306104687305764E-8</v>
      </c>
      <c r="F255" s="739">
        <f t="shared" si="37"/>
        <v>9.1306104687305778E-8</v>
      </c>
      <c r="G255" s="749">
        <f>1/'User Dashboard'!X$12</f>
        <v>0.14285714285714285</v>
      </c>
      <c r="H255" s="385">
        <f t="shared" si="31"/>
        <v>441172.19575835968</v>
      </c>
      <c r="I255" s="751">
        <f t="shared" si="34"/>
        <v>6.5127631378418649E-2</v>
      </c>
      <c r="J255" s="752">
        <f t="shared" si="32"/>
        <v>3235627.7391140074</v>
      </c>
      <c r="K255" s="385">
        <f t="shared" si="35"/>
        <v>3235627.8042416386</v>
      </c>
      <c r="L255" s="752">
        <f t="shared" si="36"/>
        <v>2.923312596976757E-3</v>
      </c>
    </row>
    <row r="256" spans="1:12" x14ac:dyDescent="0.75">
      <c r="A256" s="309" t="str">
        <f t="shared" si="33"/>
        <v/>
      </c>
      <c r="B256" s="310">
        <v>249</v>
      </c>
      <c r="C256" s="746">
        <f>IF('User Dashboard'!Z$12=5,
IF('SIR Model Patient Calcs'!B256&lt;'User Dashboard'!AJ$15,'User Dashboard'!AN$14,
IF('SIR Model Patient Calcs'!B256&lt;'User Dashboard'!AJ$16,'User Dashboard'!AN$15,
IF('SIR Model Patient Calcs'!B256&lt;'User Dashboard'!AJ$17,'User Dashboard'!AN$16,
IF('SIR Model Patient Calcs'!B256&lt;'User Dashboard'!AJ$18,'User Dashboard'!AN$17,
'User Dashboard'!AN$18)))),
IF('User Dashboard'!Z$12=4,
IF('SIR Model Patient Calcs'!B256&lt;'User Dashboard'!AJ$15,'User Dashboard'!AN$14,
IF('SIR Model Patient Calcs'!B256&lt;'User Dashboard'!AJ$16,'User Dashboard'!AN$15,
IF('SIR Model Patient Calcs'!B256&lt;'User Dashboard'!AJ$17,'User Dashboard'!AN$16,
'User Dashboard'!AN$17))),
IF('User Dashboard'!Z$12=3,
IF('SIR Model Patient Calcs'!B256&lt;'User Dashboard'!AJ$15,'User Dashboard'!AN$14,
IF('SIR Model Patient Calcs'!B256&lt;'User Dashboard'!AJ$16,'User Dashboard'!AN$15,
'User Dashboard'!AN$16)),
IF('User Dashboard'!Z$12=2,
IF('SIR Model Patient Calcs'!B256&lt;'User Dashboard'!AJ$15,'User Dashboard'!AN$14,
'User Dashboard'!AN$15),
IF('User Dashboard'!Z$12=1,
'User Dashboard'!AN$14)))))</f>
        <v>15.209356603107825</v>
      </c>
      <c r="D256" s="747">
        <f>'User Dashboard'!X$15</f>
        <v>2.2072878851804097E-2</v>
      </c>
      <c r="E256" s="739">
        <f t="shared" si="30"/>
        <v>9.1306104687305764E-8</v>
      </c>
      <c r="F256" s="739">
        <f t="shared" si="37"/>
        <v>9.1306104687305778E-8</v>
      </c>
      <c r="G256" s="749">
        <f>1/'User Dashboard'!X$12</f>
        <v>0.14285714285714285</v>
      </c>
      <c r="H256" s="385">
        <f t="shared" si="31"/>
        <v>441172.19313490699</v>
      </c>
      <c r="I256" s="751">
        <f t="shared" si="34"/>
        <v>5.8447136704333325E-2</v>
      </c>
      <c r="J256" s="752">
        <f t="shared" si="32"/>
        <v>3235627.7484179549</v>
      </c>
      <c r="K256" s="385">
        <f t="shared" si="35"/>
        <v>3235627.8068650914</v>
      </c>
      <c r="L256" s="752">
        <f t="shared" si="36"/>
        <v>2.6234528049826622E-3</v>
      </c>
    </row>
    <row r="257" spans="1:12" x14ac:dyDescent="0.75">
      <c r="A257" s="309" t="str">
        <f t="shared" si="33"/>
        <v/>
      </c>
      <c r="B257" s="310">
        <v>250</v>
      </c>
      <c r="C257" s="746">
        <f>IF('User Dashboard'!Z$12=5,
IF('SIR Model Patient Calcs'!B257&lt;'User Dashboard'!AJ$15,'User Dashboard'!AN$14,
IF('SIR Model Patient Calcs'!B257&lt;'User Dashboard'!AJ$16,'User Dashboard'!AN$15,
IF('SIR Model Patient Calcs'!B257&lt;'User Dashboard'!AJ$17,'User Dashboard'!AN$16,
IF('SIR Model Patient Calcs'!B257&lt;'User Dashboard'!AJ$18,'User Dashboard'!AN$17,
'User Dashboard'!AN$18)))),
IF('User Dashboard'!Z$12=4,
IF('SIR Model Patient Calcs'!B257&lt;'User Dashboard'!AJ$15,'User Dashboard'!AN$14,
IF('SIR Model Patient Calcs'!B257&lt;'User Dashboard'!AJ$16,'User Dashboard'!AN$15,
IF('SIR Model Patient Calcs'!B257&lt;'User Dashboard'!AJ$17,'User Dashboard'!AN$16,
'User Dashboard'!AN$17))),
IF('User Dashboard'!Z$12=3,
IF('SIR Model Patient Calcs'!B257&lt;'User Dashboard'!AJ$15,'User Dashboard'!AN$14,
IF('SIR Model Patient Calcs'!B257&lt;'User Dashboard'!AJ$16,'User Dashboard'!AN$15,
'User Dashboard'!AN$16)),
IF('User Dashboard'!Z$12=2,
IF('SIR Model Patient Calcs'!B257&lt;'User Dashboard'!AJ$15,'User Dashboard'!AN$14,
'User Dashboard'!AN$15),
IF('User Dashboard'!Z$12=1,
'User Dashboard'!AN$14)))))</f>
        <v>15.209356603107825</v>
      </c>
      <c r="D257" s="747">
        <f>'User Dashboard'!X$15</f>
        <v>2.2072878851804097E-2</v>
      </c>
      <c r="E257" s="739">
        <f t="shared" si="30"/>
        <v>9.1306104687305764E-8</v>
      </c>
      <c r="F257" s="739">
        <f t="shared" si="37"/>
        <v>9.1306104687305778E-8</v>
      </c>
      <c r="G257" s="749">
        <f>1/'User Dashboard'!X$12</f>
        <v>0.14285714285714285</v>
      </c>
      <c r="H257" s="385">
        <f t="shared" si="31"/>
        <v>441172.19078055612</v>
      </c>
      <c r="I257" s="751">
        <f t="shared" si="34"/>
        <v>5.2451896617803404E-2</v>
      </c>
      <c r="J257" s="752">
        <f t="shared" si="32"/>
        <v>3235627.7567675458</v>
      </c>
      <c r="K257" s="385">
        <f t="shared" si="35"/>
        <v>3235627.8092194423</v>
      </c>
      <c r="L257" s="752">
        <f t="shared" si="36"/>
        <v>2.3543508723378181E-3</v>
      </c>
    </row>
    <row r="258" spans="1:12" x14ac:dyDescent="0.75">
      <c r="A258" s="309" t="str">
        <f t="shared" si="33"/>
        <v/>
      </c>
      <c r="B258" s="310">
        <v>251</v>
      </c>
      <c r="C258" s="746">
        <f>IF('User Dashboard'!Z$12=5,
IF('SIR Model Patient Calcs'!B258&lt;'User Dashboard'!AJ$15,'User Dashboard'!AN$14,
IF('SIR Model Patient Calcs'!B258&lt;'User Dashboard'!AJ$16,'User Dashboard'!AN$15,
IF('SIR Model Patient Calcs'!B258&lt;'User Dashboard'!AJ$17,'User Dashboard'!AN$16,
IF('SIR Model Patient Calcs'!B258&lt;'User Dashboard'!AJ$18,'User Dashboard'!AN$17,
'User Dashboard'!AN$18)))),
IF('User Dashboard'!Z$12=4,
IF('SIR Model Patient Calcs'!B258&lt;'User Dashboard'!AJ$15,'User Dashboard'!AN$14,
IF('SIR Model Patient Calcs'!B258&lt;'User Dashboard'!AJ$16,'User Dashboard'!AN$15,
IF('SIR Model Patient Calcs'!B258&lt;'User Dashboard'!AJ$17,'User Dashboard'!AN$16,
'User Dashboard'!AN$17))),
IF('User Dashboard'!Z$12=3,
IF('SIR Model Patient Calcs'!B258&lt;'User Dashboard'!AJ$15,'User Dashboard'!AN$14,
IF('SIR Model Patient Calcs'!B258&lt;'User Dashboard'!AJ$16,'User Dashboard'!AN$15,
'User Dashboard'!AN$16)),
IF('User Dashboard'!Z$12=2,
IF('SIR Model Patient Calcs'!B258&lt;'User Dashboard'!AJ$15,'User Dashboard'!AN$14,
'User Dashboard'!AN$15),
IF('User Dashboard'!Z$12=1,
'User Dashboard'!AN$14)))))</f>
        <v>15.209356603107825</v>
      </c>
      <c r="D258" s="747">
        <f>'User Dashboard'!X$15</f>
        <v>2.2072878851804097E-2</v>
      </c>
      <c r="E258" s="739">
        <f t="shared" si="30"/>
        <v>9.1306104687305764E-8</v>
      </c>
      <c r="F258" s="739">
        <f t="shared" si="37"/>
        <v>9.1306104687305778E-8</v>
      </c>
      <c r="G258" s="749">
        <f>1/'User Dashboard'!X$12</f>
        <v>0.14285714285714285</v>
      </c>
      <c r="H258" s="385">
        <f t="shared" si="31"/>
        <v>441172.18866770383</v>
      </c>
      <c r="I258" s="751">
        <f t="shared" si="34"/>
        <v>4.7071620840268537E-2</v>
      </c>
      <c r="J258" s="752">
        <f t="shared" si="32"/>
        <v>3235627.7642606739</v>
      </c>
      <c r="K258" s="385">
        <f t="shared" si="35"/>
        <v>3235627.8113322947</v>
      </c>
      <c r="L258" s="752">
        <f t="shared" si="36"/>
        <v>2.1128524094820023E-3</v>
      </c>
    </row>
    <row r="259" spans="1:12" x14ac:dyDescent="0.75">
      <c r="A259" s="309" t="str">
        <f t="shared" si="33"/>
        <v/>
      </c>
      <c r="B259" s="310">
        <v>252</v>
      </c>
      <c r="C259" s="746">
        <f>IF('User Dashboard'!Z$12=5,
IF('SIR Model Patient Calcs'!B259&lt;'User Dashboard'!AJ$15,'User Dashboard'!AN$14,
IF('SIR Model Patient Calcs'!B259&lt;'User Dashboard'!AJ$16,'User Dashboard'!AN$15,
IF('SIR Model Patient Calcs'!B259&lt;'User Dashboard'!AJ$17,'User Dashboard'!AN$16,
IF('SIR Model Patient Calcs'!B259&lt;'User Dashboard'!AJ$18,'User Dashboard'!AN$17,
'User Dashboard'!AN$18)))),
IF('User Dashboard'!Z$12=4,
IF('SIR Model Patient Calcs'!B259&lt;'User Dashboard'!AJ$15,'User Dashboard'!AN$14,
IF('SIR Model Patient Calcs'!B259&lt;'User Dashboard'!AJ$16,'User Dashboard'!AN$15,
IF('SIR Model Patient Calcs'!B259&lt;'User Dashboard'!AJ$17,'User Dashboard'!AN$16,
'User Dashboard'!AN$17))),
IF('User Dashboard'!Z$12=3,
IF('SIR Model Patient Calcs'!B259&lt;'User Dashboard'!AJ$15,'User Dashboard'!AN$14,
IF('SIR Model Patient Calcs'!B259&lt;'User Dashboard'!AJ$16,'User Dashboard'!AN$15,
'User Dashboard'!AN$16)),
IF('User Dashboard'!Z$12=2,
IF('SIR Model Patient Calcs'!B259&lt;'User Dashboard'!AJ$15,'User Dashboard'!AN$14,
'User Dashboard'!AN$15),
IF('User Dashboard'!Z$12=1,
'User Dashboard'!AN$14)))))</f>
        <v>15.209356603107825</v>
      </c>
      <c r="D259" s="747">
        <f>'User Dashboard'!X$15</f>
        <v>2.2072878851804097E-2</v>
      </c>
      <c r="E259" s="739">
        <f t="shared" si="30"/>
        <v>9.1306104687305764E-8</v>
      </c>
      <c r="F259" s="739">
        <f t="shared" si="37"/>
        <v>9.1306104687305778E-8</v>
      </c>
      <c r="G259" s="749">
        <f>1/'User Dashboard'!X$12</f>
        <v>0.14285714285714285</v>
      </c>
      <c r="H259" s="385">
        <f t="shared" si="31"/>
        <v>441172.18677157827</v>
      </c>
      <c r="I259" s="751">
        <f t="shared" si="34"/>
        <v>4.2243229147630484E-2</v>
      </c>
      <c r="J259" s="752">
        <f t="shared" si="32"/>
        <v>3235627.7709851912</v>
      </c>
      <c r="K259" s="385">
        <f t="shared" si="35"/>
        <v>3235627.8132284204</v>
      </c>
      <c r="L259" s="752">
        <f t="shared" si="36"/>
        <v>1.8961257301270962E-3</v>
      </c>
    </row>
    <row r="260" spans="1:12" x14ac:dyDescent="0.75">
      <c r="A260" s="309" t="str">
        <f t="shared" si="33"/>
        <v/>
      </c>
      <c r="B260" s="310">
        <v>253</v>
      </c>
      <c r="C260" s="746">
        <f>IF('User Dashboard'!Z$12=5,
IF('SIR Model Patient Calcs'!B260&lt;'User Dashboard'!AJ$15,'User Dashboard'!AN$14,
IF('SIR Model Patient Calcs'!B260&lt;'User Dashboard'!AJ$16,'User Dashboard'!AN$15,
IF('SIR Model Patient Calcs'!B260&lt;'User Dashboard'!AJ$17,'User Dashboard'!AN$16,
IF('SIR Model Patient Calcs'!B260&lt;'User Dashboard'!AJ$18,'User Dashboard'!AN$17,
'User Dashboard'!AN$18)))),
IF('User Dashboard'!Z$12=4,
IF('SIR Model Patient Calcs'!B260&lt;'User Dashboard'!AJ$15,'User Dashboard'!AN$14,
IF('SIR Model Patient Calcs'!B260&lt;'User Dashboard'!AJ$16,'User Dashboard'!AN$15,
IF('SIR Model Patient Calcs'!B260&lt;'User Dashboard'!AJ$17,'User Dashboard'!AN$16,
'User Dashboard'!AN$17))),
IF('User Dashboard'!Z$12=3,
IF('SIR Model Patient Calcs'!B260&lt;'User Dashboard'!AJ$15,'User Dashboard'!AN$14,
IF('SIR Model Patient Calcs'!B260&lt;'User Dashboard'!AJ$16,'User Dashboard'!AN$15,
'User Dashboard'!AN$16)),
IF('User Dashboard'!Z$12=2,
IF('SIR Model Patient Calcs'!B260&lt;'User Dashboard'!AJ$15,'User Dashboard'!AN$14,
'User Dashboard'!AN$15),
IF('User Dashboard'!Z$12=1,
'User Dashboard'!AN$14)))))</f>
        <v>15.209356603107825</v>
      </c>
      <c r="D260" s="747">
        <f>'User Dashboard'!X$15</f>
        <v>2.2072878851804097E-2</v>
      </c>
      <c r="E260" s="739">
        <f t="shared" si="30"/>
        <v>9.1306104687305751E-8</v>
      </c>
      <c r="F260" s="739">
        <f t="shared" si="37"/>
        <v>9.1306104687305764E-8</v>
      </c>
      <c r="G260" s="749">
        <f>1/'User Dashboard'!X$12</f>
        <v>0.14285714285714285</v>
      </c>
      <c r="H260" s="385">
        <f t="shared" si="31"/>
        <v>441172.18506994861</v>
      </c>
      <c r="I260" s="751">
        <f t="shared" si="34"/>
        <v>3.7910111796030953E-2</v>
      </c>
      <c r="J260" s="752">
        <f t="shared" si="32"/>
        <v>3235627.7770199385</v>
      </c>
      <c r="K260" s="385">
        <f t="shared" si="35"/>
        <v>3235627.8149300502</v>
      </c>
      <c r="L260" s="752">
        <f t="shared" si="36"/>
        <v>1.7016297206282616E-3</v>
      </c>
    </row>
    <row r="261" spans="1:12" x14ac:dyDescent="0.75">
      <c r="A261" s="309" t="str">
        <f t="shared" si="33"/>
        <v/>
      </c>
      <c r="B261" s="310">
        <v>254</v>
      </c>
      <c r="C261" s="746">
        <f>IF('User Dashboard'!Z$12=5,
IF('SIR Model Patient Calcs'!B261&lt;'User Dashboard'!AJ$15,'User Dashboard'!AN$14,
IF('SIR Model Patient Calcs'!B261&lt;'User Dashboard'!AJ$16,'User Dashboard'!AN$15,
IF('SIR Model Patient Calcs'!B261&lt;'User Dashboard'!AJ$17,'User Dashboard'!AN$16,
IF('SIR Model Patient Calcs'!B261&lt;'User Dashboard'!AJ$18,'User Dashboard'!AN$17,
'User Dashboard'!AN$18)))),
IF('User Dashboard'!Z$12=4,
IF('SIR Model Patient Calcs'!B261&lt;'User Dashboard'!AJ$15,'User Dashboard'!AN$14,
IF('SIR Model Patient Calcs'!B261&lt;'User Dashboard'!AJ$16,'User Dashboard'!AN$15,
IF('SIR Model Patient Calcs'!B261&lt;'User Dashboard'!AJ$17,'User Dashboard'!AN$16,
'User Dashboard'!AN$17))),
IF('User Dashboard'!Z$12=3,
IF('SIR Model Patient Calcs'!B261&lt;'User Dashboard'!AJ$15,'User Dashboard'!AN$14,
IF('SIR Model Patient Calcs'!B261&lt;'User Dashboard'!AJ$16,'User Dashboard'!AN$15,
'User Dashboard'!AN$16)),
IF('User Dashboard'!Z$12=2,
IF('SIR Model Patient Calcs'!B261&lt;'User Dashboard'!AJ$15,'User Dashboard'!AN$14,
'User Dashboard'!AN$15),
IF('User Dashboard'!Z$12=1,
'User Dashboard'!AN$14)))))</f>
        <v>15.209356603107825</v>
      </c>
      <c r="D261" s="747">
        <f>'User Dashboard'!X$15</f>
        <v>2.2072878851804097E-2</v>
      </c>
      <c r="E261" s="739">
        <f t="shared" si="30"/>
        <v>9.1306104687305764E-8</v>
      </c>
      <c r="F261" s="739">
        <f t="shared" si="37"/>
        <v>9.1306104687305751E-8</v>
      </c>
      <c r="G261" s="749">
        <f>1/'User Dashboard'!X$12</f>
        <v>0.14285714285714285</v>
      </c>
      <c r="H261" s="385">
        <f t="shared" si="31"/>
        <v>441172.18354286434</v>
      </c>
      <c r="I261" s="751">
        <f t="shared" si="34"/>
        <v>3.4021465809731172E-2</v>
      </c>
      <c r="J261" s="752">
        <f t="shared" si="32"/>
        <v>3235627.7824356686</v>
      </c>
      <c r="K261" s="385">
        <f t="shared" si="35"/>
        <v>3235627.8164571347</v>
      </c>
      <c r="L261" s="752">
        <f t="shared" si="36"/>
        <v>1.5270845033228397E-3</v>
      </c>
    </row>
    <row r="262" spans="1:12" x14ac:dyDescent="0.75">
      <c r="A262" s="309" t="str">
        <f t="shared" si="33"/>
        <v/>
      </c>
      <c r="B262" s="310">
        <v>255</v>
      </c>
      <c r="C262" s="746">
        <f>IF('User Dashboard'!Z$12=5,
IF('SIR Model Patient Calcs'!B262&lt;'User Dashboard'!AJ$15,'User Dashboard'!AN$14,
IF('SIR Model Patient Calcs'!B262&lt;'User Dashboard'!AJ$16,'User Dashboard'!AN$15,
IF('SIR Model Patient Calcs'!B262&lt;'User Dashboard'!AJ$17,'User Dashboard'!AN$16,
IF('SIR Model Patient Calcs'!B262&lt;'User Dashboard'!AJ$18,'User Dashboard'!AN$17,
'User Dashboard'!AN$18)))),
IF('User Dashboard'!Z$12=4,
IF('SIR Model Patient Calcs'!B262&lt;'User Dashboard'!AJ$15,'User Dashboard'!AN$14,
IF('SIR Model Patient Calcs'!B262&lt;'User Dashboard'!AJ$16,'User Dashboard'!AN$15,
IF('SIR Model Patient Calcs'!B262&lt;'User Dashboard'!AJ$17,'User Dashboard'!AN$16,
'User Dashboard'!AN$17))),
IF('User Dashboard'!Z$12=3,
IF('SIR Model Patient Calcs'!B262&lt;'User Dashboard'!AJ$15,'User Dashboard'!AN$14,
IF('SIR Model Patient Calcs'!B262&lt;'User Dashboard'!AJ$16,'User Dashboard'!AN$15,
'User Dashboard'!AN$16)),
IF('User Dashboard'!Z$12=2,
IF('SIR Model Patient Calcs'!B262&lt;'User Dashboard'!AJ$15,'User Dashboard'!AN$14,
'User Dashboard'!AN$15),
IF('User Dashboard'!Z$12=1,
'User Dashboard'!AN$14)))))</f>
        <v>15.209356603107825</v>
      </c>
      <c r="D262" s="747">
        <f>'User Dashboard'!X$15</f>
        <v>2.2072878851804097E-2</v>
      </c>
      <c r="E262" s="739">
        <f t="shared" si="30"/>
        <v>9.1306104687305764E-8</v>
      </c>
      <c r="F262" s="739">
        <f t="shared" si="37"/>
        <v>9.1306104687305751E-8</v>
      </c>
      <c r="G262" s="749">
        <f>1/'User Dashboard'!X$12</f>
        <v>0.14285714285714285</v>
      </c>
      <c r="H262" s="385">
        <f t="shared" si="31"/>
        <v>441172.18217242142</v>
      </c>
      <c r="I262" s="751">
        <f t="shared" si="34"/>
        <v>3.0531699349513795E-2</v>
      </c>
      <c r="J262" s="752">
        <f t="shared" si="32"/>
        <v>3235627.7872958779</v>
      </c>
      <c r="K262" s="385">
        <f t="shared" si="35"/>
        <v>3235627.8178275772</v>
      </c>
      <c r="L262" s="752">
        <f t="shared" si="36"/>
        <v>1.3704425655305386E-3</v>
      </c>
    </row>
    <row r="263" spans="1:12" x14ac:dyDescent="0.75">
      <c r="A263" s="309" t="str">
        <f t="shared" si="33"/>
        <v/>
      </c>
      <c r="B263" s="310">
        <v>256</v>
      </c>
      <c r="C263" s="746">
        <f>IF('User Dashboard'!Z$12=5,
IF('SIR Model Patient Calcs'!B263&lt;'User Dashboard'!AJ$15,'User Dashboard'!AN$14,
IF('SIR Model Patient Calcs'!B263&lt;'User Dashboard'!AJ$16,'User Dashboard'!AN$15,
IF('SIR Model Patient Calcs'!B263&lt;'User Dashboard'!AJ$17,'User Dashboard'!AN$16,
IF('SIR Model Patient Calcs'!B263&lt;'User Dashboard'!AJ$18,'User Dashboard'!AN$17,
'User Dashboard'!AN$18)))),
IF('User Dashboard'!Z$12=4,
IF('SIR Model Patient Calcs'!B263&lt;'User Dashboard'!AJ$15,'User Dashboard'!AN$14,
IF('SIR Model Patient Calcs'!B263&lt;'User Dashboard'!AJ$16,'User Dashboard'!AN$15,
IF('SIR Model Patient Calcs'!B263&lt;'User Dashboard'!AJ$17,'User Dashboard'!AN$16,
'User Dashboard'!AN$17))),
IF('User Dashboard'!Z$12=3,
IF('SIR Model Patient Calcs'!B263&lt;'User Dashboard'!AJ$15,'User Dashboard'!AN$14,
IF('SIR Model Patient Calcs'!B263&lt;'User Dashboard'!AJ$16,'User Dashboard'!AN$15,
'User Dashboard'!AN$16)),
IF('User Dashboard'!Z$12=2,
IF('SIR Model Patient Calcs'!B263&lt;'User Dashboard'!AJ$15,'User Dashboard'!AN$14,
'User Dashboard'!AN$15),
IF('User Dashboard'!Z$12=1,
'User Dashboard'!AN$14)))))</f>
        <v>15.209356603107825</v>
      </c>
      <c r="D263" s="747">
        <f>'User Dashboard'!X$15</f>
        <v>2.2072878851804097E-2</v>
      </c>
      <c r="E263" s="739">
        <f t="shared" ref="E263:E326" si="38">(C263*D263)/SUM(H263:J263)</f>
        <v>9.1306104687305764E-8</v>
      </c>
      <c r="F263" s="739">
        <f t="shared" si="37"/>
        <v>9.1306104687305778E-8</v>
      </c>
      <c r="G263" s="749">
        <f>1/'User Dashboard'!X$12</f>
        <v>0.14285714285714285</v>
      </c>
      <c r="H263" s="385">
        <f t="shared" si="31"/>
        <v>441172.18094255228</v>
      </c>
      <c r="I263" s="751">
        <f t="shared" si="34"/>
        <v>2.7399897178224799E-2</v>
      </c>
      <c r="J263" s="752">
        <f t="shared" si="32"/>
        <v>3235627.7916575493</v>
      </c>
      <c r="K263" s="385">
        <f t="shared" si="35"/>
        <v>3235627.8190574464</v>
      </c>
      <c r="L263" s="752">
        <f t="shared" si="36"/>
        <v>1.2298692017793655E-3</v>
      </c>
    </row>
    <row r="264" spans="1:12" x14ac:dyDescent="0.75">
      <c r="A264" s="309" t="str">
        <f t="shared" si="33"/>
        <v/>
      </c>
      <c r="B264" s="310">
        <v>257</v>
      </c>
      <c r="C264" s="746">
        <f>IF('User Dashboard'!Z$12=5,
IF('SIR Model Patient Calcs'!B264&lt;'User Dashboard'!AJ$15,'User Dashboard'!AN$14,
IF('SIR Model Patient Calcs'!B264&lt;'User Dashboard'!AJ$16,'User Dashboard'!AN$15,
IF('SIR Model Patient Calcs'!B264&lt;'User Dashboard'!AJ$17,'User Dashboard'!AN$16,
IF('SIR Model Patient Calcs'!B264&lt;'User Dashboard'!AJ$18,'User Dashboard'!AN$17,
'User Dashboard'!AN$18)))),
IF('User Dashboard'!Z$12=4,
IF('SIR Model Patient Calcs'!B264&lt;'User Dashboard'!AJ$15,'User Dashboard'!AN$14,
IF('SIR Model Patient Calcs'!B264&lt;'User Dashboard'!AJ$16,'User Dashboard'!AN$15,
IF('SIR Model Patient Calcs'!B264&lt;'User Dashboard'!AJ$17,'User Dashboard'!AN$16,
'User Dashboard'!AN$17))),
IF('User Dashboard'!Z$12=3,
IF('SIR Model Patient Calcs'!B264&lt;'User Dashboard'!AJ$15,'User Dashboard'!AN$14,
IF('SIR Model Patient Calcs'!B264&lt;'User Dashboard'!AJ$16,'User Dashboard'!AN$15,
'User Dashboard'!AN$16)),
IF('User Dashboard'!Z$12=2,
IF('SIR Model Patient Calcs'!B264&lt;'User Dashboard'!AJ$15,'User Dashboard'!AN$14,
'User Dashboard'!AN$15),
IF('User Dashboard'!Z$12=1,
'User Dashboard'!AN$14)))))</f>
        <v>15.209356603107825</v>
      </c>
      <c r="D264" s="747">
        <f>'User Dashboard'!X$15</f>
        <v>2.2072878851804097E-2</v>
      </c>
      <c r="E264" s="739">
        <f t="shared" si="38"/>
        <v>9.1306104687305764E-8</v>
      </c>
      <c r="F264" s="739">
        <f t="shared" si="37"/>
        <v>9.1306104687305778E-8</v>
      </c>
      <c r="G264" s="749">
        <f>1/'User Dashboard'!X$12</f>
        <v>0.14285714285714285</v>
      </c>
      <c r="H264" s="385">
        <f t="shared" ref="H264:H327" si="39">-MIN(F263*I263,1)*H263+H263</f>
        <v>441172.17983883747</v>
      </c>
      <c r="I264" s="751">
        <f t="shared" si="34"/>
        <v>2.4589340956395374E-2</v>
      </c>
      <c r="J264" s="752">
        <f t="shared" ref="J264:J327" si="40">G263*I263+J263</f>
        <v>3235627.7955718203</v>
      </c>
      <c r="K264" s="385">
        <f t="shared" si="35"/>
        <v>3235627.8201611615</v>
      </c>
      <c r="L264" s="752">
        <f t="shared" si="36"/>
        <v>1.1037150397896767E-3</v>
      </c>
    </row>
    <row r="265" spans="1:12" x14ac:dyDescent="0.75">
      <c r="A265" s="309" t="str">
        <f t="shared" ref="A265:A328" si="41">IF(AND(IF(L265&lt;1,0,1)*ROUNDUP(B265/7,0)=0,B265&lt;&gt;0),"",IF(L265&lt;1,0,1)*ROUNDUP(B265/7,0))</f>
        <v/>
      </c>
      <c r="B265" s="310">
        <v>258</v>
      </c>
      <c r="C265" s="746">
        <f>IF('User Dashboard'!Z$12=5,
IF('SIR Model Patient Calcs'!B265&lt;'User Dashboard'!AJ$15,'User Dashboard'!AN$14,
IF('SIR Model Patient Calcs'!B265&lt;'User Dashboard'!AJ$16,'User Dashboard'!AN$15,
IF('SIR Model Patient Calcs'!B265&lt;'User Dashboard'!AJ$17,'User Dashboard'!AN$16,
IF('SIR Model Patient Calcs'!B265&lt;'User Dashboard'!AJ$18,'User Dashboard'!AN$17,
'User Dashboard'!AN$18)))),
IF('User Dashboard'!Z$12=4,
IF('SIR Model Patient Calcs'!B265&lt;'User Dashboard'!AJ$15,'User Dashboard'!AN$14,
IF('SIR Model Patient Calcs'!B265&lt;'User Dashboard'!AJ$16,'User Dashboard'!AN$15,
IF('SIR Model Patient Calcs'!B265&lt;'User Dashboard'!AJ$17,'User Dashboard'!AN$16,
'User Dashboard'!AN$17))),
IF('User Dashboard'!Z$12=3,
IF('SIR Model Patient Calcs'!B265&lt;'User Dashboard'!AJ$15,'User Dashboard'!AN$14,
IF('SIR Model Patient Calcs'!B265&lt;'User Dashboard'!AJ$16,'User Dashboard'!AN$15,
'User Dashboard'!AN$16)),
IF('User Dashboard'!Z$12=2,
IF('SIR Model Patient Calcs'!B265&lt;'User Dashboard'!AJ$15,'User Dashboard'!AN$14,
'User Dashboard'!AN$15),
IF('User Dashboard'!Z$12=1,
'User Dashboard'!AN$14)))))</f>
        <v>15.209356603107825</v>
      </c>
      <c r="D265" s="747">
        <f>'User Dashboard'!X$15</f>
        <v>2.2072878851804097E-2</v>
      </c>
      <c r="E265" s="739">
        <f t="shared" si="38"/>
        <v>9.1306104687305764E-8</v>
      </c>
      <c r="F265" s="739">
        <f t="shared" si="37"/>
        <v>9.1306104687305778E-8</v>
      </c>
      <c r="G265" s="749">
        <f>1/'User Dashboard'!X$12</f>
        <v>0.14285714285714285</v>
      </c>
      <c r="H265" s="385">
        <f t="shared" si="39"/>
        <v>441172.17884833668</v>
      </c>
      <c r="I265" s="751">
        <f t="shared" ref="I265:I328" si="42">MIN(F264*I264,1)*H264-G264*I264+I264</f>
        <v>2.2067078743729037E-2</v>
      </c>
      <c r="J265" s="752">
        <f t="shared" si="40"/>
        <v>3235627.7990845833</v>
      </c>
      <c r="K265" s="385">
        <f t="shared" ref="K265:K328" si="43">(I265+J265)</f>
        <v>3235627.8211516622</v>
      </c>
      <c r="L265" s="752">
        <f t="shared" ref="L265:L328" si="44">(K265-K264)</f>
        <v>9.9050067365169525E-4</v>
      </c>
    </row>
    <row r="266" spans="1:12" x14ac:dyDescent="0.75">
      <c r="A266" s="309" t="str">
        <f t="shared" si="41"/>
        <v/>
      </c>
      <c r="B266" s="310">
        <v>259</v>
      </c>
      <c r="C266" s="746">
        <f>IF('User Dashboard'!Z$12=5,
IF('SIR Model Patient Calcs'!B266&lt;'User Dashboard'!AJ$15,'User Dashboard'!AN$14,
IF('SIR Model Patient Calcs'!B266&lt;'User Dashboard'!AJ$16,'User Dashboard'!AN$15,
IF('SIR Model Patient Calcs'!B266&lt;'User Dashboard'!AJ$17,'User Dashboard'!AN$16,
IF('SIR Model Patient Calcs'!B266&lt;'User Dashboard'!AJ$18,'User Dashboard'!AN$17,
'User Dashboard'!AN$18)))),
IF('User Dashboard'!Z$12=4,
IF('SIR Model Patient Calcs'!B266&lt;'User Dashboard'!AJ$15,'User Dashboard'!AN$14,
IF('SIR Model Patient Calcs'!B266&lt;'User Dashboard'!AJ$16,'User Dashboard'!AN$15,
IF('SIR Model Patient Calcs'!B266&lt;'User Dashboard'!AJ$17,'User Dashboard'!AN$16,
'User Dashboard'!AN$17))),
IF('User Dashboard'!Z$12=3,
IF('SIR Model Patient Calcs'!B266&lt;'User Dashboard'!AJ$15,'User Dashboard'!AN$14,
IF('SIR Model Patient Calcs'!B266&lt;'User Dashboard'!AJ$16,'User Dashboard'!AN$15,
'User Dashboard'!AN$16)),
IF('User Dashboard'!Z$12=2,
IF('SIR Model Patient Calcs'!B266&lt;'User Dashboard'!AJ$15,'User Dashboard'!AN$14,
'User Dashboard'!AN$15),
IF('User Dashboard'!Z$12=1,
'User Dashboard'!AN$14)))))</f>
        <v>15.209356603107825</v>
      </c>
      <c r="D266" s="747">
        <f>'User Dashboard'!X$15</f>
        <v>2.2072878851804097E-2</v>
      </c>
      <c r="E266" s="739">
        <f t="shared" si="38"/>
        <v>9.1306104687305764E-8</v>
      </c>
      <c r="F266" s="739">
        <f t="shared" si="37"/>
        <v>9.1306104687305778E-8</v>
      </c>
      <c r="G266" s="749">
        <f>1/'User Dashboard'!X$12</f>
        <v>0.14285714285714285</v>
      </c>
      <c r="H266" s="385">
        <f t="shared" si="39"/>
        <v>441172.17795943696</v>
      </c>
      <c r="I266" s="751">
        <f t="shared" si="42"/>
        <v>1.9803538659144641E-2</v>
      </c>
      <c r="J266" s="752">
        <f t="shared" si="40"/>
        <v>3235627.8022370231</v>
      </c>
      <c r="K266" s="385">
        <f t="shared" si="43"/>
        <v>3235627.8220405616</v>
      </c>
      <c r="L266" s="752">
        <f t="shared" si="44"/>
        <v>8.8889943435788155E-4</v>
      </c>
    </row>
    <row r="267" spans="1:12" x14ac:dyDescent="0.75">
      <c r="A267" s="309" t="str">
        <f t="shared" si="41"/>
        <v/>
      </c>
      <c r="B267" s="310">
        <v>260</v>
      </c>
      <c r="C267" s="746">
        <f>IF('User Dashboard'!Z$12=5,
IF('SIR Model Patient Calcs'!B267&lt;'User Dashboard'!AJ$15,'User Dashboard'!AN$14,
IF('SIR Model Patient Calcs'!B267&lt;'User Dashboard'!AJ$16,'User Dashboard'!AN$15,
IF('SIR Model Patient Calcs'!B267&lt;'User Dashboard'!AJ$17,'User Dashboard'!AN$16,
IF('SIR Model Patient Calcs'!B267&lt;'User Dashboard'!AJ$18,'User Dashboard'!AN$17,
'User Dashboard'!AN$18)))),
IF('User Dashboard'!Z$12=4,
IF('SIR Model Patient Calcs'!B267&lt;'User Dashboard'!AJ$15,'User Dashboard'!AN$14,
IF('SIR Model Patient Calcs'!B267&lt;'User Dashboard'!AJ$16,'User Dashboard'!AN$15,
IF('SIR Model Patient Calcs'!B267&lt;'User Dashboard'!AJ$17,'User Dashboard'!AN$16,
'User Dashboard'!AN$17))),
IF('User Dashboard'!Z$12=3,
IF('SIR Model Patient Calcs'!B267&lt;'User Dashboard'!AJ$15,'User Dashboard'!AN$14,
IF('SIR Model Patient Calcs'!B267&lt;'User Dashboard'!AJ$16,'User Dashboard'!AN$15,
'User Dashboard'!AN$16)),
IF('User Dashboard'!Z$12=2,
IF('SIR Model Patient Calcs'!B267&lt;'User Dashboard'!AJ$15,'User Dashboard'!AN$14,
'User Dashboard'!AN$15),
IF('User Dashboard'!Z$12=1,
'User Dashboard'!AN$14)))))</f>
        <v>15.209356603107825</v>
      </c>
      <c r="D267" s="747">
        <f>'User Dashboard'!X$15</f>
        <v>2.2072878851804097E-2</v>
      </c>
      <c r="E267" s="739">
        <f t="shared" si="38"/>
        <v>9.1306104687305764E-8</v>
      </c>
      <c r="F267" s="739">
        <f t="shared" si="37"/>
        <v>9.1306104687305778E-8</v>
      </c>
      <c r="G267" s="749">
        <f>1/'User Dashboard'!X$12</f>
        <v>0.14285714285714285</v>
      </c>
      <c r="H267" s="385">
        <f t="shared" si="39"/>
        <v>441172.17716171651</v>
      </c>
      <c r="I267" s="751">
        <f t="shared" si="42"/>
        <v>1.777218216979521E-2</v>
      </c>
      <c r="J267" s="752">
        <f t="shared" si="40"/>
        <v>3235627.8050660999</v>
      </c>
      <c r="K267" s="385">
        <f t="shared" si="43"/>
        <v>3235627.8228382822</v>
      </c>
      <c r="L267" s="752">
        <f t="shared" si="44"/>
        <v>7.9772062599658966E-4</v>
      </c>
    </row>
    <row r="268" spans="1:12" x14ac:dyDescent="0.75">
      <c r="A268" s="309" t="str">
        <f t="shared" si="41"/>
        <v/>
      </c>
      <c r="B268" s="310">
        <v>261</v>
      </c>
      <c r="C268" s="746">
        <f>IF('User Dashboard'!Z$12=5,
IF('SIR Model Patient Calcs'!B268&lt;'User Dashboard'!AJ$15,'User Dashboard'!AN$14,
IF('SIR Model Patient Calcs'!B268&lt;'User Dashboard'!AJ$16,'User Dashboard'!AN$15,
IF('SIR Model Patient Calcs'!B268&lt;'User Dashboard'!AJ$17,'User Dashboard'!AN$16,
IF('SIR Model Patient Calcs'!B268&lt;'User Dashboard'!AJ$18,'User Dashboard'!AN$17,
'User Dashboard'!AN$18)))),
IF('User Dashboard'!Z$12=4,
IF('SIR Model Patient Calcs'!B268&lt;'User Dashboard'!AJ$15,'User Dashboard'!AN$14,
IF('SIR Model Patient Calcs'!B268&lt;'User Dashboard'!AJ$16,'User Dashboard'!AN$15,
IF('SIR Model Patient Calcs'!B268&lt;'User Dashboard'!AJ$17,'User Dashboard'!AN$16,
'User Dashboard'!AN$17))),
IF('User Dashboard'!Z$12=3,
IF('SIR Model Patient Calcs'!B268&lt;'User Dashboard'!AJ$15,'User Dashboard'!AN$14,
IF('SIR Model Patient Calcs'!B268&lt;'User Dashboard'!AJ$16,'User Dashboard'!AN$15,
'User Dashboard'!AN$16)),
IF('User Dashboard'!Z$12=2,
IF('SIR Model Patient Calcs'!B268&lt;'User Dashboard'!AJ$15,'User Dashboard'!AN$14,
'User Dashboard'!AN$15),
IF('User Dashboard'!Z$12=1,
'User Dashboard'!AN$14)))))</f>
        <v>15.209356603107825</v>
      </c>
      <c r="D268" s="747">
        <f>'User Dashboard'!X$15</f>
        <v>2.2072878851804097E-2</v>
      </c>
      <c r="E268" s="739">
        <f t="shared" si="38"/>
        <v>9.1306104687305764E-8</v>
      </c>
      <c r="F268" s="739">
        <f t="shared" si="37"/>
        <v>9.1306104687305778E-8</v>
      </c>
      <c r="G268" s="749">
        <f>1/'User Dashboard'!X$12</f>
        <v>0.14285714285714285</v>
      </c>
      <c r="H268" s="385">
        <f t="shared" si="39"/>
        <v>441172.17644582258</v>
      </c>
      <c r="I268" s="751">
        <f t="shared" si="42"/>
        <v>1.5949192944105576E-2</v>
      </c>
      <c r="J268" s="752">
        <f t="shared" si="40"/>
        <v>3235627.807604983</v>
      </c>
      <c r="K268" s="385">
        <f t="shared" si="43"/>
        <v>3235627.8235541759</v>
      </c>
      <c r="L268" s="752">
        <f t="shared" si="44"/>
        <v>7.158936932682991E-4</v>
      </c>
    </row>
    <row r="269" spans="1:12" x14ac:dyDescent="0.75">
      <c r="A269" s="309" t="str">
        <f t="shared" si="41"/>
        <v/>
      </c>
      <c r="B269" s="310">
        <v>262</v>
      </c>
      <c r="C269" s="746">
        <f>IF('User Dashboard'!Z$12=5,
IF('SIR Model Patient Calcs'!B269&lt;'User Dashboard'!AJ$15,'User Dashboard'!AN$14,
IF('SIR Model Patient Calcs'!B269&lt;'User Dashboard'!AJ$16,'User Dashboard'!AN$15,
IF('SIR Model Patient Calcs'!B269&lt;'User Dashboard'!AJ$17,'User Dashboard'!AN$16,
IF('SIR Model Patient Calcs'!B269&lt;'User Dashboard'!AJ$18,'User Dashboard'!AN$17,
'User Dashboard'!AN$18)))),
IF('User Dashboard'!Z$12=4,
IF('SIR Model Patient Calcs'!B269&lt;'User Dashboard'!AJ$15,'User Dashboard'!AN$14,
IF('SIR Model Patient Calcs'!B269&lt;'User Dashboard'!AJ$16,'User Dashboard'!AN$15,
IF('SIR Model Patient Calcs'!B269&lt;'User Dashboard'!AJ$17,'User Dashboard'!AN$16,
'User Dashboard'!AN$17))),
IF('User Dashboard'!Z$12=3,
IF('SIR Model Patient Calcs'!B269&lt;'User Dashboard'!AJ$15,'User Dashboard'!AN$14,
IF('SIR Model Patient Calcs'!B269&lt;'User Dashboard'!AJ$16,'User Dashboard'!AN$15,
'User Dashboard'!AN$16)),
IF('User Dashboard'!Z$12=2,
IF('SIR Model Patient Calcs'!B269&lt;'User Dashboard'!AJ$15,'User Dashboard'!AN$14,
'User Dashboard'!AN$15),
IF('User Dashboard'!Z$12=1,
'User Dashboard'!AN$14)))))</f>
        <v>15.209356603107825</v>
      </c>
      <c r="D269" s="747">
        <f>'User Dashboard'!X$15</f>
        <v>2.2072878851804097E-2</v>
      </c>
      <c r="E269" s="739">
        <f t="shared" si="38"/>
        <v>9.1306104687305764E-8</v>
      </c>
      <c r="F269" s="739">
        <f t="shared" si="37"/>
        <v>9.1306104687305778E-8</v>
      </c>
      <c r="G269" s="749">
        <f>1/'User Dashboard'!X$12</f>
        <v>0.14285714285714285</v>
      </c>
      <c r="H269" s="385">
        <f t="shared" si="39"/>
        <v>441172.17580336175</v>
      </c>
      <c r="I269" s="751">
        <f t="shared" si="42"/>
        <v>1.4313197620836132E-2</v>
      </c>
      <c r="J269" s="752">
        <f t="shared" si="40"/>
        <v>3235627.809883439</v>
      </c>
      <c r="K269" s="385">
        <f t="shared" si="43"/>
        <v>3235627.8241966367</v>
      </c>
      <c r="L269" s="752">
        <f t="shared" si="44"/>
        <v>6.4246077090501785E-4</v>
      </c>
    </row>
    <row r="270" spans="1:12" x14ac:dyDescent="0.75">
      <c r="A270" s="309" t="str">
        <f t="shared" si="41"/>
        <v/>
      </c>
      <c r="B270" s="310">
        <v>263</v>
      </c>
      <c r="C270" s="746">
        <f>IF('User Dashboard'!Z$12=5,
IF('SIR Model Patient Calcs'!B270&lt;'User Dashboard'!AJ$15,'User Dashboard'!AN$14,
IF('SIR Model Patient Calcs'!B270&lt;'User Dashboard'!AJ$16,'User Dashboard'!AN$15,
IF('SIR Model Patient Calcs'!B270&lt;'User Dashboard'!AJ$17,'User Dashboard'!AN$16,
IF('SIR Model Patient Calcs'!B270&lt;'User Dashboard'!AJ$18,'User Dashboard'!AN$17,
'User Dashboard'!AN$18)))),
IF('User Dashboard'!Z$12=4,
IF('SIR Model Patient Calcs'!B270&lt;'User Dashboard'!AJ$15,'User Dashboard'!AN$14,
IF('SIR Model Patient Calcs'!B270&lt;'User Dashboard'!AJ$16,'User Dashboard'!AN$15,
IF('SIR Model Patient Calcs'!B270&lt;'User Dashboard'!AJ$17,'User Dashboard'!AN$16,
'User Dashboard'!AN$17))),
IF('User Dashboard'!Z$12=3,
IF('SIR Model Patient Calcs'!B270&lt;'User Dashboard'!AJ$15,'User Dashboard'!AN$14,
IF('SIR Model Patient Calcs'!B270&lt;'User Dashboard'!AJ$16,'User Dashboard'!AN$15,
'User Dashboard'!AN$16)),
IF('User Dashboard'!Z$12=2,
IF('SIR Model Patient Calcs'!B270&lt;'User Dashboard'!AJ$15,'User Dashboard'!AN$14,
'User Dashboard'!AN$15),
IF('User Dashboard'!Z$12=1,
'User Dashboard'!AN$14)))))</f>
        <v>15.209356603107825</v>
      </c>
      <c r="D270" s="747">
        <f>'User Dashboard'!X$15</f>
        <v>2.2072878851804097E-2</v>
      </c>
      <c r="E270" s="739">
        <f t="shared" si="38"/>
        <v>9.1306104687305764E-8</v>
      </c>
      <c r="F270" s="739">
        <f t="shared" si="37"/>
        <v>9.1306104687305778E-8</v>
      </c>
      <c r="G270" s="749">
        <f>1/'User Dashboard'!X$12</f>
        <v>0.14285714285714285</v>
      </c>
      <c r="H270" s="385">
        <f t="shared" si="39"/>
        <v>441172.17522680166</v>
      </c>
      <c r="I270" s="751">
        <f t="shared" si="42"/>
        <v>1.2845015220374007E-2</v>
      </c>
      <c r="J270" s="752">
        <f t="shared" si="40"/>
        <v>3235627.8119281814</v>
      </c>
      <c r="K270" s="385">
        <f t="shared" si="43"/>
        <v>3235627.8247731966</v>
      </c>
      <c r="L270" s="752">
        <f t="shared" si="44"/>
        <v>5.7655991986393929E-4</v>
      </c>
    </row>
    <row r="271" spans="1:12" x14ac:dyDescent="0.75">
      <c r="A271" s="309" t="str">
        <f t="shared" si="41"/>
        <v/>
      </c>
      <c r="B271" s="310">
        <v>264</v>
      </c>
      <c r="C271" s="746">
        <f>IF('User Dashboard'!Z$12=5,
IF('SIR Model Patient Calcs'!B271&lt;'User Dashboard'!AJ$15,'User Dashboard'!AN$14,
IF('SIR Model Patient Calcs'!B271&lt;'User Dashboard'!AJ$16,'User Dashboard'!AN$15,
IF('SIR Model Patient Calcs'!B271&lt;'User Dashboard'!AJ$17,'User Dashboard'!AN$16,
IF('SIR Model Patient Calcs'!B271&lt;'User Dashboard'!AJ$18,'User Dashboard'!AN$17,
'User Dashboard'!AN$18)))),
IF('User Dashboard'!Z$12=4,
IF('SIR Model Patient Calcs'!B271&lt;'User Dashboard'!AJ$15,'User Dashboard'!AN$14,
IF('SIR Model Patient Calcs'!B271&lt;'User Dashboard'!AJ$16,'User Dashboard'!AN$15,
IF('SIR Model Patient Calcs'!B271&lt;'User Dashboard'!AJ$17,'User Dashboard'!AN$16,
'User Dashboard'!AN$17))),
IF('User Dashboard'!Z$12=3,
IF('SIR Model Patient Calcs'!B271&lt;'User Dashboard'!AJ$15,'User Dashboard'!AN$14,
IF('SIR Model Patient Calcs'!B271&lt;'User Dashboard'!AJ$16,'User Dashboard'!AN$15,
'User Dashboard'!AN$16)),
IF('User Dashboard'!Z$12=2,
IF('SIR Model Patient Calcs'!B271&lt;'User Dashboard'!AJ$15,'User Dashboard'!AN$14,
'User Dashboard'!AN$15),
IF('User Dashboard'!Z$12=1,
'User Dashboard'!AN$14)))))</f>
        <v>15.209356603107825</v>
      </c>
      <c r="D271" s="747">
        <f>'User Dashboard'!X$15</f>
        <v>2.2072878851804097E-2</v>
      </c>
      <c r="E271" s="739">
        <f t="shared" si="38"/>
        <v>9.1306104687305764E-8</v>
      </c>
      <c r="F271" s="739">
        <f t="shared" si="37"/>
        <v>9.1306104687305778E-8</v>
      </c>
      <c r="G271" s="749">
        <f>1/'User Dashboard'!X$12</f>
        <v>0.14285714285714285</v>
      </c>
      <c r="H271" s="385">
        <f t="shared" si="39"/>
        <v>441172.17470938247</v>
      </c>
      <c r="I271" s="751">
        <f t="shared" si="42"/>
        <v>1.1527432260264061E-2</v>
      </c>
      <c r="J271" s="752">
        <f t="shared" si="40"/>
        <v>3235627.8137631835</v>
      </c>
      <c r="K271" s="385">
        <f t="shared" si="43"/>
        <v>3235627.8252906157</v>
      </c>
      <c r="L271" s="752">
        <f t="shared" si="44"/>
        <v>5.1741907373070717E-4</v>
      </c>
    </row>
    <row r="272" spans="1:12" x14ac:dyDescent="0.75">
      <c r="A272" s="309" t="str">
        <f t="shared" si="41"/>
        <v/>
      </c>
      <c r="B272" s="310">
        <v>265</v>
      </c>
      <c r="C272" s="746">
        <f>IF('User Dashboard'!Z$12=5,
IF('SIR Model Patient Calcs'!B272&lt;'User Dashboard'!AJ$15,'User Dashboard'!AN$14,
IF('SIR Model Patient Calcs'!B272&lt;'User Dashboard'!AJ$16,'User Dashboard'!AN$15,
IF('SIR Model Patient Calcs'!B272&lt;'User Dashboard'!AJ$17,'User Dashboard'!AN$16,
IF('SIR Model Patient Calcs'!B272&lt;'User Dashboard'!AJ$18,'User Dashboard'!AN$17,
'User Dashboard'!AN$18)))),
IF('User Dashboard'!Z$12=4,
IF('SIR Model Patient Calcs'!B272&lt;'User Dashboard'!AJ$15,'User Dashboard'!AN$14,
IF('SIR Model Patient Calcs'!B272&lt;'User Dashboard'!AJ$16,'User Dashboard'!AN$15,
IF('SIR Model Patient Calcs'!B272&lt;'User Dashboard'!AJ$17,'User Dashboard'!AN$16,
'User Dashboard'!AN$17))),
IF('User Dashboard'!Z$12=3,
IF('SIR Model Patient Calcs'!B272&lt;'User Dashboard'!AJ$15,'User Dashboard'!AN$14,
IF('SIR Model Patient Calcs'!B272&lt;'User Dashboard'!AJ$16,'User Dashboard'!AN$15,
'User Dashboard'!AN$16)),
IF('User Dashboard'!Z$12=2,
IF('SIR Model Patient Calcs'!B272&lt;'User Dashboard'!AJ$15,'User Dashboard'!AN$14,
'User Dashboard'!AN$15),
IF('User Dashboard'!Z$12=1,
'User Dashboard'!AN$14)))))</f>
        <v>15.209356603107825</v>
      </c>
      <c r="D272" s="747">
        <f>'User Dashboard'!X$15</f>
        <v>2.2072878851804097E-2</v>
      </c>
      <c r="E272" s="739">
        <f t="shared" si="38"/>
        <v>9.1306104687305764E-8</v>
      </c>
      <c r="F272" s="739">
        <f t="shared" ref="F272:F335" si="45">AVERAGE(E263:E272)</f>
        <v>9.1306104687305778E-8</v>
      </c>
      <c r="G272" s="749">
        <f>1/'User Dashboard'!X$12</f>
        <v>0.14285714285714285</v>
      </c>
      <c r="H272" s="385">
        <f t="shared" si="39"/>
        <v>441172.17424503778</v>
      </c>
      <c r="I272" s="751">
        <f t="shared" si="42"/>
        <v>1.034500093835717E-2</v>
      </c>
      <c r="J272" s="752">
        <f t="shared" si="40"/>
        <v>3235627.8154099598</v>
      </c>
      <c r="K272" s="385">
        <f t="shared" si="43"/>
        <v>3235627.8257549605</v>
      </c>
      <c r="L272" s="752">
        <f t="shared" si="44"/>
        <v>4.6434486284852028E-4</v>
      </c>
    </row>
    <row r="273" spans="1:12" x14ac:dyDescent="0.75">
      <c r="A273" s="309" t="str">
        <f t="shared" si="41"/>
        <v/>
      </c>
      <c r="B273" s="310">
        <v>266</v>
      </c>
      <c r="C273" s="746">
        <f>IF('User Dashboard'!Z$12=5,
IF('SIR Model Patient Calcs'!B273&lt;'User Dashboard'!AJ$15,'User Dashboard'!AN$14,
IF('SIR Model Patient Calcs'!B273&lt;'User Dashboard'!AJ$16,'User Dashboard'!AN$15,
IF('SIR Model Patient Calcs'!B273&lt;'User Dashboard'!AJ$17,'User Dashboard'!AN$16,
IF('SIR Model Patient Calcs'!B273&lt;'User Dashboard'!AJ$18,'User Dashboard'!AN$17,
'User Dashboard'!AN$18)))),
IF('User Dashboard'!Z$12=4,
IF('SIR Model Patient Calcs'!B273&lt;'User Dashboard'!AJ$15,'User Dashboard'!AN$14,
IF('SIR Model Patient Calcs'!B273&lt;'User Dashboard'!AJ$16,'User Dashboard'!AN$15,
IF('SIR Model Patient Calcs'!B273&lt;'User Dashboard'!AJ$17,'User Dashboard'!AN$16,
'User Dashboard'!AN$17))),
IF('User Dashboard'!Z$12=3,
IF('SIR Model Patient Calcs'!B273&lt;'User Dashboard'!AJ$15,'User Dashboard'!AN$14,
IF('SIR Model Patient Calcs'!B273&lt;'User Dashboard'!AJ$16,'User Dashboard'!AN$15,
'User Dashboard'!AN$16)),
IF('User Dashboard'!Z$12=2,
IF('SIR Model Patient Calcs'!B273&lt;'User Dashboard'!AJ$15,'User Dashboard'!AN$14,
'User Dashboard'!AN$15),
IF('User Dashboard'!Z$12=1,
'User Dashboard'!AN$14)))))</f>
        <v>15.209356603107825</v>
      </c>
      <c r="D273" s="747">
        <f>'User Dashboard'!X$15</f>
        <v>2.2072878851804097E-2</v>
      </c>
      <c r="E273" s="739">
        <f t="shared" si="38"/>
        <v>9.1306104687305764E-8</v>
      </c>
      <c r="F273" s="739">
        <f t="shared" si="45"/>
        <v>9.1306104687305778E-8</v>
      </c>
      <c r="G273" s="749">
        <f>1/'User Dashboard'!X$12</f>
        <v>0.14285714285714285</v>
      </c>
      <c r="H273" s="385">
        <f t="shared" si="39"/>
        <v>441172.17382832343</v>
      </c>
      <c r="I273" s="751">
        <f t="shared" si="42"/>
        <v>9.2838580174058015E-3</v>
      </c>
      <c r="J273" s="752">
        <f t="shared" si="40"/>
        <v>3235627.8168878169</v>
      </c>
      <c r="K273" s="385">
        <f t="shared" si="43"/>
        <v>3235627.8261716748</v>
      </c>
      <c r="L273" s="752">
        <f t="shared" si="44"/>
        <v>4.1671423241496086E-4</v>
      </c>
    </row>
    <row r="274" spans="1:12" x14ac:dyDescent="0.75">
      <c r="A274" s="309" t="str">
        <f t="shared" si="41"/>
        <v/>
      </c>
      <c r="B274" s="310">
        <v>267</v>
      </c>
      <c r="C274" s="746">
        <f>IF('User Dashboard'!Z$12=5,
IF('SIR Model Patient Calcs'!B274&lt;'User Dashboard'!AJ$15,'User Dashboard'!AN$14,
IF('SIR Model Patient Calcs'!B274&lt;'User Dashboard'!AJ$16,'User Dashboard'!AN$15,
IF('SIR Model Patient Calcs'!B274&lt;'User Dashboard'!AJ$17,'User Dashboard'!AN$16,
IF('SIR Model Patient Calcs'!B274&lt;'User Dashboard'!AJ$18,'User Dashboard'!AN$17,
'User Dashboard'!AN$18)))),
IF('User Dashboard'!Z$12=4,
IF('SIR Model Patient Calcs'!B274&lt;'User Dashboard'!AJ$15,'User Dashboard'!AN$14,
IF('SIR Model Patient Calcs'!B274&lt;'User Dashboard'!AJ$16,'User Dashboard'!AN$15,
IF('SIR Model Patient Calcs'!B274&lt;'User Dashboard'!AJ$17,'User Dashboard'!AN$16,
'User Dashboard'!AN$17))),
IF('User Dashboard'!Z$12=3,
IF('SIR Model Patient Calcs'!B274&lt;'User Dashboard'!AJ$15,'User Dashboard'!AN$14,
IF('SIR Model Patient Calcs'!B274&lt;'User Dashboard'!AJ$16,'User Dashboard'!AN$15,
'User Dashboard'!AN$16)),
IF('User Dashboard'!Z$12=2,
IF('SIR Model Patient Calcs'!B274&lt;'User Dashboard'!AJ$15,'User Dashboard'!AN$14,
'User Dashboard'!AN$15),
IF('User Dashboard'!Z$12=1,
'User Dashboard'!AN$14)))))</f>
        <v>15.209356603107825</v>
      </c>
      <c r="D274" s="747">
        <f>'User Dashboard'!X$15</f>
        <v>2.2072878851804097E-2</v>
      </c>
      <c r="E274" s="739">
        <f t="shared" si="38"/>
        <v>9.1306104687305764E-8</v>
      </c>
      <c r="F274" s="739">
        <f t="shared" si="45"/>
        <v>9.1306104687305778E-8</v>
      </c>
      <c r="G274" s="749">
        <f>1/'User Dashboard'!X$12</f>
        <v>0.14285714285714285</v>
      </c>
      <c r="H274" s="385">
        <f t="shared" si="39"/>
        <v>441172.1734543537</v>
      </c>
      <c r="I274" s="751">
        <f t="shared" si="42"/>
        <v>8.3315622876476095E-3</v>
      </c>
      <c r="J274" s="752">
        <f t="shared" si="40"/>
        <v>3235627.8182140822</v>
      </c>
      <c r="K274" s="385">
        <f t="shared" si="43"/>
        <v>3235627.8265456446</v>
      </c>
      <c r="L274" s="752">
        <f t="shared" si="44"/>
        <v>3.7396978586912155E-4</v>
      </c>
    </row>
    <row r="275" spans="1:12" x14ac:dyDescent="0.75">
      <c r="A275" s="309" t="str">
        <f t="shared" si="41"/>
        <v/>
      </c>
      <c r="B275" s="310">
        <v>268</v>
      </c>
      <c r="C275" s="746">
        <f>IF('User Dashboard'!Z$12=5,
IF('SIR Model Patient Calcs'!B275&lt;'User Dashboard'!AJ$15,'User Dashboard'!AN$14,
IF('SIR Model Patient Calcs'!B275&lt;'User Dashboard'!AJ$16,'User Dashboard'!AN$15,
IF('SIR Model Patient Calcs'!B275&lt;'User Dashboard'!AJ$17,'User Dashboard'!AN$16,
IF('SIR Model Patient Calcs'!B275&lt;'User Dashboard'!AJ$18,'User Dashboard'!AN$17,
'User Dashboard'!AN$18)))),
IF('User Dashboard'!Z$12=4,
IF('SIR Model Patient Calcs'!B275&lt;'User Dashboard'!AJ$15,'User Dashboard'!AN$14,
IF('SIR Model Patient Calcs'!B275&lt;'User Dashboard'!AJ$16,'User Dashboard'!AN$15,
IF('SIR Model Patient Calcs'!B275&lt;'User Dashboard'!AJ$17,'User Dashboard'!AN$16,
'User Dashboard'!AN$17))),
IF('User Dashboard'!Z$12=3,
IF('SIR Model Patient Calcs'!B275&lt;'User Dashboard'!AJ$15,'User Dashboard'!AN$14,
IF('SIR Model Patient Calcs'!B275&lt;'User Dashboard'!AJ$16,'User Dashboard'!AN$15,
'User Dashboard'!AN$16)),
IF('User Dashboard'!Z$12=2,
IF('SIR Model Patient Calcs'!B275&lt;'User Dashboard'!AJ$15,'User Dashboard'!AN$14,
'User Dashboard'!AN$15),
IF('User Dashboard'!Z$12=1,
'User Dashboard'!AN$14)))))</f>
        <v>15.209356603107825</v>
      </c>
      <c r="D275" s="747">
        <f>'User Dashboard'!X$15</f>
        <v>2.2072878851804097E-2</v>
      </c>
      <c r="E275" s="739">
        <f t="shared" si="38"/>
        <v>9.1306104687305764E-8</v>
      </c>
      <c r="F275" s="739">
        <f t="shared" si="45"/>
        <v>9.1306104687305778E-8</v>
      </c>
      <c r="G275" s="749">
        <f>1/'User Dashboard'!X$12</f>
        <v>0.14285714285714285</v>
      </c>
      <c r="H275" s="385">
        <f t="shared" si="39"/>
        <v>441172.1731187441</v>
      </c>
      <c r="I275" s="751">
        <f t="shared" si="42"/>
        <v>7.4769487017324523E-3</v>
      </c>
      <c r="J275" s="752">
        <f t="shared" si="40"/>
        <v>3235627.8194043054</v>
      </c>
      <c r="K275" s="385">
        <f t="shared" si="43"/>
        <v>3235627.8268812541</v>
      </c>
      <c r="L275" s="752">
        <f t="shared" si="44"/>
        <v>3.3560954034328461E-4</v>
      </c>
    </row>
    <row r="276" spans="1:12" x14ac:dyDescent="0.75">
      <c r="A276" s="309" t="str">
        <f t="shared" si="41"/>
        <v/>
      </c>
      <c r="B276" s="310">
        <v>269</v>
      </c>
      <c r="C276" s="746">
        <f>IF('User Dashboard'!Z$12=5,
IF('SIR Model Patient Calcs'!B276&lt;'User Dashboard'!AJ$15,'User Dashboard'!AN$14,
IF('SIR Model Patient Calcs'!B276&lt;'User Dashboard'!AJ$16,'User Dashboard'!AN$15,
IF('SIR Model Patient Calcs'!B276&lt;'User Dashboard'!AJ$17,'User Dashboard'!AN$16,
IF('SIR Model Patient Calcs'!B276&lt;'User Dashboard'!AJ$18,'User Dashboard'!AN$17,
'User Dashboard'!AN$18)))),
IF('User Dashboard'!Z$12=4,
IF('SIR Model Patient Calcs'!B276&lt;'User Dashboard'!AJ$15,'User Dashboard'!AN$14,
IF('SIR Model Patient Calcs'!B276&lt;'User Dashboard'!AJ$16,'User Dashboard'!AN$15,
IF('SIR Model Patient Calcs'!B276&lt;'User Dashboard'!AJ$17,'User Dashboard'!AN$16,
'User Dashboard'!AN$17))),
IF('User Dashboard'!Z$12=3,
IF('SIR Model Patient Calcs'!B276&lt;'User Dashboard'!AJ$15,'User Dashboard'!AN$14,
IF('SIR Model Patient Calcs'!B276&lt;'User Dashboard'!AJ$16,'User Dashboard'!AN$15,
'User Dashboard'!AN$16)),
IF('User Dashboard'!Z$12=2,
IF('SIR Model Patient Calcs'!B276&lt;'User Dashboard'!AJ$15,'User Dashboard'!AN$14,
'User Dashboard'!AN$15),
IF('User Dashboard'!Z$12=1,
'User Dashboard'!AN$14)))))</f>
        <v>15.209356603107825</v>
      </c>
      <c r="D276" s="747">
        <f>'User Dashboard'!X$15</f>
        <v>2.2072878851804097E-2</v>
      </c>
      <c r="E276" s="739">
        <f t="shared" si="38"/>
        <v>9.1306104687305764E-8</v>
      </c>
      <c r="F276" s="739">
        <f t="shared" si="45"/>
        <v>9.1306104687305778E-8</v>
      </c>
      <c r="G276" s="749">
        <f>1/'User Dashboard'!X$12</f>
        <v>0.14285714285714285</v>
      </c>
      <c r="H276" s="385">
        <f t="shared" si="39"/>
        <v>441172.1728175598</v>
      </c>
      <c r="I276" s="751">
        <f t="shared" si="42"/>
        <v>6.7099974718204062E-3</v>
      </c>
      <c r="J276" s="752">
        <f t="shared" si="40"/>
        <v>3235627.8204724411</v>
      </c>
      <c r="K276" s="385">
        <f t="shared" si="43"/>
        <v>3235627.8271824387</v>
      </c>
      <c r="L276" s="752">
        <f t="shared" si="44"/>
        <v>3.0118459835648537E-4</v>
      </c>
    </row>
    <row r="277" spans="1:12" x14ac:dyDescent="0.75">
      <c r="A277" s="309" t="str">
        <f t="shared" si="41"/>
        <v/>
      </c>
      <c r="B277" s="310">
        <v>270</v>
      </c>
      <c r="C277" s="746">
        <f>IF('User Dashboard'!Z$12=5,
IF('SIR Model Patient Calcs'!B277&lt;'User Dashboard'!AJ$15,'User Dashboard'!AN$14,
IF('SIR Model Patient Calcs'!B277&lt;'User Dashboard'!AJ$16,'User Dashboard'!AN$15,
IF('SIR Model Patient Calcs'!B277&lt;'User Dashboard'!AJ$17,'User Dashboard'!AN$16,
IF('SIR Model Patient Calcs'!B277&lt;'User Dashboard'!AJ$18,'User Dashboard'!AN$17,
'User Dashboard'!AN$18)))),
IF('User Dashboard'!Z$12=4,
IF('SIR Model Patient Calcs'!B277&lt;'User Dashboard'!AJ$15,'User Dashboard'!AN$14,
IF('SIR Model Patient Calcs'!B277&lt;'User Dashboard'!AJ$16,'User Dashboard'!AN$15,
IF('SIR Model Patient Calcs'!B277&lt;'User Dashboard'!AJ$17,'User Dashboard'!AN$16,
'User Dashboard'!AN$17))),
IF('User Dashboard'!Z$12=3,
IF('SIR Model Patient Calcs'!B277&lt;'User Dashboard'!AJ$15,'User Dashboard'!AN$14,
IF('SIR Model Patient Calcs'!B277&lt;'User Dashboard'!AJ$16,'User Dashboard'!AN$15,
'User Dashboard'!AN$16)),
IF('User Dashboard'!Z$12=2,
IF('SIR Model Patient Calcs'!B277&lt;'User Dashboard'!AJ$15,'User Dashboard'!AN$14,
'User Dashboard'!AN$15),
IF('User Dashboard'!Z$12=1,
'User Dashboard'!AN$14)))))</f>
        <v>15.209356603107825</v>
      </c>
      <c r="D277" s="747">
        <f>'User Dashboard'!X$15</f>
        <v>2.2072878851804097E-2</v>
      </c>
      <c r="E277" s="739">
        <f t="shared" si="38"/>
        <v>9.1306104687305764E-8</v>
      </c>
      <c r="F277" s="739">
        <f t="shared" si="45"/>
        <v>9.1306104687305778E-8</v>
      </c>
      <c r="G277" s="749">
        <f>1/'User Dashboard'!X$12</f>
        <v>0.14285714285714285</v>
      </c>
      <c r="H277" s="385">
        <f t="shared" si="39"/>
        <v>441172.17254726961</v>
      </c>
      <c r="I277" s="751">
        <f t="shared" si="42"/>
        <v>6.0217165940999731E-3</v>
      </c>
      <c r="J277" s="752">
        <f t="shared" si="40"/>
        <v>3235627.8214310124</v>
      </c>
      <c r="K277" s="385">
        <f t="shared" si="43"/>
        <v>3235627.827452729</v>
      </c>
      <c r="L277" s="752">
        <f t="shared" si="44"/>
        <v>2.7029030025005341E-4</v>
      </c>
    </row>
    <row r="278" spans="1:12" x14ac:dyDescent="0.75">
      <c r="A278" s="309" t="str">
        <f t="shared" si="41"/>
        <v/>
      </c>
      <c r="B278" s="310">
        <v>271</v>
      </c>
      <c r="C278" s="746">
        <f>IF('User Dashboard'!Z$12=5,
IF('SIR Model Patient Calcs'!B278&lt;'User Dashboard'!AJ$15,'User Dashboard'!AN$14,
IF('SIR Model Patient Calcs'!B278&lt;'User Dashboard'!AJ$16,'User Dashboard'!AN$15,
IF('SIR Model Patient Calcs'!B278&lt;'User Dashboard'!AJ$17,'User Dashboard'!AN$16,
IF('SIR Model Patient Calcs'!B278&lt;'User Dashboard'!AJ$18,'User Dashboard'!AN$17,
'User Dashboard'!AN$18)))),
IF('User Dashboard'!Z$12=4,
IF('SIR Model Patient Calcs'!B278&lt;'User Dashboard'!AJ$15,'User Dashboard'!AN$14,
IF('SIR Model Patient Calcs'!B278&lt;'User Dashboard'!AJ$16,'User Dashboard'!AN$15,
IF('SIR Model Patient Calcs'!B278&lt;'User Dashboard'!AJ$17,'User Dashboard'!AN$16,
'User Dashboard'!AN$17))),
IF('User Dashboard'!Z$12=3,
IF('SIR Model Patient Calcs'!B278&lt;'User Dashboard'!AJ$15,'User Dashboard'!AN$14,
IF('SIR Model Patient Calcs'!B278&lt;'User Dashboard'!AJ$16,'User Dashboard'!AN$15,
'User Dashboard'!AN$16)),
IF('User Dashboard'!Z$12=2,
IF('SIR Model Patient Calcs'!B278&lt;'User Dashboard'!AJ$15,'User Dashboard'!AN$14,
'User Dashboard'!AN$15),
IF('User Dashboard'!Z$12=1,
'User Dashboard'!AN$14)))))</f>
        <v>15.209356603107825</v>
      </c>
      <c r="D278" s="747">
        <f>'User Dashboard'!X$15</f>
        <v>2.2072878851804097E-2</v>
      </c>
      <c r="E278" s="739">
        <f t="shared" si="38"/>
        <v>9.1306104687305764E-8</v>
      </c>
      <c r="F278" s="739">
        <f t="shared" si="45"/>
        <v>9.1306104687305778E-8</v>
      </c>
      <c r="G278" s="749">
        <f>1/'User Dashboard'!X$12</f>
        <v>0.14285714285714285</v>
      </c>
      <c r="H278" s="385">
        <f t="shared" si="39"/>
        <v>441172.17230470455</v>
      </c>
      <c r="I278" s="751">
        <f t="shared" si="42"/>
        <v>5.4040364234033402E-3</v>
      </c>
      <c r="J278" s="752">
        <f t="shared" si="40"/>
        <v>3235627.8222912578</v>
      </c>
      <c r="K278" s="385">
        <f t="shared" si="43"/>
        <v>3235627.8276952943</v>
      </c>
      <c r="L278" s="752">
        <f t="shared" si="44"/>
        <v>2.4256529286503792E-4</v>
      </c>
    </row>
    <row r="279" spans="1:12" x14ac:dyDescent="0.75">
      <c r="A279" s="309" t="str">
        <f t="shared" si="41"/>
        <v/>
      </c>
      <c r="B279" s="310">
        <v>272</v>
      </c>
      <c r="C279" s="746">
        <f>IF('User Dashboard'!Z$12=5,
IF('SIR Model Patient Calcs'!B279&lt;'User Dashboard'!AJ$15,'User Dashboard'!AN$14,
IF('SIR Model Patient Calcs'!B279&lt;'User Dashboard'!AJ$16,'User Dashboard'!AN$15,
IF('SIR Model Patient Calcs'!B279&lt;'User Dashboard'!AJ$17,'User Dashboard'!AN$16,
IF('SIR Model Patient Calcs'!B279&lt;'User Dashboard'!AJ$18,'User Dashboard'!AN$17,
'User Dashboard'!AN$18)))),
IF('User Dashboard'!Z$12=4,
IF('SIR Model Patient Calcs'!B279&lt;'User Dashboard'!AJ$15,'User Dashboard'!AN$14,
IF('SIR Model Patient Calcs'!B279&lt;'User Dashboard'!AJ$16,'User Dashboard'!AN$15,
IF('SIR Model Patient Calcs'!B279&lt;'User Dashboard'!AJ$17,'User Dashboard'!AN$16,
'User Dashboard'!AN$17))),
IF('User Dashboard'!Z$12=3,
IF('SIR Model Patient Calcs'!B279&lt;'User Dashboard'!AJ$15,'User Dashboard'!AN$14,
IF('SIR Model Patient Calcs'!B279&lt;'User Dashboard'!AJ$16,'User Dashboard'!AN$15,
'User Dashboard'!AN$16)),
IF('User Dashboard'!Z$12=2,
IF('SIR Model Patient Calcs'!B279&lt;'User Dashboard'!AJ$15,'User Dashboard'!AN$14,
'User Dashboard'!AN$15),
IF('User Dashboard'!Z$12=1,
'User Dashboard'!AN$14)))))</f>
        <v>15.209356603107825</v>
      </c>
      <c r="D279" s="747">
        <f>'User Dashboard'!X$15</f>
        <v>2.2072878851804097E-2</v>
      </c>
      <c r="E279" s="739">
        <f t="shared" si="38"/>
        <v>9.1306104687305751E-8</v>
      </c>
      <c r="F279" s="739">
        <f t="shared" si="45"/>
        <v>9.1306104687305764E-8</v>
      </c>
      <c r="G279" s="749">
        <f>1/'User Dashboard'!X$12</f>
        <v>0.14285714285714285</v>
      </c>
      <c r="H279" s="385">
        <f t="shared" si="39"/>
        <v>441172.17208702071</v>
      </c>
      <c r="I279" s="751">
        <f t="shared" si="42"/>
        <v>4.8497150618749965E-3</v>
      </c>
      <c r="J279" s="752">
        <f t="shared" si="40"/>
        <v>3235627.8230632632</v>
      </c>
      <c r="K279" s="385">
        <f t="shared" si="43"/>
        <v>3235627.8279129784</v>
      </c>
      <c r="L279" s="752">
        <f t="shared" si="44"/>
        <v>2.1768407896161079E-4</v>
      </c>
    </row>
    <row r="280" spans="1:12" x14ac:dyDescent="0.75">
      <c r="A280" s="309" t="str">
        <f t="shared" si="41"/>
        <v/>
      </c>
      <c r="B280" s="310">
        <v>273</v>
      </c>
      <c r="C280" s="746">
        <f>IF('User Dashboard'!Z$12=5,
IF('SIR Model Patient Calcs'!B280&lt;'User Dashboard'!AJ$15,'User Dashboard'!AN$14,
IF('SIR Model Patient Calcs'!B280&lt;'User Dashboard'!AJ$16,'User Dashboard'!AN$15,
IF('SIR Model Patient Calcs'!B280&lt;'User Dashboard'!AJ$17,'User Dashboard'!AN$16,
IF('SIR Model Patient Calcs'!B280&lt;'User Dashboard'!AJ$18,'User Dashboard'!AN$17,
'User Dashboard'!AN$18)))),
IF('User Dashboard'!Z$12=4,
IF('SIR Model Patient Calcs'!B280&lt;'User Dashboard'!AJ$15,'User Dashboard'!AN$14,
IF('SIR Model Patient Calcs'!B280&lt;'User Dashboard'!AJ$16,'User Dashboard'!AN$15,
IF('SIR Model Patient Calcs'!B280&lt;'User Dashboard'!AJ$17,'User Dashboard'!AN$16,
'User Dashboard'!AN$17))),
IF('User Dashboard'!Z$12=3,
IF('SIR Model Patient Calcs'!B280&lt;'User Dashboard'!AJ$15,'User Dashboard'!AN$14,
IF('SIR Model Patient Calcs'!B280&lt;'User Dashboard'!AJ$16,'User Dashboard'!AN$15,
'User Dashboard'!AN$16)),
IF('User Dashboard'!Z$12=2,
IF('SIR Model Patient Calcs'!B280&lt;'User Dashboard'!AJ$15,'User Dashboard'!AN$14,
'User Dashboard'!AN$15),
IF('User Dashboard'!Z$12=1,
'User Dashboard'!AN$14)))))</f>
        <v>15.209356603107825</v>
      </c>
      <c r="D280" s="747">
        <f>'User Dashboard'!X$15</f>
        <v>2.2072878851804097E-2</v>
      </c>
      <c r="E280" s="739">
        <f t="shared" si="38"/>
        <v>9.1306104687305751E-8</v>
      </c>
      <c r="F280" s="739">
        <f t="shared" si="45"/>
        <v>9.1306104687305751E-8</v>
      </c>
      <c r="G280" s="749">
        <f>1/'User Dashboard'!X$12</f>
        <v>0.14285714285714285</v>
      </c>
      <c r="H280" s="385">
        <f t="shared" si="39"/>
        <v>441172.1718916659</v>
      </c>
      <c r="I280" s="751">
        <f t="shared" si="42"/>
        <v>4.3522534524377049E-3</v>
      </c>
      <c r="J280" s="752">
        <f t="shared" si="40"/>
        <v>3235627.8237560797</v>
      </c>
      <c r="K280" s="385">
        <f t="shared" si="43"/>
        <v>3235627.8281083331</v>
      </c>
      <c r="L280" s="752">
        <f t="shared" si="44"/>
        <v>1.9535468891263008E-4</v>
      </c>
    </row>
    <row r="281" spans="1:12" x14ac:dyDescent="0.75">
      <c r="A281" s="309" t="str">
        <f t="shared" si="41"/>
        <v/>
      </c>
      <c r="B281" s="310">
        <v>274</v>
      </c>
      <c r="C281" s="746">
        <f>IF('User Dashboard'!Z$12=5,
IF('SIR Model Patient Calcs'!B281&lt;'User Dashboard'!AJ$15,'User Dashboard'!AN$14,
IF('SIR Model Patient Calcs'!B281&lt;'User Dashboard'!AJ$16,'User Dashboard'!AN$15,
IF('SIR Model Patient Calcs'!B281&lt;'User Dashboard'!AJ$17,'User Dashboard'!AN$16,
IF('SIR Model Patient Calcs'!B281&lt;'User Dashboard'!AJ$18,'User Dashboard'!AN$17,
'User Dashboard'!AN$18)))),
IF('User Dashboard'!Z$12=4,
IF('SIR Model Patient Calcs'!B281&lt;'User Dashboard'!AJ$15,'User Dashboard'!AN$14,
IF('SIR Model Patient Calcs'!B281&lt;'User Dashboard'!AJ$16,'User Dashboard'!AN$15,
IF('SIR Model Patient Calcs'!B281&lt;'User Dashboard'!AJ$17,'User Dashboard'!AN$16,
'User Dashboard'!AN$17))),
IF('User Dashboard'!Z$12=3,
IF('SIR Model Patient Calcs'!B281&lt;'User Dashboard'!AJ$15,'User Dashboard'!AN$14,
IF('SIR Model Patient Calcs'!B281&lt;'User Dashboard'!AJ$16,'User Dashboard'!AN$15,
'User Dashboard'!AN$16)),
IF('User Dashboard'!Z$12=2,
IF('SIR Model Patient Calcs'!B281&lt;'User Dashboard'!AJ$15,'User Dashboard'!AN$14,
'User Dashboard'!AN$15),
IF('User Dashboard'!Z$12=1,
'User Dashboard'!AN$14)))))</f>
        <v>15.209356603107825</v>
      </c>
      <c r="D281" s="747">
        <f>'User Dashboard'!X$15</f>
        <v>2.2072878851804097E-2</v>
      </c>
      <c r="E281" s="739">
        <f t="shared" si="38"/>
        <v>9.1306104687305751E-8</v>
      </c>
      <c r="F281" s="739">
        <f t="shared" si="45"/>
        <v>9.1306104687305738E-8</v>
      </c>
      <c r="G281" s="749">
        <f>1/'User Dashboard'!X$12</f>
        <v>0.14285714285714285</v>
      </c>
      <c r="H281" s="385">
        <f t="shared" si="39"/>
        <v>441172.17171634967</v>
      </c>
      <c r="I281" s="751">
        <f t="shared" si="42"/>
        <v>3.9058191815821925E-3</v>
      </c>
      <c r="J281" s="752">
        <f t="shared" si="40"/>
        <v>3235627.8243778301</v>
      </c>
      <c r="K281" s="385">
        <f t="shared" si="43"/>
        <v>3235627.8282836494</v>
      </c>
      <c r="L281" s="752">
        <f t="shared" si="44"/>
        <v>1.7531635239720345E-4</v>
      </c>
    </row>
    <row r="282" spans="1:12" x14ac:dyDescent="0.75">
      <c r="A282" s="309" t="str">
        <f t="shared" si="41"/>
        <v/>
      </c>
      <c r="B282" s="310">
        <v>275</v>
      </c>
      <c r="C282" s="746">
        <f>IF('User Dashboard'!Z$12=5,
IF('SIR Model Patient Calcs'!B282&lt;'User Dashboard'!AJ$15,'User Dashboard'!AN$14,
IF('SIR Model Patient Calcs'!B282&lt;'User Dashboard'!AJ$16,'User Dashboard'!AN$15,
IF('SIR Model Patient Calcs'!B282&lt;'User Dashboard'!AJ$17,'User Dashboard'!AN$16,
IF('SIR Model Patient Calcs'!B282&lt;'User Dashboard'!AJ$18,'User Dashboard'!AN$17,
'User Dashboard'!AN$18)))),
IF('User Dashboard'!Z$12=4,
IF('SIR Model Patient Calcs'!B282&lt;'User Dashboard'!AJ$15,'User Dashboard'!AN$14,
IF('SIR Model Patient Calcs'!B282&lt;'User Dashboard'!AJ$16,'User Dashboard'!AN$15,
IF('SIR Model Patient Calcs'!B282&lt;'User Dashboard'!AJ$17,'User Dashboard'!AN$16,
'User Dashboard'!AN$17))),
IF('User Dashboard'!Z$12=3,
IF('SIR Model Patient Calcs'!B282&lt;'User Dashboard'!AJ$15,'User Dashboard'!AN$14,
IF('SIR Model Patient Calcs'!B282&lt;'User Dashboard'!AJ$16,'User Dashboard'!AN$15,
'User Dashboard'!AN$16)),
IF('User Dashboard'!Z$12=2,
IF('SIR Model Patient Calcs'!B282&lt;'User Dashboard'!AJ$15,'User Dashboard'!AN$14,
'User Dashboard'!AN$15),
IF('User Dashboard'!Z$12=1,
'User Dashboard'!AN$14)))))</f>
        <v>15.209356603107825</v>
      </c>
      <c r="D282" s="747">
        <f>'User Dashboard'!X$15</f>
        <v>2.2072878851804097E-2</v>
      </c>
      <c r="E282" s="739">
        <f t="shared" si="38"/>
        <v>9.1306104687305764E-8</v>
      </c>
      <c r="F282" s="739">
        <f t="shared" si="45"/>
        <v>9.1306104687305751E-8</v>
      </c>
      <c r="G282" s="749">
        <f>1/'User Dashboard'!X$12</f>
        <v>0.14285714285714285</v>
      </c>
      <c r="H282" s="385">
        <f t="shared" si="39"/>
        <v>441172.17155901657</v>
      </c>
      <c r="I282" s="751">
        <f t="shared" si="42"/>
        <v>3.5051780981180418E-3</v>
      </c>
      <c r="J282" s="752">
        <f t="shared" si="40"/>
        <v>3235627.8249358041</v>
      </c>
      <c r="K282" s="385">
        <f t="shared" si="43"/>
        <v>3235627.8284409824</v>
      </c>
      <c r="L282" s="752">
        <f t="shared" si="44"/>
        <v>1.5733297914266586E-4</v>
      </c>
    </row>
    <row r="283" spans="1:12" x14ac:dyDescent="0.75">
      <c r="A283" s="309" t="str">
        <f t="shared" si="41"/>
        <v/>
      </c>
      <c r="B283" s="310">
        <v>276</v>
      </c>
      <c r="C283" s="746">
        <f>IF('User Dashboard'!Z$12=5,
IF('SIR Model Patient Calcs'!B283&lt;'User Dashboard'!AJ$15,'User Dashboard'!AN$14,
IF('SIR Model Patient Calcs'!B283&lt;'User Dashboard'!AJ$16,'User Dashboard'!AN$15,
IF('SIR Model Patient Calcs'!B283&lt;'User Dashboard'!AJ$17,'User Dashboard'!AN$16,
IF('SIR Model Patient Calcs'!B283&lt;'User Dashboard'!AJ$18,'User Dashboard'!AN$17,
'User Dashboard'!AN$18)))),
IF('User Dashboard'!Z$12=4,
IF('SIR Model Patient Calcs'!B283&lt;'User Dashboard'!AJ$15,'User Dashboard'!AN$14,
IF('SIR Model Patient Calcs'!B283&lt;'User Dashboard'!AJ$16,'User Dashboard'!AN$15,
IF('SIR Model Patient Calcs'!B283&lt;'User Dashboard'!AJ$17,'User Dashboard'!AN$16,
'User Dashboard'!AN$17))),
IF('User Dashboard'!Z$12=3,
IF('SIR Model Patient Calcs'!B283&lt;'User Dashboard'!AJ$15,'User Dashboard'!AN$14,
IF('SIR Model Patient Calcs'!B283&lt;'User Dashboard'!AJ$16,'User Dashboard'!AN$15,
'User Dashboard'!AN$16)),
IF('User Dashboard'!Z$12=2,
IF('SIR Model Patient Calcs'!B283&lt;'User Dashboard'!AJ$15,'User Dashboard'!AN$14,
'User Dashboard'!AN$15),
IF('User Dashboard'!Z$12=1,
'User Dashboard'!AN$14)))))</f>
        <v>15.209356603107825</v>
      </c>
      <c r="D283" s="747">
        <f>'User Dashboard'!X$15</f>
        <v>2.2072878851804097E-2</v>
      </c>
      <c r="E283" s="739">
        <f t="shared" si="38"/>
        <v>9.1306104687305764E-8</v>
      </c>
      <c r="F283" s="739">
        <f t="shared" si="45"/>
        <v>9.1306104687305751E-8</v>
      </c>
      <c r="G283" s="749">
        <f>1/'User Dashboard'!X$12</f>
        <v>0.14285714285714285</v>
      </c>
      <c r="H283" s="385">
        <f t="shared" si="39"/>
        <v>441172.17141782201</v>
      </c>
      <c r="I283" s="751">
        <f t="shared" si="42"/>
        <v>3.145632946160284E-3</v>
      </c>
      <c r="J283" s="752">
        <f t="shared" si="40"/>
        <v>3235627.8254365437</v>
      </c>
      <c r="K283" s="385">
        <f t="shared" si="43"/>
        <v>3235627.8285821765</v>
      </c>
      <c r="L283" s="752">
        <f t="shared" si="44"/>
        <v>1.4119409024715424E-4</v>
      </c>
    </row>
    <row r="284" spans="1:12" x14ac:dyDescent="0.75">
      <c r="A284" s="309" t="str">
        <f t="shared" si="41"/>
        <v/>
      </c>
      <c r="B284" s="310">
        <v>277</v>
      </c>
      <c r="C284" s="746">
        <f>IF('User Dashboard'!Z$12=5,
IF('SIR Model Patient Calcs'!B284&lt;'User Dashboard'!AJ$15,'User Dashboard'!AN$14,
IF('SIR Model Patient Calcs'!B284&lt;'User Dashboard'!AJ$16,'User Dashboard'!AN$15,
IF('SIR Model Patient Calcs'!B284&lt;'User Dashboard'!AJ$17,'User Dashboard'!AN$16,
IF('SIR Model Patient Calcs'!B284&lt;'User Dashboard'!AJ$18,'User Dashboard'!AN$17,
'User Dashboard'!AN$18)))),
IF('User Dashboard'!Z$12=4,
IF('SIR Model Patient Calcs'!B284&lt;'User Dashboard'!AJ$15,'User Dashboard'!AN$14,
IF('SIR Model Patient Calcs'!B284&lt;'User Dashboard'!AJ$16,'User Dashboard'!AN$15,
IF('SIR Model Patient Calcs'!B284&lt;'User Dashboard'!AJ$17,'User Dashboard'!AN$16,
'User Dashboard'!AN$17))),
IF('User Dashboard'!Z$12=3,
IF('SIR Model Patient Calcs'!B284&lt;'User Dashboard'!AJ$15,'User Dashboard'!AN$14,
IF('SIR Model Patient Calcs'!B284&lt;'User Dashboard'!AJ$16,'User Dashboard'!AN$15,
'User Dashboard'!AN$16)),
IF('User Dashboard'!Z$12=2,
IF('SIR Model Patient Calcs'!B284&lt;'User Dashboard'!AJ$15,'User Dashboard'!AN$14,
'User Dashboard'!AN$15),
IF('User Dashboard'!Z$12=1,
'User Dashboard'!AN$14)))))</f>
        <v>15.209356603107825</v>
      </c>
      <c r="D284" s="747">
        <f>'User Dashboard'!X$15</f>
        <v>2.2072878851804097E-2</v>
      </c>
      <c r="E284" s="739">
        <f t="shared" si="38"/>
        <v>9.1306104687305764E-8</v>
      </c>
      <c r="F284" s="739">
        <f t="shared" si="45"/>
        <v>9.1306104687305778E-8</v>
      </c>
      <c r="G284" s="749">
        <f>1/'User Dashboard'!X$12</f>
        <v>0.14285714285714285</v>
      </c>
      <c r="H284" s="385">
        <f t="shared" si="39"/>
        <v>441172.17129111051</v>
      </c>
      <c r="I284" s="751">
        <f t="shared" si="42"/>
        <v>2.8229682928635181E-3</v>
      </c>
      <c r="J284" s="752">
        <f t="shared" si="40"/>
        <v>3235627.8258859199</v>
      </c>
      <c r="K284" s="385">
        <f t="shared" si="43"/>
        <v>3235627.828708888</v>
      </c>
      <c r="L284" s="752">
        <f t="shared" si="44"/>
        <v>1.2671155855059624E-4</v>
      </c>
    </row>
    <row r="285" spans="1:12" x14ac:dyDescent="0.75">
      <c r="A285" s="309" t="str">
        <f t="shared" si="41"/>
        <v/>
      </c>
      <c r="B285" s="310">
        <v>278</v>
      </c>
      <c r="C285" s="746">
        <f>IF('User Dashboard'!Z$12=5,
IF('SIR Model Patient Calcs'!B285&lt;'User Dashboard'!AJ$15,'User Dashboard'!AN$14,
IF('SIR Model Patient Calcs'!B285&lt;'User Dashboard'!AJ$16,'User Dashboard'!AN$15,
IF('SIR Model Patient Calcs'!B285&lt;'User Dashboard'!AJ$17,'User Dashboard'!AN$16,
IF('SIR Model Patient Calcs'!B285&lt;'User Dashboard'!AJ$18,'User Dashboard'!AN$17,
'User Dashboard'!AN$18)))),
IF('User Dashboard'!Z$12=4,
IF('SIR Model Patient Calcs'!B285&lt;'User Dashboard'!AJ$15,'User Dashboard'!AN$14,
IF('SIR Model Patient Calcs'!B285&lt;'User Dashboard'!AJ$16,'User Dashboard'!AN$15,
IF('SIR Model Patient Calcs'!B285&lt;'User Dashboard'!AJ$17,'User Dashboard'!AN$16,
'User Dashboard'!AN$17))),
IF('User Dashboard'!Z$12=3,
IF('SIR Model Patient Calcs'!B285&lt;'User Dashboard'!AJ$15,'User Dashboard'!AN$14,
IF('SIR Model Patient Calcs'!B285&lt;'User Dashboard'!AJ$16,'User Dashboard'!AN$15,
'User Dashboard'!AN$16)),
IF('User Dashboard'!Z$12=2,
IF('SIR Model Patient Calcs'!B285&lt;'User Dashboard'!AJ$15,'User Dashboard'!AN$14,
'User Dashboard'!AN$15),
IF('User Dashboard'!Z$12=1,
'User Dashboard'!AN$14)))))</f>
        <v>15.209356603107825</v>
      </c>
      <c r="D285" s="747">
        <f>'User Dashboard'!X$15</f>
        <v>2.2072878851804097E-2</v>
      </c>
      <c r="E285" s="739">
        <f t="shared" si="38"/>
        <v>9.1306104687305764E-8</v>
      </c>
      <c r="F285" s="739">
        <f t="shared" si="45"/>
        <v>9.1306104687305778E-8</v>
      </c>
      <c r="G285" s="749">
        <f>1/'User Dashboard'!X$12</f>
        <v>0.14285714285714285</v>
      </c>
      <c r="H285" s="385">
        <f t="shared" si="39"/>
        <v>441172.17117739649</v>
      </c>
      <c r="I285" s="751">
        <f t="shared" si="42"/>
        <v>2.5334011052171768E-3</v>
      </c>
      <c r="J285" s="752">
        <f t="shared" si="40"/>
        <v>3235627.8262892012</v>
      </c>
      <c r="K285" s="385">
        <f t="shared" si="43"/>
        <v>3235627.8288226021</v>
      </c>
      <c r="L285" s="752">
        <f t="shared" si="44"/>
        <v>1.1371402069926262E-4</v>
      </c>
    </row>
    <row r="286" spans="1:12" x14ac:dyDescent="0.75">
      <c r="A286" s="309" t="str">
        <f t="shared" si="41"/>
        <v/>
      </c>
      <c r="B286" s="310">
        <v>279</v>
      </c>
      <c r="C286" s="746">
        <f>IF('User Dashboard'!Z$12=5,
IF('SIR Model Patient Calcs'!B286&lt;'User Dashboard'!AJ$15,'User Dashboard'!AN$14,
IF('SIR Model Patient Calcs'!B286&lt;'User Dashboard'!AJ$16,'User Dashboard'!AN$15,
IF('SIR Model Patient Calcs'!B286&lt;'User Dashboard'!AJ$17,'User Dashboard'!AN$16,
IF('SIR Model Patient Calcs'!B286&lt;'User Dashboard'!AJ$18,'User Dashboard'!AN$17,
'User Dashboard'!AN$18)))),
IF('User Dashboard'!Z$12=4,
IF('SIR Model Patient Calcs'!B286&lt;'User Dashboard'!AJ$15,'User Dashboard'!AN$14,
IF('SIR Model Patient Calcs'!B286&lt;'User Dashboard'!AJ$16,'User Dashboard'!AN$15,
IF('SIR Model Patient Calcs'!B286&lt;'User Dashboard'!AJ$17,'User Dashboard'!AN$16,
'User Dashboard'!AN$17))),
IF('User Dashboard'!Z$12=3,
IF('SIR Model Patient Calcs'!B286&lt;'User Dashboard'!AJ$15,'User Dashboard'!AN$14,
IF('SIR Model Patient Calcs'!B286&lt;'User Dashboard'!AJ$16,'User Dashboard'!AN$15,
'User Dashboard'!AN$16)),
IF('User Dashboard'!Z$12=2,
IF('SIR Model Patient Calcs'!B286&lt;'User Dashboard'!AJ$15,'User Dashboard'!AN$14,
'User Dashboard'!AN$15),
IF('User Dashboard'!Z$12=1,
'User Dashboard'!AN$14)))))</f>
        <v>15.209356603107825</v>
      </c>
      <c r="D286" s="747">
        <f>'User Dashboard'!X$15</f>
        <v>2.2072878851804097E-2</v>
      </c>
      <c r="E286" s="739">
        <f t="shared" si="38"/>
        <v>9.1306104687305764E-8</v>
      </c>
      <c r="F286" s="739">
        <f t="shared" si="45"/>
        <v>9.1306104687305778E-8</v>
      </c>
      <c r="G286" s="749">
        <f>1/'User Dashboard'!X$12</f>
        <v>0.14285714285714285</v>
      </c>
      <c r="H286" s="385">
        <f t="shared" si="39"/>
        <v>441172.17107534676</v>
      </c>
      <c r="I286" s="751">
        <f t="shared" si="42"/>
        <v>2.2735363964471048E-3</v>
      </c>
      <c r="J286" s="752">
        <f t="shared" si="40"/>
        <v>3235627.8266511154</v>
      </c>
      <c r="K286" s="385">
        <f t="shared" si="43"/>
        <v>3235627.8289246517</v>
      </c>
      <c r="L286" s="752">
        <f t="shared" si="44"/>
        <v>1.0204967111349106E-4</v>
      </c>
    </row>
    <row r="287" spans="1:12" x14ac:dyDescent="0.75">
      <c r="A287" s="309" t="str">
        <f t="shared" si="41"/>
        <v/>
      </c>
      <c r="B287" s="310">
        <v>280</v>
      </c>
      <c r="C287" s="746">
        <f>IF('User Dashboard'!Z$12=5,
IF('SIR Model Patient Calcs'!B287&lt;'User Dashboard'!AJ$15,'User Dashboard'!AN$14,
IF('SIR Model Patient Calcs'!B287&lt;'User Dashboard'!AJ$16,'User Dashboard'!AN$15,
IF('SIR Model Patient Calcs'!B287&lt;'User Dashboard'!AJ$17,'User Dashboard'!AN$16,
IF('SIR Model Patient Calcs'!B287&lt;'User Dashboard'!AJ$18,'User Dashboard'!AN$17,
'User Dashboard'!AN$18)))),
IF('User Dashboard'!Z$12=4,
IF('SIR Model Patient Calcs'!B287&lt;'User Dashboard'!AJ$15,'User Dashboard'!AN$14,
IF('SIR Model Patient Calcs'!B287&lt;'User Dashboard'!AJ$16,'User Dashboard'!AN$15,
IF('SIR Model Patient Calcs'!B287&lt;'User Dashboard'!AJ$17,'User Dashboard'!AN$16,
'User Dashboard'!AN$17))),
IF('User Dashboard'!Z$12=3,
IF('SIR Model Patient Calcs'!B287&lt;'User Dashboard'!AJ$15,'User Dashboard'!AN$14,
IF('SIR Model Patient Calcs'!B287&lt;'User Dashboard'!AJ$16,'User Dashboard'!AN$15,
'User Dashboard'!AN$16)),
IF('User Dashboard'!Z$12=2,
IF('SIR Model Patient Calcs'!B287&lt;'User Dashboard'!AJ$15,'User Dashboard'!AN$14,
'User Dashboard'!AN$15),
IF('User Dashboard'!Z$12=1,
'User Dashboard'!AN$14)))))</f>
        <v>15.209356603107825</v>
      </c>
      <c r="D287" s="747">
        <f>'User Dashboard'!X$15</f>
        <v>2.2072878851804097E-2</v>
      </c>
      <c r="E287" s="739">
        <f t="shared" si="38"/>
        <v>9.1306104687305764E-8</v>
      </c>
      <c r="F287" s="739">
        <f t="shared" si="45"/>
        <v>9.1306104687305778E-8</v>
      </c>
      <c r="G287" s="749">
        <f>1/'User Dashboard'!X$12</f>
        <v>0.14285714285714285</v>
      </c>
      <c r="H287" s="385">
        <f t="shared" si="39"/>
        <v>441172.17098376481</v>
      </c>
      <c r="I287" s="751">
        <f t="shared" si="42"/>
        <v>2.0403274220064365E-3</v>
      </c>
      <c r="J287" s="752">
        <f t="shared" si="40"/>
        <v>3235627.8269759063</v>
      </c>
      <c r="K287" s="385">
        <f t="shared" si="43"/>
        <v>3235627.8290162338</v>
      </c>
      <c r="L287" s="752">
        <f t="shared" si="44"/>
        <v>9.1582071036100388E-5</v>
      </c>
    </row>
    <row r="288" spans="1:12" x14ac:dyDescent="0.75">
      <c r="A288" s="309" t="str">
        <f t="shared" si="41"/>
        <v/>
      </c>
      <c r="B288" s="310">
        <v>281</v>
      </c>
      <c r="C288" s="746">
        <f>IF('User Dashboard'!Z$12=5,
IF('SIR Model Patient Calcs'!B288&lt;'User Dashboard'!AJ$15,'User Dashboard'!AN$14,
IF('SIR Model Patient Calcs'!B288&lt;'User Dashboard'!AJ$16,'User Dashboard'!AN$15,
IF('SIR Model Patient Calcs'!B288&lt;'User Dashboard'!AJ$17,'User Dashboard'!AN$16,
IF('SIR Model Patient Calcs'!B288&lt;'User Dashboard'!AJ$18,'User Dashboard'!AN$17,
'User Dashboard'!AN$18)))),
IF('User Dashboard'!Z$12=4,
IF('SIR Model Patient Calcs'!B288&lt;'User Dashboard'!AJ$15,'User Dashboard'!AN$14,
IF('SIR Model Patient Calcs'!B288&lt;'User Dashboard'!AJ$16,'User Dashboard'!AN$15,
IF('SIR Model Patient Calcs'!B288&lt;'User Dashboard'!AJ$17,'User Dashboard'!AN$16,
'User Dashboard'!AN$17))),
IF('User Dashboard'!Z$12=3,
IF('SIR Model Patient Calcs'!B288&lt;'User Dashboard'!AJ$15,'User Dashboard'!AN$14,
IF('SIR Model Patient Calcs'!B288&lt;'User Dashboard'!AJ$16,'User Dashboard'!AN$15,
'User Dashboard'!AN$16)),
IF('User Dashboard'!Z$12=2,
IF('SIR Model Patient Calcs'!B288&lt;'User Dashboard'!AJ$15,'User Dashboard'!AN$14,
'User Dashboard'!AN$15),
IF('User Dashboard'!Z$12=1,
'User Dashboard'!AN$14)))))</f>
        <v>15.209356603107825</v>
      </c>
      <c r="D288" s="747">
        <f>'User Dashboard'!X$15</f>
        <v>2.2072878851804097E-2</v>
      </c>
      <c r="E288" s="739">
        <f t="shared" si="38"/>
        <v>9.1306104687305764E-8</v>
      </c>
      <c r="F288" s="739">
        <f t="shared" si="45"/>
        <v>9.1306104687305778E-8</v>
      </c>
      <c r="G288" s="749">
        <f>1/'User Dashboard'!X$12</f>
        <v>0.14285714285714285</v>
      </c>
      <c r="H288" s="385">
        <f t="shared" si="39"/>
        <v>441172.17090157693</v>
      </c>
      <c r="I288" s="751">
        <f t="shared" si="42"/>
        <v>1.8310399584797212E-3</v>
      </c>
      <c r="J288" s="752">
        <f t="shared" si="40"/>
        <v>3235627.8272673818</v>
      </c>
      <c r="K288" s="385">
        <f t="shared" si="43"/>
        <v>3235627.8290984216</v>
      </c>
      <c r="L288" s="752">
        <f t="shared" si="44"/>
        <v>8.2187820225954056E-5</v>
      </c>
    </row>
    <row r="289" spans="1:12" x14ac:dyDescent="0.75">
      <c r="A289" s="309" t="str">
        <f t="shared" si="41"/>
        <v/>
      </c>
      <c r="B289" s="310">
        <v>282</v>
      </c>
      <c r="C289" s="746">
        <f>IF('User Dashboard'!Z$12=5,
IF('SIR Model Patient Calcs'!B289&lt;'User Dashboard'!AJ$15,'User Dashboard'!AN$14,
IF('SIR Model Patient Calcs'!B289&lt;'User Dashboard'!AJ$16,'User Dashboard'!AN$15,
IF('SIR Model Patient Calcs'!B289&lt;'User Dashboard'!AJ$17,'User Dashboard'!AN$16,
IF('SIR Model Patient Calcs'!B289&lt;'User Dashboard'!AJ$18,'User Dashboard'!AN$17,
'User Dashboard'!AN$18)))),
IF('User Dashboard'!Z$12=4,
IF('SIR Model Patient Calcs'!B289&lt;'User Dashboard'!AJ$15,'User Dashboard'!AN$14,
IF('SIR Model Patient Calcs'!B289&lt;'User Dashboard'!AJ$16,'User Dashboard'!AN$15,
IF('SIR Model Patient Calcs'!B289&lt;'User Dashboard'!AJ$17,'User Dashboard'!AN$16,
'User Dashboard'!AN$17))),
IF('User Dashboard'!Z$12=3,
IF('SIR Model Patient Calcs'!B289&lt;'User Dashboard'!AJ$15,'User Dashboard'!AN$14,
IF('SIR Model Patient Calcs'!B289&lt;'User Dashboard'!AJ$16,'User Dashboard'!AN$15,
'User Dashboard'!AN$16)),
IF('User Dashboard'!Z$12=2,
IF('SIR Model Patient Calcs'!B289&lt;'User Dashboard'!AJ$15,'User Dashboard'!AN$14,
'User Dashboard'!AN$15),
IF('User Dashboard'!Z$12=1,
'User Dashboard'!AN$14)))))</f>
        <v>15.209356603107825</v>
      </c>
      <c r="D289" s="747">
        <f>'User Dashboard'!X$15</f>
        <v>2.2072878851804097E-2</v>
      </c>
      <c r="E289" s="739">
        <f t="shared" si="38"/>
        <v>9.1306104687305751E-8</v>
      </c>
      <c r="F289" s="739">
        <f t="shared" si="45"/>
        <v>9.1306104687305764E-8</v>
      </c>
      <c r="G289" s="749">
        <f>1/'User Dashboard'!X$12</f>
        <v>0.14285714285714285</v>
      </c>
      <c r="H289" s="385">
        <f t="shared" si="39"/>
        <v>441172.1708278195</v>
      </c>
      <c r="I289" s="751">
        <f t="shared" si="42"/>
        <v>1.6432202465937386E-3</v>
      </c>
      <c r="J289" s="752">
        <f t="shared" si="40"/>
        <v>3235627.8275289591</v>
      </c>
      <c r="K289" s="385">
        <f t="shared" si="43"/>
        <v>3235627.8291721796</v>
      </c>
      <c r="L289" s="752">
        <f t="shared" si="44"/>
        <v>7.3757953941822052E-5</v>
      </c>
    </row>
    <row r="290" spans="1:12" x14ac:dyDescent="0.75">
      <c r="A290" s="309" t="str">
        <f t="shared" si="41"/>
        <v/>
      </c>
      <c r="B290" s="310">
        <v>283</v>
      </c>
      <c r="C290" s="746">
        <f>IF('User Dashboard'!Z$12=5,
IF('SIR Model Patient Calcs'!B290&lt;'User Dashboard'!AJ$15,'User Dashboard'!AN$14,
IF('SIR Model Patient Calcs'!B290&lt;'User Dashboard'!AJ$16,'User Dashboard'!AN$15,
IF('SIR Model Patient Calcs'!B290&lt;'User Dashboard'!AJ$17,'User Dashboard'!AN$16,
IF('SIR Model Patient Calcs'!B290&lt;'User Dashboard'!AJ$18,'User Dashboard'!AN$17,
'User Dashboard'!AN$18)))),
IF('User Dashboard'!Z$12=4,
IF('SIR Model Patient Calcs'!B290&lt;'User Dashboard'!AJ$15,'User Dashboard'!AN$14,
IF('SIR Model Patient Calcs'!B290&lt;'User Dashboard'!AJ$16,'User Dashboard'!AN$15,
IF('SIR Model Patient Calcs'!B290&lt;'User Dashboard'!AJ$17,'User Dashboard'!AN$16,
'User Dashboard'!AN$17))),
IF('User Dashboard'!Z$12=3,
IF('SIR Model Patient Calcs'!B290&lt;'User Dashboard'!AJ$15,'User Dashboard'!AN$14,
IF('SIR Model Patient Calcs'!B290&lt;'User Dashboard'!AJ$16,'User Dashboard'!AN$15,
'User Dashboard'!AN$16)),
IF('User Dashboard'!Z$12=2,
IF('SIR Model Patient Calcs'!B290&lt;'User Dashboard'!AJ$15,'User Dashboard'!AN$14,
'User Dashboard'!AN$15),
IF('User Dashboard'!Z$12=1,
'User Dashboard'!AN$14)))))</f>
        <v>15.209356603107825</v>
      </c>
      <c r="D290" s="747">
        <f>'User Dashboard'!X$15</f>
        <v>2.2072878851804097E-2</v>
      </c>
      <c r="E290" s="739">
        <f t="shared" si="38"/>
        <v>9.1306104687305751E-8</v>
      </c>
      <c r="F290" s="739">
        <f t="shared" si="45"/>
        <v>9.1306104687305751E-8</v>
      </c>
      <c r="G290" s="749">
        <f>1/'User Dashboard'!X$12</f>
        <v>0.14285714285714285</v>
      </c>
      <c r="H290" s="385">
        <f t="shared" si="39"/>
        <v>441172.17076162779</v>
      </c>
      <c r="I290" s="751">
        <f t="shared" si="42"/>
        <v>1.4746662224876994E-3</v>
      </c>
      <c r="J290" s="752">
        <f t="shared" si="40"/>
        <v>3235627.827763705</v>
      </c>
      <c r="K290" s="385">
        <f t="shared" si="43"/>
        <v>3235627.8292383715</v>
      </c>
      <c r="L290" s="752">
        <f t="shared" si="44"/>
        <v>6.6191889345645905E-5</v>
      </c>
    </row>
    <row r="291" spans="1:12" x14ac:dyDescent="0.75">
      <c r="A291" s="309" t="str">
        <f t="shared" si="41"/>
        <v/>
      </c>
      <c r="B291" s="310">
        <v>284</v>
      </c>
      <c r="C291" s="746">
        <f>IF('User Dashboard'!Z$12=5,
IF('SIR Model Patient Calcs'!B291&lt;'User Dashboard'!AJ$15,'User Dashboard'!AN$14,
IF('SIR Model Patient Calcs'!B291&lt;'User Dashboard'!AJ$16,'User Dashboard'!AN$15,
IF('SIR Model Patient Calcs'!B291&lt;'User Dashboard'!AJ$17,'User Dashboard'!AN$16,
IF('SIR Model Patient Calcs'!B291&lt;'User Dashboard'!AJ$18,'User Dashboard'!AN$17,
'User Dashboard'!AN$18)))),
IF('User Dashboard'!Z$12=4,
IF('SIR Model Patient Calcs'!B291&lt;'User Dashboard'!AJ$15,'User Dashboard'!AN$14,
IF('SIR Model Patient Calcs'!B291&lt;'User Dashboard'!AJ$16,'User Dashboard'!AN$15,
IF('SIR Model Patient Calcs'!B291&lt;'User Dashboard'!AJ$17,'User Dashboard'!AN$16,
'User Dashboard'!AN$17))),
IF('User Dashboard'!Z$12=3,
IF('SIR Model Patient Calcs'!B291&lt;'User Dashboard'!AJ$15,'User Dashboard'!AN$14,
IF('SIR Model Patient Calcs'!B291&lt;'User Dashboard'!AJ$16,'User Dashboard'!AN$15,
'User Dashboard'!AN$16)),
IF('User Dashboard'!Z$12=2,
IF('SIR Model Patient Calcs'!B291&lt;'User Dashboard'!AJ$15,'User Dashboard'!AN$14,
'User Dashboard'!AN$15),
IF('User Dashboard'!Z$12=1,
'User Dashboard'!AN$14)))))</f>
        <v>15.209356603107825</v>
      </c>
      <c r="D291" s="747">
        <f>'User Dashboard'!X$15</f>
        <v>2.2072878851804097E-2</v>
      </c>
      <c r="E291" s="739">
        <f t="shared" si="38"/>
        <v>9.1306104687305751E-8</v>
      </c>
      <c r="F291" s="739">
        <f t="shared" si="45"/>
        <v>9.1306104687305738E-8</v>
      </c>
      <c r="G291" s="749">
        <f>1/'User Dashboard'!X$12</f>
        <v>0.14285714285714285</v>
      </c>
      <c r="H291" s="385">
        <f t="shared" si="39"/>
        <v>441172.1707022257</v>
      </c>
      <c r="I291" s="751">
        <f t="shared" si="42"/>
        <v>1.3234016999482253E-3</v>
      </c>
      <c r="J291" s="752">
        <f t="shared" si="40"/>
        <v>3235627.8279743716</v>
      </c>
      <c r="K291" s="385">
        <f t="shared" si="43"/>
        <v>3235627.8292977735</v>
      </c>
      <c r="L291" s="752">
        <f t="shared" si="44"/>
        <v>5.9402082115411758E-5</v>
      </c>
    </row>
    <row r="292" spans="1:12" x14ac:dyDescent="0.75">
      <c r="A292" s="309" t="str">
        <f t="shared" si="41"/>
        <v/>
      </c>
      <c r="B292" s="310">
        <v>285</v>
      </c>
      <c r="C292" s="746">
        <f>IF('User Dashboard'!Z$12=5,
IF('SIR Model Patient Calcs'!B292&lt;'User Dashboard'!AJ$15,'User Dashboard'!AN$14,
IF('SIR Model Patient Calcs'!B292&lt;'User Dashboard'!AJ$16,'User Dashboard'!AN$15,
IF('SIR Model Patient Calcs'!B292&lt;'User Dashboard'!AJ$17,'User Dashboard'!AN$16,
IF('SIR Model Patient Calcs'!B292&lt;'User Dashboard'!AJ$18,'User Dashboard'!AN$17,
'User Dashboard'!AN$18)))),
IF('User Dashboard'!Z$12=4,
IF('SIR Model Patient Calcs'!B292&lt;'User Dashboard'!AJ$15,'User Dashboard'!AN$14,
IF('SIR Model Patient Calcs'!B292&lt;'User Dashboard'!AJ$16,'User Dashboard'!AN$15,
IF('SIR Model Patient Calcs'!B292&lt;'User Dashboard'!AJ$17,'User Dashboard'!AN$16,
'User Dashboard'!AN$17))),
IF('User Dashboard'!Z$12=3,
IF('SIR Model Patient Calcs'!B292&lt;'User Dashboard'!AJ$15,'User Dashboard'!AN$14,
IF('SIR Model Patient Calcs'!B292&lt;'User Dashboard'!AJ$16,'User Dashboard'!AN$15,
'User Dashboard'!AN$16)),
IF('User Dashboard'!Z$12=2,
IF('SIR Model Patient Calcs'!B292&lt;'User Dashboard'!AJ$15,'User Dashboard'!AN$14,
'User Dashboard'!AN$15),
IF('User Dashboard'!Z$12=1,
'User Dashboard'!AN$14)))))</f>
        <v>15.209356603107825</v>
      </c>
      <c r="D292" s="747">
        <f>'User Dashboard'!X$15</f>
        <v>2.2072878851804097E-2</v>
      </c>
      <c r="E292" s="739">
        <f t="shared" si="38"/>
        <v>9.1306104687305751E-8</v>
      </c>
      <c r="F292" s="739">
        <f t="shared" si="45"/>
        <v>9.1306104687305738E-8</v>
      </c>
      <c r="G292" s="749">
        <f>1/'User Dashboard'!X$12</f>
        <v>0.14285714285714285</v>
      </c>
      <c r="H292" s="385">
        <f t="shared" si="39"/>
        <v>441172.1706489168</v>
      </c>
      <c r="I292" s="751">
        <f t="shared" si="42"/>
        <v>1.1876532009126401E-3</v>
      </c>
      <c r="J292" s="752">
        <f t="shared" si="40"/>
        <v>3235627.8281634292</v>
      </c>
      <c r="K292" s="385">
        <f t="shared" si="43"/>
        <v>3235627.8293510824</v>
      </c>
      <c r="L292" s="752">
        <f t="shared" si="44"/>
        <v>5.330890417098999E-5</v>
      </c>
    </row>
    <row r="293" spans="1:12" x14ac:dyDescent="0.75">
      <c r="A293" s="309" t="str">
        <f t="shared" si="41"/>
        <v/>
      </c>
      <c r="B293" s="310">
        <v>286</v>
      </c>
      <c r="C293" s="746">
        <f>IF('User Dashboard'!Z$12=5,
IF('SIR Model Patient Calcs'!B293&lt;'User Dashboard'!AJ$15,'User Dashboard'!AN$14,
IF('SIR Model Patient Calcs'!B293&lt;'User Dashboard'!AJ$16,'User Dashboard'!AN$15,
IF('SIR Model Patient Calcs'!B293&lt;'User Dashboard'!AJ$17,'User Dashboard'!AN$16,
IF('SIR Model Patient Calcs'!B293&lt;'User Dashboard'!AJ$18,'User Dashboard'!AN$17,
'User Dashboard'!AN$18)))),
IF('User Dashboard'!Z$12=4,
IF('SIR Model Patient Calcs'!B293&lt;'User Dashboard'!AJ$15,'User Dashboard'!AN$14,
IF('SIR Model Patient Calcs'!B293&lt;'User Dashboard'!AJ$16,'User Dashboard'!AN$15,
IF('SIR Model Patient Calcs'!B293&lt;'User Dashboard'!AJ$17,'User Dashboard'!AN$16,
'User Dashboard'!AN$17))),
IF('User Dashboard'!Z$12=3,
IF('SIR Model Patient Calcs'!B293&lt;'User Dashboard'!AJ$15,'User Dashboard'!AN$14,
IF('SIR Model Patient Calcs'!B293&lt;'User Dashboard'!AJ$16,'User Dashboard'!AN$15,
'User Dashboard'!AN$16)),
IF('User Dashboard'!Z$12=2,
IF('SIR Model Patient Calcs'!B293&lt;'User Dashboard'!AJ$15,'User Dashboard'!AN$14,
'User Dashboard'!AN$15),
IF('User Dashboard'!Z$12=1,
'User Dashboard'!AN$14)))))</f>
        <v>15.209356603107825</v>
      </c>
      <c r="D293" s="747">
        <f>'User Dashboard'!X$15</f>
        <v>2.2072878851804097E-2</v>
      </c>
      <c r="E293" s="739">
        <f t="shared" si="38"/>
        <v>9.1306104687305751E-8</v>
      </c>
      <c r="F293" s="739">
        <f t="shared" si="45"/>
        <v>9.1306104687305738E-8</v>
      </c>
      <c r="G293" s="749">
        <f>1/'User Dashboard'!X$12</f>
        <v>0.14285714285714285</v>
      </c>
      <c r="H293" s="385">
        <f t="shared" si="39"/>
        <v>441172.1706010761</v>
      </c>
      <c r="I293" s="751">
        <f t="shared" si="42"/>
        <v>1.0658291625933174E-3</v>
      </c>
      <c r="J293" s="752">
        <f t="shared" si="40"/>
        <v>3235627.8283330938</v>
      </c>
      <c r="K293" s="385">
        <f t="shared" si="43"/>
        <v>3235627.8293989231</v>
      </c>
      <c r="L293" s="752">
        <f t="shared" si="44"/>
        <v>4.7840643674135208E-5</v>
      </c>
    </row>
    <row r="294" spans="1:12" x14ac:dyDescent="0.75">
      <c r="A294" s="309" t="str">
        <f t="shared" si="41"/>
        <v/>
      </c>
      <c r="B294" s="310">
        <v>287</v>
      </c>
      <c r="C294" s="746">
        <f>IF('User Dashboard'!Z$12=5,
IF('SIR Model Patient Calcs'!B294&lt;'User Dashboard'!AJ$15,'User Dashboard'!AN$14,
IF('SIR Model Patient Calcs'!B294&lt;'User Dashboard'!AJ$16,'User Dashboard'!AN$15,
IF('SIR Model Patient Calcs'!B294&lt;'User Dashboard'!AJ$17,'User Dashboard'!AN$16,
IF('SIR Model Patient Calcs'!B294&lt;'User Dashboard'!AJ$18,'User Dashboard'!AN$17,
'User Dashboard'!AN$18)))),
IF('User Dashboard'!Z$12=4,
IF('SIR Model Patient Calcs'!B294&lt;'User Dashboard'!AJ$15,'User Dashboard'!AN$14,
IF('SIR Model Patient Calcs'!B294&lt;'User Dashboard'!AJ$16,'User Dashboard'!AN$15,
IF('SIR Model Patient Calcs'!B294&lt;'User Dashboard'!AJ$17,'User Dashboard'!AN$16,
'User Dashboard'!AN$17))),
IF('User Dashboard'!Z$12=3,
IF('SIR Model Patient Calcs'!B294&lt;'User Dashboard'!AJ$15,'User Dashboard'!AN$14,
IF('SIR Model Patient Calcs'!B294&lt;'User Dashboard'!AJ$16,'User Dashboard'!AN$15,
'User Dashboard'!AN$16)),
IF('User Dashboard'!Z$12=2,
IF('SIR Model Patient Calcs'!B294&lt;'User Dashboard'!AJ$15,'User Dashboard'!AN$14,
'User Dashboard'!AN$15),
IF('User Dashboard'!Z$12=1,
'User Dashboard'!AN$14)))))</f>
        <v>15.209356603107825</v>
      </c>
      <c r="D294" s="747">
        <f>'User Dashboard'!X$15</f>
        <v>2.2072878851804097E-2</v>
      </c>
      <c r="E294" s="739">
        <f t="shared" si="38"/>
        <v>9.1306104687305751E-8</v>
      </c>
      <c r="F294" s="739">
        <f t="shared" si="45"/>
        <v>9.1306104687305738E-8</v>
      </c>
      <c r="G294" s="749">
        <f>1/'User Dashboard'!X$12</f>
        <v>0.14285714285714285</v>
      </c>
      <c r="H294" s="385">
        <f t="shared" si="39"/>
        <v>441172.17055814265</v>
      </c>
      <c r="I294" s="751">
        <f t="shared" si="42"/>
        <v>9.5650127744016644E-4</v>
      </c>
      <c r="J294" s="752">
        <f t="shared" si="40"/>
        <v>3235627.8284853552</v>
      </c>
      <c r="K294" s="385">
        <f t="shared" si="43"/>
        <v>3235627.8294418566</v>
      </c>
      <c r="L294" s="752">
        <f t="shared" si="44"/>
        <v>4.2933505028486252E-5</v>
      </c>
    </row>
    <row r="295" spans="1:12" x14ac:dyDescent="0.75">
      <c r="A295" s="309" t="str">
        <f t="shared" si="41"/>
        <v/>
      </c>
      <c r="B295" s="310">
        <v>288</v>
      </c>
      <c r="C295" s="746">
        <f>IF('User Dashboard'!Z$12=5,
IF('SIR Model Patient Calcs'!B295&lt;'User Dashboard'!AJ$15,'User Dashboard'!AN$14,
IF('SIR Model Patient Calcs'!B295&lt;'User Dashboard'!AJ$16,'User Dashboard'!AN$15,
IF('SIR Model Patient Calcs'!B295&lt;'User Dashboard'!AJ$17,'User Dashboard'!AN$16,
IF('SIR Model Patient Calcs'!B295&lt;'User Dashboard'!AJ$18,'User Dashboard'!AN$17,
'User Dashboard'!AN$18)))),
IF('User Dashboard'!Z$12=4,
IF('SIR Model Patient Calcs'!B295&lt;'User Dashboard'!AJ$15,'User Dashboard'!AN$14,
IF('SIR Model Patient Calcs'!B295&lt;'User Dashboard'!AJ$16,'User Dashboard'!AN$15,
IF('SIR Model Patient Calcs'!B295&lt;'User Dashboard'!AJ$17,'User Dashboard'!AN$16,
'User Dashboard'!AN$17))),
IF('User Dashboard'!Z$12=3,
IF('SIR Model Patient Calcs'!B295&lt;'User Dashboard'!AJ$15,'User Dashboard'!AN$14,
IF('SIR Model Patient Calcs'!B295&lt;'User Dashboard'!AJ$16,'User Dashboard'!AN$15,
'User Dashboard'!AN$16)),
IF('User Dashboard'!Z$12=2,
IF('SIR Model Patient Calcs'!B295&lt;'User Dashboard'!AJ$15,'User Dashboard'!AN$14,
'User Dashboard'!AN$15),
IF('User Dashboard'!Z$12=1,
'User Dashboard'!AN$14)))))</f>
        <v>15.209356603107825</v>
      </c>
      <c r="D295" s="747">
        <f>'User Dashboard'!X$15</f>
        <v>2.2072878851804097E-2</v>
      </c>
      <c r="E295" s="739">
        <f t="shared" si="38"/>
        <v>9.1306104687305751E-8</v>
      </c>
      <c r="F295" s="739">
        <f t="shared" si="45"/>
        <v>9.1306104687305738E-8</v>
      </c>
      <c r="G295" s="749">
        <f>1/'User Dashboard'!X$12</f>
        <v>0.14285714285714285</v>
      </c>
      <c r="H295" s="385">
        <f t="shared" si="39"/>
        <v>441172.17051961314</v>
      </c>
      <c r="I295" s="751">
        <f t="shared" si="42"/>
        <v>8.5838774716447239E-4</v>
      </c>
      <c r="J295" s="752">
        <f t="shared" si="40"/>
        <v>3235627.8286219984</v>
      </c>
      <c r="K295" s="385">
        <f t="shared" si="43"/>
        <v>3235627.8294803863</v>
      </c>
      <c r="L295" s="752">
        <f t="shared" si="44"/>
        <v>3.8529746234416962E-5</v>
      </c>
    </row>
    <row r="296" spans="1:12" x14ac:dyDescent="0.75">
      <c r="A296" s="309" t="str">
        <f t="shared" si="41"/>
        <v/>
      </c>
      <c r="B296" s="310">
        <v>289</v>
      </c>
      <c r="C296" s="746">
        <f>IF('User Dashboard'!Z$12=5,
IF('SIR Model Patient Calcs'!B296&lt;'User Dashboard'!AJ$15,'User Dashboard'!AN$14,
IF('SIR Model Patient Calcs'!B296&lt;'User Dashboard'!AJ$16,'User Dashboard'!AN$15,
IF('SIR Model Patient Calcs'!B296&lt;'User Dashboard'!AJ$17,'User Dashboard'!AN$16,
IF('SIR Model Patient Calcs'!B296&lt;'User Dashboard'!AJ$18,'User Dashboard'!AN$17,
'User Dashboard'!AN$18)))),
IF('User Dashboard'!Z$12=4,
IF('SIR Model Patient Calcs'!B296&lt;'User Dashboard'!AJ$15,'User Dashboard'!AN$14,
IF('SIR Model Patient Calcs'!B296&lt;'User Dashboard'!AJ$16,'User Dashboard'!AN$15,
IF('SIR Model Patient Calcs'!B296&lt;'User Dashboard'!AJ$17,'User Dashboard'!AN$16,
'User Dashboard'!AN$17))),
IF('User Dashboard'!Z$12=3,
IF('SIR Model Patient Calcs'!B296&lt;'User Dashboard'!AJ$15,'User Dashboard'!AN$14,
IF('SIR Model Patient Calcs'!B296&lt;'User Dashboard'!AJ$16,'User Dashboard'!AN$15,
'User Dashboard'!AN$16)),
IF('User Dashboard'!Z$12=2,
IF('SIR Model Patient Calcs'!B296&lt;'User Dashboard'!AJ$15,'User Dashboard'!AN$14,
'User Dashboard'!AN$15),
IF('User Dashboard'!Z$12=1,
'User Dashboard'!AN$14)))))</f>
        <v>15.209356603107825</v>
      </c>
      <c r="D296" s="747">
        <f>'User Dashboard'!X$15</f>
        <v>2.2072878851804097E-2</v>
      </c>
      <c r="E296" s="739">
        <f t="shared" si="38"/>
        <v>9.1306104687305751E-8</v>
      </c>
      <c r="F296" s="739">
        <f t="shared" si="45"/>
        <v>9.1306104687305738E-8</v>
      </c>
      <c r="G296" s="749">
        <f>1/'User Dashboard'!X$12</f>
        <v>0.14285714285714285</v>
      </c>
      <c r="H296" s="385">
        <f t="shared" si="39"/>
        <v>441172.17048503581</v>
      </c>
      <c r="I296" s="751">
        <f t="shared" si="42"/>
        <v>7.7033825448842835E-4</v>
      </c>
      <c r="J296" s="752">
        <f t="shared" si="40"/>
        <v>3235627.8287446252</v>
      </c>
      <c r="K296" s="385">
        <f t="shared" si="43"/>
        <v>3235627.8295149636</v>
      </c>
      <c r="L296" s="752">
        <f t="shared" si="44"/>
        <v>3.4577213227748871E-5</v>
      </c>
    </row>
    <row r="297" spans="1:12" x14ac:dyDescent="0.75">
      <c r="A297" s="309" t="str">
        <f t="shared" si="41"/>
        <v/>
      </c>
      <c r="B297" s="310">
        <v>290</v>
      </c>
      <c r="C297" s="746">
        <f>IF('User Dashboard'!Z$12=5,
IF('SIR Model Patient Calcs'!B297&lt;'User Dashboard'!AJ$15,'User Dashboard'!AN$14,
IF('SIR Model Patient Calcs'!B297&lt;'User Dashboard'!AJ$16,'User Dashboard'!AN$15,
IF('SIR Model Patient Calcs'!B297&lt;'User Dashboard'!AJ$17,'User Dashboard'!AN$16,
IF('SIR Model Patient Calcs'!B297&lt;'User Dashboard'!AJ$18,'User Dashboard'!AN$17,
'User Dashboard'!AN$18)))),
IF('User Dashboard'!Z$12=4,
IF('SIR Model Patient Calcs'!B297&lt;'User Dashboard'!AJ$15,'User Dashboard'!AN$14,
IF('SIR Model Patient Calcs'!B297&lt;'User Dashboard'!AJ$16,'User Dashboard'!AN$15,
IF('SIR Model Patient Calcs'!B297&lt;'User Dashboard'!AJ$17,'User Dashboard'!AN$16,
'User Dashboard'!AN$17))),
IF('User Dashboard'!Z$12=3,
IF('SIR Model Patient Calcs'!B297&lt;'User Dashboard'!AJ$15,'User Dashboard'!AN$14,
IF('SIR Model Patient Calcs'!B297&lt;'User Dashboard'!AJ$16,'User Dashboard'!AN$15,
'User Dashboard'!AN$16)),
IF('User Dashboard'!Z$12=2,
IF('SIR Model Patient Calcs'!B297&lt;'User Dashboard'!AJ$15,'User Dashboard'!AN$14,
'User Dashboard'!AN$15),
IF('User Dashboard'!Z$12=1,
'User Dashboard'!AN$14)))))</f>
        <v>15.209356603107825</v>
      </c>
      <c r="D297" s="747">
        <f>'User Dashboard'!X$15</f>
        <v>2.2072878851804097E-2</v>
      </c>
      <c r="E297" s="739">
        <f t="shared" si="38"/>
        <v>9.1306104687305751E-8</v>
      </c>
      <c r="F297" s="739">
        <f t="shared" si="45"/>
        <v>9.1306104687305738E-8</v>
      </c>
      <c r="G297" s="749">
        <f>1/'User Dashboard'!X$12</f>
        <v>0.14285714285714285</v>
      </c>
      <c r="H297" s="385">
        <f t="shared" si="39"/>
        <v>441172.17045400525</v>
      </c>
      <c r="I297" s="751">
        <f t="shared" si="42"/>
        <v>6.9132047642391121E-4</v>
      </c>
      <c r="J297" s="752">
        <f t="shared" si="40"/>
        <v>3235627.8288546735</v>
      </c>
      <c r="K297" s="385">
        <f t="shared" si="43"/>
        <v>3235627.8295459938</v>
      </c>
      <c r="L297" s="752">
        <f t="shared" si="44"/>
        <v>3.1030271202325821E-5</v>
      </c>
    </row>
    <row r="298" spans="1:12" x14ac:dyDescent="0.75">
      <c r="A298" s="309" t="str">
        <f t="shared" si="41"/>
        <v/>
      </c>
      <c r="B298" s="310">
        <v>291</v>
      </c>
      <c r="C298" s="746">
        <f>IF('User Dashboard'!Z$12=5,
IF('SIR Model Patient Calcs'!B298&lt;'User Dashboard'!AJ$15,'User Dashboard'!AN$14,
IF('SIR Model Patient Calcs'!B298&lt;'User Dashboard'!AJ$16,'User Dashboard'!AN$15,
IF('SIR Model Patient Calcs'!B298&lt;'User Dashboard'!AJ$17,'User Dashboard'!AN$16,
IF('SIR Model Patient Calcs'!B298&lt;'User Dashboard'!AJ$18,'User Dashboard'!AN$17,
'User Dashboard'!AN$18)))),
IF('User Dashboard'!Z$12=4,
IF('SIR Model Patient Calcs'!B298&lt;'User Dashboard'!AJ$15,'User Dashboard'!AN$14,
IF('SIR Model Patient Calcs'!B298&lt;'User Dashboard'!AJ$16,'User Dashboard'!AN$15,
IF('SIR Model Patient Calcs'!B298&lt;'User Dashboard'!AJ$17,'User Dashboard'!AN$16,
'User Dashboard'!AN$17))),
IF('User Dashboard'!Z$12=3,
IF('SIR Model Patient Calcs'!B298&lt;'User Dashboard'!AJ$15,'User Dashboard'!AN$14,
IF('SIR Model Patient Calcs'!B298&lt;'User Dashboard'!AJ$16,'User Dashboard'!AN$15,
'User Dashboard'!AN$16)),
IF('User Dashboard'!Z$12=2,
IF('SIR Model Patient Calcs'!B298&lt;'User Dashboard'!AJ$15,'User Dashboard'!AN$14,
'User Dashboard'!AN$15),
IF('User Dashboard'!Z$12=1,
'User Dashboard'!AN$14)))))</f>
        <v>15.209356603107825</v>
      </c>
      <c r="D298" s="747">
        <f>'User Dashboard'!X$15</f>
        <v>2.2072878851804097E-2</v>
      </c>
      <c r="E298" s="739">
        <f t="shared" si="38"/>
        <v>9.1306104687305738E-8</v>
      </c>
      <c r="F298" s="739">
        <f t="shared" si="45"/>
        <v>9.1306104687305738E-8</v>
      </c>
      <c r="G298" s="749">
        <f>1/'User Dashboard'!X$12</f>
        <v>0.14285714285714285</v>
      </c>
      <c r="H298" s="385">
        <f t="shared" si="39"/>
        <v>441172.17042615765</v>
      </c>
      <c r="I298" s="751">
        <f t="shared" si="42"/>
        <v>6.2040798095747932E-4</v>
      </c>
      <c r="J298" s="752">
        <f t="shared" si="40"/>
        <v>3235627.8289534338</v>
      </c>
      <c r="K298" s="385">
        <f t="shared" si="43"/>
        <v>3235627.8295738418</v>
      </c>
      <c r="L298" s="752">
        <f t="shared" si="44"/>
        <v>2.7847941964864731E-5</v>
      </c>
    </row>
    <row r="299" spans="1:12" x14ac:dyDescent="0.75">
      <c r="A299" s="309" t="str">
        <f t="shared" si="41"/>
        <v/>
      </c>
      <c r="B299" s="310">
        <v>292</v>
      </c>
      <c r="C299" s="746">
        <f>IF('User Dashboard'!Z$12=5,
IF('SIR Model Patient Calcs'!B299&lt;'User Dashboard'!AJ$15,'User Dashboard'!AN$14,
IF('SIR Model Patient Calcs'!B299&lt;'User Dashboard'!AJ$16,'User Dashboard'!AN$15,
IF('SIR Model Patient Calcs'!B299&lt;'User Dashboard'!AJ$17,'User Dashboard'!AN$16,
IF('SIR Model Patient Calcs'!B299&lt;'User Dashboard'!AJ$18,'User Dashboard'!AN$17,
'User Dashboard'!AN$18)))),
IF('User Dashboard'!Z$12=4,
IF('SIR Model Patient Calcs'!B299&lt;'User Dashboard'!AJ$15,'User Dashboard'!AN$14,
IF('SIR Model Patient Calcs'!B299&lt;'User Dashboard'!AJ$16,'User Dashboard'!AN$15,
IF('SIR Model Patient Calcs'!B299&lt;'User Dashboard'!AJ$17,'User Dashboard'!AN$16,
'User Dashboard'!AN$17))),
IF('User Dashboard'!Z$12=3,
IF('SIR Model Patient Calcs'!B299&lt;'User Dashboard'!AJ$15,'User Dashboard'!AN$14,
IF('SIR Model Patient Calcs'!B299&lt;'User Dashboard'!AJ$16,'User Dashboard'!AN$15,
'User Dashboard'!AN$16)),
IF('User Dashboard'!Z$12=2,
IF('SIR Model Patient Calcs'!B299&lt;'User Dashboard'!AJ$15,'User Dashboard'!AN$14,
'User Dashboard'!AN$15),
IF('User Dashboard'!Z$12=1,
'User Dashboard'!AN$14)))))</f>
        <v>15.209356603107825</v>
      </c>
      <c r="D299" s="747">
        <f>'User Dashboard'!X$15</f>
        <v>2.2072878851804097E-2</v>
      </c>
      <c r="E299" s="739">
        <f t="shared" si="38"/>
        <v>9.1306104687305738E-8</v>
      </c>
      <c r="F299" s="739">
        <f t="shared" si="45"/>
        <v>9.1306104687305738E-8</v>
      </c>
      <c r="G299" s="749">
        <f>1/'User Dashboard'!X$12</f>
        <v>0.14285714285714285</v>
      </c>
      <c r="H299" s="385">
        <f t="shared" si="39"/>
        <v>441172.17040116654</v>
      </c>
      <c r="I299" s="751">
        <f t="shared" si="42"/>
        <v>5.567693652381051E-4</v>
      </c>
      <c r="J299" s="752">
        <f t="shared" si="40"/>
        <v>3235627.8290420636</v>
      </c>
      <c r="K299" s="385">
        <f t="shared" si="43"/>
        <v>3235627.8295988329</v>
      </c>
      <c r="L299" s="752">
        <f t="shared" si="44"/>
        <v>2.499110996723175E-5</v>
      </c>
    </row>
    <row r="300" spans="1:12" x14ac:dyDescent="0.75">
      <c r="A300" s="309" t="str">
        <f t="shared" si="41"/>
        <v/>
      </c>
      <c r="B300" s="310">
        <v>293</v>
      </c>
      <c r="C300" s="746">
        <f>IF('User Dashboard'!Z$12=5,
IF('SIR Model Patient Calcs'!B300&lt;'User Dashboard'!AJ$15,'User Dashboard'!AN$14,
IF('SIR Model Patient Calcs'!B300&lt;'User Dashboard'!AJ$16,'User Dashboard'!AN$15,
IF('SIR Model Patient Calcs'!B300&lt;'User Dashboard'!AJ$17,'User Dashboard'!AN$16,
IF('SIR Model Patient Calcs'!B300&lt;'User Dashboard'!AJ$18,'User Dashboard'!AN$17,
'User Dashboard'!AN$18)))),
IF('User Dashboard'!Z$12=4,
IF('SIR Model Patient Calcs'!B300&lt;'User Dashboard'!AJ$15,'User Dashboard'!AN$14,
IF('SIR Model Patient Calcs'!B300&lt;'User Dashboard'!AJ$16,'User Dashboard'!AN$15,
IF('SIR Model Patient Calcs'!B300&lt;'User Dashboard'!AJ$17,'User Dashboard'!AN$16,
'User Dashboard'!AN$17))),
IF('User Dashboard'!Z$12=3,
IF('SIR Model Patient Calcs'!B300&lt;'User Dashboard'!AJ$15,'User Dashboard'!AN$14,
IF('SIR Model Patient Calcs'!B300&lt;'User Dashboard'!AJ$16,'User Dashboard'!AN$15,
'User Dashboard'!AN$16)),
IF('User Dashboard'!Z$12=2,
IF('SIR Model Patient Calcs'!B300&lt;'User Dashboard'!AJ$15,'User Dashboard'!AN$14,
'User Dashboard'!AN$15),
IF('User Dashboard'!Z$12=1,
'User Dashboard'!AN$14)))))</f>
        <v>15.209356603107825</v>
      </c>
      <c r="D300" s="747">
        <f>'User Dashboard'!X$15</f>
        <v>2.2072878851804097E-2</v>
      </c>
      <c r="E300" s="739">
        <f t="shared" si="38"/>
        <v>9.1306104687305738E-8</v>
      </c>
      <c r="F300" s="739">
        <f t="shared" si="45"/>
        <v>9.1306104687305738E-8</v>
      </c>
      <c r="G300" s="749">
        <f>1/'User Dashboard'!X$12</f>
        <v>0.14285714285714285</v>
      </c>
      <c r="H300" s="385">
        <f t="shared" si="39"/>
        <v>441172.1703787389</v>
      </c>
      <c r="I300" s="751">
        <f t="shared" si="42"/>
        <v>4.9965850791996839E-4</v>
      </c>
      <c r="J300" s="752">
        <f t="shared" si="40"/>
        <v>3235627.8291216022</v>
      </c>
      <c r="K300" s="385">
        <f t="shared" si="43"/>
        <v>3235627.8296212605</v>
      </c>
      <c r="L300" s="752">
        <f t="shared" si="44"/>
        <v>2.2427644580602646E-5</v>
      </c>
    </row>
    <row r="301" spans="1:12" x14ac:dyDescent="0.75">
      <c r="A301" s="309" t="str">
        <f t="shared" si="41"/>
        <v/>
      </c>
      <c r="B301" s="310">
        <v>294</v>
      </c>
      <c r="C301" s="746">
        <f>IF('User Dashboard'!Z$12=5,
IF('SIR Model Patient Calcs'!B301&lt;'User Dashboard'!AJ$15,'User Dashboard'!AN$14,
IF('SIR Model Patient Calcs'!B301&lt;'User Dashboard'!AJ$16,'User Dashboard'!AN$15,
IF('SIR Model Patient Calcs'!B301&lt;'User Dashboard'!AJ$17,'User Dashboard'!AN$16,
IF('SIR Model Patient Calcs'!B301&lt;'User Dashboard'!AJ$18,'User Dashboard'!AN$17,
'User Dashboard'!AN$18)))),
IF('User Dashboard'!Z$12=4,
IF('SIR Model Patient Calcs'!B301&lt;'User Dashboard'!AJ$15,'User Dashboard'!AN$14,
IF('SIR Model Patient Calcs'!B301&lt;'User Dashboard'!AJ$16,'User Dashboard'!AN$15,
IF('SIR Model Patient Calcs'!B301&lt;'User Dashboard'!AJ$17,'User Dashboard'!AN$16,
'User Dashboard'!AN$17))),
IF('User Dashboard'!Z$12=3,
IF('SIR Model Patient Calcs'!B301&lt;'User Dashboard'!AJ$15,'User Dashboard'!AN$14,
IF('SIR Model Patient Calcs'!B301&lt;'User Dashboard'!AJ$16,'User Dashboard'!AN$15,
'User Dashboard'!AN$16)),
IF('User Dashboard'!Z$12=2,
IF('SIR Model Patient Calcs'!B301&lt;'User Dashboard'!AJ$15,'User Dashboard'!AN$14,
'User Dashboard'!AN$15),
IF('User Dashboard'!Z$12=1,
'User Dashboard'!AN$14)))))</f>
        <v>15.209356603107825</v>
      </c>
      <c r="D301" s="747">
        <f>'User Dashboard'!X$15</f>
        <v>2.2072878851804097E-2</v>
      </c>
      <c r="E301" s="739">
        <f t="shared" si="38"/>
        <v>9.1306104687305738E-8</v>
      </c>
      <c r="F301" s="739">
        <f t="shared" si="45"/>
        <v>9.1306104687305738E-8</v>
      </c>
      <c r="G301" s="749">
        <f>1/'User Dashboard'!X$12</f>
        <v>0.14285714285714285</v>
      </c>
      <c r="H301" s="385">
        <f t="shared" si="39"/>
        <v>441172.17035861179</v>
      </c>
      <c r="I301" s="751">
        <f t="shared" si="42"/>
        <v>4.4840582137537638E-4</v>
      </c>
      <c r="J301" s="752">
        <f t="shared" si="40"/>
        <v>3235627.8291929821</v>
      </c>
      <c r="K301" s="385">
        <f t="shared" si="43"/>
        <v>3235627.8296413878</v>
      </c>
      <c r="L301" s="752">
        <f t="shared" si="44"/>
        <v>2.0127277821302414E-5</v>
      </c>
    </row>
    <row r="302" spans="1:12" x14ac:dyDescent="0.75">
      <c r="A302" s="309" t="str">
        <f t="shared" si="41"/>
        <v/>
      </c>
      <c r="B302" s="310">
        <v>295</v>
      </c>
      <c r="C302" s="746">
        <f>IF('User Dashboard'!Z$12=5,
IF('SIR Model Patient Calcs'!B302&lt;'User Dashboard'!AJ$15,'User Dashboard'!AN$14,
IF('SIR Model Patient Calcs'!B302&lt;'User Dashboard'!AJ$16,'User Dashboard'!AN$15,
IF('SIR Model Patient Calcs'!B302&lt;'User Dashboard'!AJ$17,'User Dashboard'!AN$16,
IF('SIR Model Patient Calcs'!B302&lt;'User Dashboard'!AJ$18,'User Dashboard'!AN$17,
'User Dashboard'!AN$18)))),
IF('User Dashboard'!Z$12=4,
IF('SIR Model Patient Calcs'!B302&lt;'User Dashboard'!AJ$15,'User Dashboard'!AN$14,
IF('SIR Model Patient Calcs'!B302&lt;'User Dashboard'!AJ$16,'User Dashboard'!AN$15,
IF('SIR Model Patient Calcs'!B302&lt;'User Dashboard'!AJ$17,'User Dashboard'!AN$16,
'User Dashboard'!AN$17))),
IF('User Dashboard'!Z$12=3,
IF('SIR Model Patient Calcs'!B302&lt;'User Dashboard'!AJ$15,'User Dashboard'!AN$14,
IF('SIR Model Patient Calcs'!B302&lt;'User Dashboard'!AJ$16,'User Dashboard'!AN$15,
'User Dashboard'!AN$16)),
IF('User Dashboard'!Z$12=2,
IF('SIR Model Patient Calcs'!B302&lt;'User Dashboard'!AJ$15,'User Dashboard'!AN$14,
'User Dashboard'!AN$15),
IF('User Dashboard'!Z$12=1,
'User Dashboard'!AN$14)))))</f>
        <v>15.209356603107825</v>
      </c>
      <c r="D302" s="747">
        <f>'User Dashboard'!X$15</f>
        <v>2.2072878851804097E-2</v>
      </c>
      <c r="E302" s="739">
        <f t="shared" si="38"/>
        <v>9.1306104687305738E-8</v>
      </c>
      <c r="F302" s="739">
        <f t="shared" si="45"/>
        <v>9.1306104687305738E-8</v>
      </c>
      <c r="G302" s="749">
        <f>1/'User Dashboard'!X$12</f>
        <v>0.14285714285714285</v>
      </c>
      <c r="H302" s="385">
        <f t="shared" si="39"/>
        <v>441172.17034054926</v>
      </c>
      <c r="I302" s="751">
        <f t="shared" si="42"/>
        <v>4.0241040121570342E-4</v>
      </c>
      <c r="J302" s="752">
        <f t="shared" si="40"/>
        <v>3235627.8292570398</v>
      </c>
      <c r="K302" s="385">
        <f t="shared" si="43"/>
        <v>3235627.8296594503</v>
      </c>
      <c r="L302" s="752">
        <f t="shared" si="44"/>
        <v>1.8062535673379898E-5</v>
      </c>
    </row>
    <row r="303" spans="1:12" x14ac:dyDescent="0.75">
      <c r="A303" s="309" t="str">
        <f t="shared" si="41"/>
        <v/>
      </c>
      <c r="B303" s="310">
        <v>296</v>
      </c>
      <c r="C303" s="746">
        <f>IF('User Dashboard'!Z$12=5,
IF('SIR Model Patient Calcs'!B303&lt;'User Dashboard'!AJ$15,'User Dashboard'!AN$14,
IF('SIR Model Patient Calcs'!B303&lt;'User Dashboard'!AJ$16,'User Dashboard'!AN$15,
IF('SIR Model Patient Calcs'!B303&lt;'User Dashboard'!AJ$17,'User Dashboard'!AN$16,
IF('SIR Model Patient Calcs'!B303&lt;'User Dashboard'!AJ$18,'User Dashboard'!AN$17,
'User Dashboard'!AN$18)))),
IF('User Dashboard'!Z$12=4,
IF('SIR Model Patient Calcs'!B303&lt;'User Dashboard'!AJ$15,'User Dashboard'!AN$14,
IF('SIR Model Patient Calcs'!B303&lt;'User Dashboard'!AJ$16,'User Dashboard'!AN$15,
IF('SIR Model Patient Calcs'!B303&lt;'User Dashboard'!AJ$17,'User Dashboard'!AN$16,
'User Dashboard'!AN$17))),
IF('User Dashboard'!Z$12=3,
IF('SIR Model Patient Calcs'!B303&lt;'User Dashboard'!AJ$15,'User Dashboard'!AN$14,
IF('SIR Model Patient Calcs'!B303&lt;'User Dashboard'!AJ$16,'User Dashboard'!AN$15,
'User Dashboard'!AN$16)),
IF('User Dashboard'!Z$12=2,
IF('SIR Model Patient Calcs'!B303&lt;'User Dashboard'!AJ$15,'User Dashboard'!AN$14,
'User Dashboard'!AN$15),
IF('User Dashboard'!Z$12=1,
'User Dashboard'!AN$14)))))</f>
        <v>15.209356603107825</v>
      </c>
      <c r="D303" s="747">
        <f>'User Dashboard'!X$15</f>
        <v>2.2072878851804097E-2</v>
      </c>
      <c r="E303" s="739">
        <f t="shared" si="38"/>
        <v>9.1306104687305738E-8</v>
      </c>
      <c r="F303" s="739">
        <f t="shared" si="45"/>
        <v>9.1306104687305738E-8</v>
      </c>
      <c r="G303" s="749">
        <f>1/'User Dashboard'!X$12</f>
        <v>0.14285714285714285</v>
      </c>
      <c r="H303" s="385">
        <f t="shared" si="39"/>
        <v>441172.17032433947</v>
      </c>
      <c r="I303" s="751">
        <f t="shared" si="42"/>
        <v>3.6113298107859538E-4</v>
      </c>
      <c r="J303" s="752">
        <f t="shared" si="40"/>
        <v>3235627.8293145271</v>
      </c>
      <c r="K303" s="385">
        <f t="shared" si="43"/>
        <v>3235627.82967566</v>
      </c>
      <c r="L303" s="752">
        <f t="shared" si="44"/>
        <v>1.6209669411182404E-5</v>
      </c>
    </row>
    <row r="304" spans="1:12" x14ac:dyDescent="0.75">
      <c r="A304" s="309" t="str">
        <f t="shared" si="41"/>
        <v/>
      </c>
      <c r="B304" s="310">
        <v>297</v>
      </c>
      <c r="C304" s="746">
        <f>IF('User Dashboard'!Z$12=5,
IF('SIR Model Patient Calcs'!B304&lt;'User Dashboard'!AJ$15,'User Dashboard'!AN$14,
IF('SIR Model Patient Calcs'!B304&lt;'User Dashboard'!AJ$16,'User Dashboard'!AN$15,
IF('SIR Model Patient Calcs'!B304&lt;'User Dashboard'!AJ$17,'User Dashboard'!AN$16,
IF('SIR Model Patient Calcs'!B304&lt;'User Dashboard'!AJ$18,'User Dashboard'!AN$17,
'User Dashboard'!AN$18)))),
IF('User Dashboard'!Z$12=4,
IF('SIR Model Patient Calcs'!B304&lt;'User Dashboard'!AJ$15,'User Dashboard'!AN$14,
IF('SIR Model Patient Calcs'!B304&lt;'User Dashboard'!AJ$16,'User Dashboard'!AN$15,
IF('SIR Model Patient Calcs'!B304&lt;'User Dashboard'!AJ$17,'User Dashboard'!AN$16,
'User Dashboard'!AN$17))),
IF('User Dashboard'!Z$12=3,
IF('SIR Model Patient Calcs'!B304&lt;'User Dashboard'!AJ$15,'User Dashboard'!AN$14,
IF('SIR Model Patient Calcs'!B304&lt;'User Dashboard'!AJ$16,'User Dashboard'!AN$15,
'User Dashboard'!AN$16)),
IF('User Dashboard'!Z$12=2,
IF('SIR Model Patient Calcs'!B304&lt;'User Dashboard'!AJ$15,'User Dashboard'!AN$14,
'User Dashboard'!AN$15),
IF('User Dashboard'!Z$12=1,
'User Dashboard'!AN$14)))))</f>
        <v>15.209356603107825</v>
      </c>
      <c r="D304" s="747">
        <f>'User Dashboard'!X$15</f>
        <v>2.2072878851804097E-2</v>
      </c>
      <c r="E304" s="739">
        <f t="shared" si="38"/>
        <v>9.1306104687305725E-8</v>
      </c>
      <c r="F304" s="739">
        <f t="shared" si="45"/>
        <v>9.1306104687305725E-8</v>
      </c>
      <c r="G304" s="749">
        <f>1/'User Dashboard'!X$12</f>
        <v>0.14285714285714285</v>
      </c>
      <c r="H304" s="385">
        <f t="shared" si="39"/>
        <v>441172.17030979245</v>
      </c>
      <c r="I304" s="751">
        <f t="shared" si="42"/>
        <v>3.2408961008090545E-4</v>
      </c>
      <c r="J304" s="752">
        <f t="shared" si="40"/>
        <v>3235627.8293661177</v>
      </c>
      <c r="K304" s="385">
        <f t="shared" si="43"/>
        <v>3235627.8296902073</v>
      </c>
      <c r="L304" s="752">
        <f t="shared" si="44"/>
        <v>1.4547258615493774E-5</v>
      </c>
    </row>
    <row r="305" spans="1:12" x14ac:dyDescent="0.75">
      <c r="A305" s="309" t="str">
        <f t="shared" si="41"/>
        <v/>
      </c>
      <c r="B305" s="310">
        <v>298</v>
      </c>
      <c r="C305" s="746">
        <f>IF('User Dashboard'!Z$12=5,
IF('SIR Model Patient Calcs'!B305&lt;'User Dashboard'!AJ$15,'User Dashboard'!AN$14,
IF('SIR Model Patient Calcs'!B305&lt;'User Dashboard'!AJ$16,'User Dashboard'!AN$15,
IF('SIR Model Patient Calcs'!B305&lt;'User Dashboard'!AJ$17,'User Dashboard'!AN$16,
IF('SIR Model Patient Calcs'!B305&lt;'User Dashboard'!AJ$18,'User Dashboard'!AN$17,
'User Dashboard'!AN$18)))),
IF('User Dashboard'!Z$12=4,
IF('SIR Model Patient Calcs'!B305&lt;'User Dashboard'!AJ$15,'User Dashboard'!AN$14,
IF('SIR Model Patient Calcs'!B305&lt;'User Dashboard'!AJ$16,'User Dashboard'!AN$15,
IF('SIR Model Patient Calcs'!B305&lt;'User Dashboard'!AJ$17,'User Dashboard'!AN$16,
'User Dashboard'!AN$17))),
IF('User Dashboard'!Z$12=3,
IF('SIR Model Patient Calcs'!B305&lt;'User Dashboard'!AJ$15,'User Dashboard'!AN$14,
IF('SIR Model Patient Calcs'!B305&lt;'User Dashboard'!AJ$16,'User Dashboard'!AN$15,
'User Dashboard'!AN$16)),
IF('User Dashboard'!Z$12=2,
IF('SIR Model Patient Calcs'!B305&lt;'User Dashboard'!AJ$15,'User Dashboard'!AN$14,
'User Dashboard'!AN$15),
IF('User Dashboard'!Z$12=1,
'User Dashboard'!AN$14)))))</f>
        <v>15.209356603107825</v>
      </c>
      <c r="D305" s="747">
        <f>'User Dashboard'!X$15</f>
        <v>2.2072878851804097E-2</v>
      </c>
      <c r="E305" s="739">
        <f t="shared" si="38"/>
        <v>9.1306104687305738E-8</v>
      </c>
      <c r="F305" s="739">
        <f t="shared" si="45"/>
        <v>9.1306104687305725E-8</v>
      </c>
      <c r="G305" s="749">
        <f>1/'User Dashboard'!X$12</f>
        <v>0.14285714285714285</v>
      </c>
      <c r="H305" s="385">
        <f t="shared" si="39"/>
        <v>441172.17029673757</v>
      </c>
      <c r="I305" s="751">
        <f t="shared" si="42"/>
        <v>2.9084597880961395E-4</v>
      </c>
      <c r="J305" s="752">
        <f t="shared" si="40"/>
        <v>3235627.8294124161</v>
      </c>
      <c r="K305" s="385">
        <f t="shared" si="43"/>
        <v>3235627.8297032621</v>
      </c>
      <c r="L305" s="752">
        <f t="shared" si="44"/>
        <v>1.305481418967247E-5</v>
      </c>
    </row>
    <row r="306" spans="1:12" x14ac:dyDescent="0.75">
      <c r="A306" s="309" t="str">
        <f t="shared" si="41"/>
        <v/>
      </c>
      <c r="B306" s="310">
        <v>299</v>
      </c>
      <c r="C306" s="746">
        <f>IF('User Dashboard'!Z$12=5,
IF('SIR Model Patient Calcs'!B306&lt;'User Dashboard'!AJ$15,'User Dashboard'!AN$14,
IF('SIR Model Patient Calcs'!B306&lt;'User Dashboard'!AJ$16,'User Dashboard'!AN$15,
IF('SIR Model Patient Calcs'!B306&lt;'User Dashboard'!AJ$17,'User Dashboard'!AN$16,
IF('SIR Model Patient Calcs'!B306&lt;'User Dashboard'!AJ$18,'User Dashboard'!AN$17,
'User Dashboard'!AN$18)))),
IF('User Dashboard'!Z$12=4,
IF('SIR Model Patient Calcs'!B306&lt;'User Dashboard'!AJ$15,'User Dashboard'!AN$14,
IF('SIR Model Patient Calcs'!B306&lt;'User Dashboard'!AJ$16,'User Dashboard'!AN$15,
IF('SIR Model Patient Calcs'!B306&lt;'User Dashboard'!AJ$17,'User Dashboard'!AN$16,
'User Dashboard'!AN$17))),
IF('User Dashboard'!Z$12=3,
IF('SIR Model Patient Calcs'!B306&lt;'User Dashboard'!AJ$15,'User Dashboard'!AN$14,
IF('SIR Model Patient Calcs'!B306&lt;'User Dashboard'!AJ$16,'User Dashboard'!AN$15,
'User Dashboard'!AN$16)),
IF('User Dashboard'!Z$12=2,
IF('SIR Model Patient Calcs'!B306&lt;'User Dashboard'!AJ$15,'User Dashboard'!AN$14,
'User Dashboard'!AN$15),
IF('User Dashboard'!Z$12=1,
'User Dashboard'!AN$14)))))</f>
        <v>15.209356603107825</v>
      </c>
      <c r="D306" s="747">
        <f>'User Dashboard'!X$15</f>
        <v>2.2072878851804097E-2</v>
      </c>
      <c r="E306" s="739">
        <f t="shared" si="38"/>
        <v>9.1306104687305725E-8</v>
      </c>
      <c r="F306" s="739">
        <f t="shared" si="45"/>
        <v>9.1306104687305725E-8</v>
      </c>
      <c r="G306" s="749">
        <f>1/'User Dashboard'!X$12</f>
        <v>0.14285714285714285</v>
      </c>
      <c r="H306" s="385">
        <f t="shared" si="39"/>
        <v>441172.17028502183</v>
      </c>
      <c r="I306" s="751">
        <f t="shared" si="42"/>
        <v>2.610123273266697E-4</v>
      </c>
      <c r="J306" s="752">
        <f t="shared" si="40"/>
        <v>3235627.8294539656</v>
      </c>
      <c r="K306" s="385">
        <f t="shared" si="43"/>
        <v>3235627.8297149781</v>
      </c>
      <c r="L306" s="752">
        <f t="shared" si="44"/>
        <v>1.171603798866272E-5</v>
      </c>
    </row>
    <row r="307" spans="1:12" x14ac:dyDescent="0.75">
      <c r="A307" s="309" t="str">
        <f t="shared" si="41"/>
        <v/>
      </c>
      <c r="B307" s="310">
        <v>300</v>
      </c>
      <c r="C307" s="746">
        <f>IF('User Dashboard'!Z$12=5,
IF('SIR Model Patient Calcs'!B307&lt;'User Dashboard'!AJ$15,'User Dashboard'!AN$14,
IF('SIR Model Patient Calcs'!B307&lt;'User Dashboard'!AJ$16,'User Dashboard'!AN$15,
IF('SIR Model Patient Calcs'!B307&lt;'User Dashboard'!AJ$17,'User Dashboard'!AN$16,
IF('SIR Model Patient Calcs'!B307&lt;'User Dashboard'!AJ$18,'User Dashboard'!AN$17,
'User Dashboard'!AN$18)))),
IF('User Dashboard'!Z$12=4,
IF('SIR Model Patient Calcs'!B307&lt;'User Dashboard'!AJ$15,'User Dashboard'!AN$14,
IF('SIR Model Patient Calcs'!B307&lt;'User Dashboard'!AJ$16,'User Dashboard'!AN$15,
IF('SIR Model Patient Calcs'!B307&lt;'User Dashboard'!AJ$17,'User Dashboard'!AN$16,
'User Dashboard'!AN$17))),
IF('User Dashboard'!Z$12=3,
IF('SIR Model Patient Calcs'!B307&lt;'User Dashboard'!AJ$15,'User Dashboard'!AN$14,
IF('SIR Model Patient Calcs'!B307&lt;'User Dashboard'!AJ$16,'User Dashboard'!AN$15,
'User Dashboard'!AN$16)),
IF('User Dashboard'!Z$12=2,
IF('SIR Model Patient Calcs'!B307&lt;'User Dashboard'!AJ$15,'User Dashboard'!AN$14,
'User Dashboard'!AN$15),
IF('User Dashboard'!Z$12=1,
'User Dashboard'!AN$14)))))</f>
        <v>15.209356603107825</v>
      </c>
      <c r="D307" s="747">
        <f>'User Dashboard'!X$15</f>
        <v>2.2072878851804097E-2</v>
      </c>
      <c r="E307" s="739">
        <f t="shared" si="38"/>
        <v>9.1306104687305738E-8</v>
      </c>
      <c r="F307" s="739">
        <f t="shared" si="45"/>
        <v>9.1306104687305725E-8</v>
      </c>
      <c r="G307" s="749">
        <f>1/'User Dashboard'!X$12</f>
        <v>0.14285714285714285</v>
      </c>
      <c r="H307" s="385">
        <f t="shared" si="39"/>
        <v>441172.17027450778</v>
      </c>
      <c r="I307" s="751">
        <f t="shared" si="42"/>
        <v>2.3423887548742485E-4</v>
      </c>
      <c r="J307" s="752">
        <f t="shared" si="40"/>
        <v>3235627.829491253</v>
      </c>
      <c r="K307" s="385">
        <f t="shared" si="43"/>
        <v>3235627.8297254918</v>
      </c>
      <c r="L307" s="752">
        <f t="shared" si="44"/>
        <v>1.0513700544834137E-5</v>
      </c>
    </row>
    <row r="308" spans="1:12" x14ac:dyDescent="0.75">
      <c r="A308" s="309" t="str">
        <f t="shared" si="41"/>
        <v/>
      </c>
      <c r="B308" s="310">
        <v>301</v>
      </c>
      <c r="C308" s="746">
        <f>IF('User Dashboard'!Z$12=5,
IF('SIR Model Patient Calcs'!B308&lt;'User Dashboard'!AJ$15,'User Dashboard'!AN$14,
IF('SIR Model Patient Calcs'!B308&lt;'User Dashboard'!AJ$16,'User Dashboard'!AN$15,
IF('SIR Model Patient Calcs'!B308&lt;'User Dashboard'!AJ$17,'User Dashboard'!AN$16,
IF('SIR Model Patient Calcs'!B308&lt;'User Dashboard'!AJ$18,'User Dashboard'!AN$17,
'User Dashboard'!AN$18)))),
IF('User Dashboard'!Z$12=4,
IF('SIR Model Patient Calcs'!B308&lt;'User Dashboard'!AJ$15,'User Dashboard'!AN$14,
IF('SIR Model Patient Calcs'!B308&lt;'User Dashboard'!AJ$16,'User Dashboard'!AN$15,
IF('SIR Model Patient Calcs'!B308&lt;'User Dashboard'!AJ$17,'User Dashboard'!AN$16,
'User Dashboard'!AN$17))),
IF('User Dashboard'!Z$12=3,
IF('SIR Model Patient Calcs'!B308&lt;'User Dashboard'!AJ$15,'User Dashboard'!AN$14,
IF('SIR Model Patient Calcs'!B308&lt;'User Dashboard'!AJ$16,'User Dashboard'!AN$15,
'User Dashboard'!AN$16)),
IF('User Dashboard'!Z$12=2,
IF('SIR Model Patient Calcs'!B308&lt;'User Dashboard'!AJ$15,'User Dashboard'!AN$14,
'User Dashboard'!AN$15),
IF('User Dashboard'!Z$12=1,
'User Dashboard'!AN$14)))))</f>
        <v>15.209356603107825</v>
      </c>
      <c r="D308" s="747">
        <f>'User Dashboard'!X$15</f>
        <v>2.2072878851804097E-2</v>
      </c>
      <c r="E308" s="739">
        <f t="shared" si="38"/>
        <v>9.1306104687305725E-8</v>
      </c>
      <c r="F308" s="739">
        <f t="shared" si="45"/>
        <v>9.1306104687305725E-8</v>
      </c>
      <c r="G308" s="749">
        <f>1/'User Dashboard'!X$12</f>
        <v>0.14285714285714285</v>
      </c>
      <c r="H308" s="385">
        <f t="shared" si="39"/>
        <v>441172.17026507226</v>
      </c>
      <c r="I308" s="751">
        <f t="shared" si="42"/>
        <v>2.1021172199612177E-4</v>
      </c>
      <c r="J308" s="752">
        <f t="shared" si="40"/>
        <v>3235627.8295247159</v>
      </c>
      <c r="K308" s="385">
        <f t="shared" si="43"/>
        <v>3235627.8297349275</v>
      </c>
      <c r="L308" s="752">
        <f t="shared" si="44"/>
        <v>9.4356946647167206E-6</v>
      </c>
    </row>
    <row r="309" spans="1:12" x14ac:dyDescent="0.75">
      <c r="A309" s="309" t="str">
        <f t="shared" si="41"/>
        <v/>
      </c>
      <c r="B309" s="310">
        <v>302</v>
      </c>
      <c r="C309" s="746">
        <f>IF('User Dashboard'!Z$12=5,
IF('SIR Model Patient Calcs'!B309&lt;'User Dashboard'!AJ$15,'User Dashboard'!AN$14,
IF('SIR Model Patient Calcs'!B309&lt;'User Dashboard'!AJ$16,'User Dashboard'!AN$15,
IF('SIR Model Patient Calcs'!B309&lt;'User Dashboard'!AJ$17,'User Dashboard'!AN$16,
IF('SIR Model Patient Calcs'!B309&lt;'User Dashboard'!AJ$18,'User Dashboard'!AN$17,
'User Dashboard'!AN$18)))),
IF('User Dashboard'!Z$12=4,
IF('SIR Model Patient Calcs'!B309&lt;'User Dashboard'!AJ$15,'User Dashboard'!AN$14,
IF('SIR Model Patient Calcs'!B309&lt;'User Dashboard'!AJ$16,'User Dashboard'!AN$15,
IF('SIR Model Patient Calcs'!B309&lt;'User Dashboard'!AJ$17,'User Dashboard'!AN$16,
'User Dashboard'!AN$17))),
IF('User Dashboard'!Z$12=3,
IF('SIR Model Patient Calcs'!B309&lt;'User Dashboard'!AJ$15,'User Dashboard'!AN$14,
IF('SIR Model Patient Calcs'!B309&lt;'User Dashboard'!AJ$16,'User Dashboard'!AN$15,
'User Dashboard'!AN$16)),
IF('User Dashboard'!Z$12=2,
IF('SIR Model Patient Calcs'!B309&lt;'User Dashboard'!AJ$15,'User Dashboard'!AN$14,
'User Dashboard'!AN$15),
IF('User Dashboard'!Z$12=1,
'User Dashboard'!AN$14)))))</f>
        <v>15.209356603107825</v>
      </c>
      <c r="D309" s="747">
        <f>'User Dashboard'!X$15</f>
        <v>2.2072878851804097E-2</v>
      </c>
      <c r="E309" s="739">
        <f t="shared" si="38"/>
        <v>9.1306104687305738E-8</v>
      </c>
      <c r="F309" s="739">
        <f t="shared" si="45"/>
        <v>9.1306104687305725E-8</v>
      </c>
      <c r="G309" s="749">
        <f>1/'User Dashboard'!X$12</f>
        <v>0.14285714285714285</v>
      </c>
      <c r="H309" s="385">
        <f t="shared" si="39"/>
        <v>441172.17025660456</v>
      </c>
      <c r="I309" s="751">
        <f t="shared" si="42"/>
        <v>1.8864916411752777E-4</v>
      </c>
      <c r="J309" s="752">
        <f t="shared" si="40"/>
        <v>3235627.8295547459</v>
      </c>
      <c r="K309" s="385">
        <f t="shared" si="43"/>
        <v>3235627.8297433951</v>
      </c>
      <c r="L309" s="752">
        <f t="shared" si="44"/>
        <v>8.4675848484039307E-6</v>
      </c>
    </row>
    <row r="310" spans="1:12" x14ac:dyDescent="0.75">
      <c r="A310" s="309" t="str">
        <f t="shared" si="41"/>
        <v/>
      </c>
      <c r="B310" s="310">
        <v>303</v>
      </c>
      <c r="C310" s="746">
        <f>IF('User Dashboard'!Z$12=5,
IF('SIR Model Patient Calcs'!B310&lt;'User Dashboard'!AJ$15,'User Dashboard'!AN$14,
IF('SIR Model Patient Calcs'!B310&lt;'User Dashboard'!AJ$16,'User Dashboard'!AN$15,
IF('SIR Model Patient Calcs'!B310&lt;'User Dashboard'!AJ$17,'User Dashboard'!AN$16,
IF('SIR Model Patient Calcs'!B310&lt;'User Dashboard'!AJ$18,'User Dashboard'!AN$17,
'User Dashboard'!AN$18)))),
IF('User Dashboard'!Z$12=4,
IF('SIR Model Patient Calcs'!B310&lt;'User Dashboard'!AJ$15,'User Dashboard'!AN$14,
IF('SIR Model Patient Calcs'!B310&lt;'User Dashboard'!AJ$16,'User Dashboard'!AN$15,
IF('SIR Model Patient Calcs'!B310&lt;'User Dashboard'!AJ$17,'User Dashboard'!AN$16,
'User Dashboard'!AN$17))),
IF('User Dashboard'!Z$12=3,
IF('SIR Model Patient Calcs'!B310&lt;'User Dashboard'!AJ$15,'User Dashboard'!AN$14,
IF('SIR Model Patient Calcs'!B310&lt;'User Dashboard'!AJ$16,'User Dashboard'!AN$15,
'User Dashboard'!AN$16)),
IF('User Dashboard'!Z$12=2,
IF('SIR Model Patient Calcs'!B310&lt;'User Dashboard'!AJ$15,'User Dashboard'!AN$14,
'User Dashboard'!AN$15),
IF('User Dashboard'!Z$12=1,
'User Dashboard'!AN$14)))))</f>
        <v>15.209356603107825</v>
      </c>
      <c r="D310" s="747">
        <f>'User Dashboard'!X$15</f>
        <v>2.2072878851804097E-2</v>
      </c>
      <c r="E310" s="739">
        <f t="shared" si="38"/>
        <v>9.1306104687305738E-8</v>
      </c>
      <c r="F310" s="739">
        <f t="shared" si="45"/>
        <v>9.1306104687305725E-8</v>
      </c>
      <c r="G310" s="749">
        <f>1/'User Dashboard'!X$12</f>
        <v>0.14285714285714285</v>
      </c>
      <c r="H310" s="385">
        <f t="shared" si="39"/>
        <v>441172.17024900543</v>
      </c>
      <c r="I310" s="751">
        <f t="shared" si="42"/>
        <v>1.6929839489573204E-4</v>
      </c>
      <c r="J310" s="752">
        <f t="shared" si="40"/>
        <v>3235627.8295816956</v>
      </c>
      <c r="K310" s="385">
        <f t="shared" si="43"/>
        <v>3235627.8297509942</v>
      </c>
      <c r="L310" s="752">
        <f t="shared" si="44"/>
        <v>7.5991265475749969E-6</v>
      </c>
    </row>
    <row r="311" spans="1:12" x14ac:dyDescent="0.75">
      <c r="A311" s="309" t="str">
        <f t="shared" si="41"/>
        <v/>
      </c>
      <c r="B311" s="310">
        <v>304</v>
      </c>
      <c r="C311" s="746">
        <f>IF('User Dashboard'!Z$12=5,
IF('SIR Model Patient Calcs'!B311&lt;'User Dashboard'!AJ$15,'User Dashboard'!AN$14,
IF('SIR Model Patient Calcs'!B311&lt;'User Dashboard'!AJ$16,'User Dashboard'!AN$15,
IF('SIR Model Patient Calcs'!B311&lt;'User Dashboard'!AJ$17,'User Dashboard'!AN$16,
IF('SIR Model Patient Calcs'!B311&lt;'User Dashboard'!AJ$18,'User Dashboard'!AN$17,
'User Dashboard'!AN$18)))),
IF('User Dashboard'!Z$12=4,
IF('SIR Model Patient Calcs'!B311&lt;'User Dashboard'!AJ$15,'User Dashboard'!AN$14,
IF('SIR Model Patient Calcs'!B311&lt;'User Dashboard'!AJ$16,'User Dashboard'!AN$15,
IF('SIR Model Patient Calcs'!B311&lt;'User Dashboard'!AJ$17,'User Dashboard'!AN$16,
'User Dashboard'!AN$17))),
IF('User Dashboard'!Z$12=3,
IF('SIR Model Patient Calcs'!B311&lt;'User Dashboard'!AJ$15,'User Dashboard'!AN$14,
IF('SIR Model Patient Calcs'!B311&lt;'User Dashboard'!AJ$16,'User Dashboard'!AN$15,
'User Dashboard'!AN$16)),
IF('User Dashboard'!Z$12=2,
IF('SIR Model Patient Calcs'!B311&lt;'User Dashboard'!AJ$15,'User Dashboard'!AN$14,
'User Dashboard'!AN$15),
IF('User Dashboard'!Z$12=1,
'User Dashboard'!AN$14)))))</f>
        <v>15.209356603107825</v>
      </c>
      <c r="D311" s="747">
        <f>'User Dashboard'!X$15</f>
        <v>2.2072878851804097E-2</v>
      </c>
      <c r="E311" s="739">
        <f t="shared" si="38"/>
        <v>9.1306104687305738E-8</v>
      </c>
      <c r="F311" s="739">
        <f t="shared" si="45"/>
        <v>9.1306104687305725E-8</v>
      </c>
      <c r="G311" s="749">
        <f>1/'User Dashboard'!X$12</f>
        <v>0.14285714285714285</v>
      </c>
      <c r="H311" s="385">
        <f t="shared" si="39"/>
        <v>441172.17024218582</v>
      </c>
      <c r="I311" s="751">
        <f t="shared" si="42"/>
        <v>1.5193253915714557E-4</v>
      </c>
      <c r="J311" s="752">
        <f t="shared" si="40"/>
        <v>3235627.8296058811</v>
      </c>
      <c r="K311" s="385">
        <f t="shared" si="43"/>
        <v>3235627.8297578138</v>
      </c>
      <c r="L311" s="752">
        <f t="shared" si="44"/>
        <v>6.8196095526218414E-6</v>
      </c>
    </row>
    <row r="312" spans="1:12" x14ac:dyDescent="0.75">
      <c r="A312" s="309" t="str">
        <f t="shared" si="41"/>
        <v/>
      </c>
      <c r="B312" s="310">
        <v>305</v>
      </c>
      <c r="C312" s="746">
        <f>IF('User Dashboard'!Z$12=5,
IF('SIR Model Patient Calcs'!B312&lt;'User Dashboard'!AJ$15,'User Dashboard'!AN$14,
IF('SIR Model Patient Calcs'!B312&lt;'User Dashboard'!AJ$16,'User Dashboard'!AN$15,
IF('SIR Model Patient Calcs'!B312&lt;'User Dashboard'!AJ$17,'User Dashboard'!AN$16,
IF('SIR Model Patient Calcs'!B312&lt;'User Dashboard'!AJ$18,'User Dashboard'!AN$17,
'User Dashboard'!AN$18)))),
IF('User Dashboard'!Z$12=4,
IF('SIR Model Patient Calcs'!B312&lt;'User Dashboard'!AJ$15,'User Dashboard'!AN$14,
IF('SIR Model Patient Calcs'!B312&lt;'User Dashboard'!AJ$16,'User Dashboard'!AN$15,
IF('SIR Model Patient Calcs'!B312&lt;'User Dashboard'!AJ$17,'User Dashboard'!AN$16,
'User Dashboard'!AN$17))),
IF('User Dashboard'!Z$12=3,
IF('SIR Model Patient Calcs'!B312&lt;'User Dashboard'!AJ$15,'User Dashboard'!AN$14,
IF('SIR Model Patient Calcs'!B312&lt;'User Dashboard'!AJ$16,'User Dashboard'!AN$15,
'User Dashboard'!AN$16)),
IF('User Dashboard'!Z$12=2,
IF('SIR Model Patient Calcs'!B312&lt;'User Dashboard'!AJ$15,'User Dashboard'!AN$14,
'User Dashboard'!AN$15),
IF('User Dashboard'!Z$12=1,
'User Dashboard'!AN$14)))))</f>
        <v>15.209356603107825</v>
      </c>
      <c r="D312" s="747">
        <f>'User Dashboard'!X$15</f>
        <v>2.2072878851804097E-2</v>
      </c>
      <c r="E312" s="739">
        <f t="shared" si="38"/>
        <v>9.1306104687305751E-8</v>
      </c>
      <c r="F312" s="739">
        <f t="shared" si="45"/>
        <v>9.1306104687305725E-8</v>
      </c>
      <c r="G312" s="749">
        <f>1/'User Dashboard'!X$12</f>
        <v>0.14285714285714285</v>
      </c>
      <c r="H312" s="385">
        <f t="shared" si="39"/>
        <v>441172.17023606569</v>
      </c>
      <c r="I312" s="751">
        <f t="shared" si="42"/>
        <v>1.3634799354676861E-4</v>
      </c>
      <c r="J312" s="752">
        <f t="shared" si="40"/>
        <v>3235627.8296275856</v>
      </c>
      <c r="K312" s="385">
        <f t="shared" si="43"/>
        <v>3235627.8297639336</v>
      </c>
      <c r="L312" s="752">
        <f t="shared" si="44"/>
        <v>6.1197206377983093E-6</v>
      </c>
    </row>
    <row r="313" spans="1:12" x14ac:dyDescent="0.75">
      <c r="A313" s="309" t="str">
        <f t="shared" si="41"/>
        <v/>
      </c>
      <c r="B313" s="310">
        <v>306</v>
      </c>
      <c r="C313" s="746">
        <f>IF('User Dashboard'!Z$12=5,
IF('SIR Model Patient Calcs'!B313&lt;'User Dashboard'!AJ$15,'User Dashboard'!AN$14,
IF('SIR Model Patient Calcs'!B313&lt;'User Dashboard'!AJ$16,'User Dashboard'!AN$15,
IF('SIR Model Patient Calcs'!B313&lt;'User Dashboard'!AJ$17,'User Dashboard'!AN$16,
IF('SIR Model Patient Calcs'!B313&lt;'User Dashboard'!AJ$18,'User Dashboard'!AN$17,
'User Dashboard'!AN$18)))),
IF('User Dashboard'!Z$12=4,
IF('SIR Model Patient Calcs'!B313&lt;'User Dashboard'!AJ$15,'User Dashboard'!AN$14,
IF('SIR Model Patient Calcs'!B313&lt;'User Dashboard'!AJ$16,'User Dashboard'!AN$15,
IF('SIR Model Patient Calcs'!B313&lt;'User Dashboard'!AJ$17,'User Dashboard'!AN$16,
'User Dashboard'!AN$17))),
IF('User Dashboard'!Z$12=3,
IF('SIR Model Patient Calcs'!B313&lt;'User Dashboard'!AJ$15,'User Dashboard'!AN$14,
IF('SIR Model Patient Calcs'!B313&lt;'User Dashboard'!AJ$16,'User Dashboard'!AN$15,
'User Dashboard'!AN$16)),
IF('User Dashboard'!Z$12=2,
IF('SIR Model Patient Calcs'!B313&lt;'User Dashboard'!AJ$15,'User Dashboard'!AN$14,
'User Dashboard'!AN$15),
IF('User Dashboard'!Z$12=1,
'User Dashboard'!AN$14)))))</f>
        <v>15.209356603107825</v>
      </c>
      <c r="D313" s="747">
        <f>'User Dashboard'!X$15</f>
        <v>2.2072878851804097E-2</v>
      </c>
      <c r="E313" s="739">
        <f t="shared" si="38"/>
        <v>9.1306104687305751E-8</v>
      </c>
      <c r="F313" s="739">
        <f t="shared" si="45"/>
        <v>9.1306104687305725E-8</v>
      </c>
      <c r="G313" s="749">
        <f>1/'User Dashboard'!X$12</f>
        <v>0.14285714285714285</v>
      </c>
      <c r="H313" s="385">
        <f t="shared" si="39"/>
        <v>441172.17023057333</v>
      </c>
      <c r="I313" s="751">
        <f t="shared" si="42"/>
        <v>1.2236203941138262E-4</v>
      </c>
      <c r="J313" s="752">
        <f t="shared" si="40"/>
        <v>3235627.8296470637</v>
      </c>
      <c r="K313" s="385">
        <f t="shared" si="43"/>
        <v>3235627.8297694256</v>
      </c>
      <c r="L313" s="752">
        <f t="shared" si="44"/>
        <v>5.4920092225074768E-6</v>
      </c>
    </row>
    <row r="314" spans="1:12" x14ac:dyDescent="0.75">
      <c r="A314" s="309" t="str">
        <f t="shared" si="41"/>
        <v/>
      </c>
      <c r="B314" s="310">
        <v>307</v>
      </c>
      <c r="C314" s="746">
        <f>IF('User Dashboard'!Z$12=5,
IF('SIR Model Patient Calcs'!B314&lt;'User Dashboard'!AJ$15,'User Dashboard'!AN$14,
IF('SIR Model Patient Calcs'!B314&lt;'User Dashboard'!AJ$16,'User Dashboard'!AN$15,
IF('SIR Model Patient Calcs'!B314&lt;'User Dashboard'!AJ$17,'User Dashboard'!AN$16,
IF('SIR Model Patient Calcs'!B314&lt;'User Dashboard'!AJ$18,'User Dashboard'!AN$17,
'User Dashboard'!AN$18)))),
IF('User Dashboard'!Z$12=4,
IF('SIR Model Patient Calcs'!B314&lt;'User Dashboard'!AJ$15,'User Dashboard'!AN$14,
IF('SIR Model Patient Calcs'!B314&lt;'User Dashboard'!AJ$16,'User Dashboard'!AN$15,
IF('SIR Model Patient Calcs'!B314&lt;'User Dashboard'!AJ$17,'User Dashboard'!AN$16,
'User Dashboard'!AN$17))),
IF('User Dashboard'!Z$12=3,
IF('SIR Model Patient Calcs'!B314&lt;'User Dashboard'!AJ$15,'User Dashboard'!AN$14,
IF('SIR Model Patient Calcs'!B314&lt;'User Dashboard'!AJ$16,'User Dashboard'!AN$15,
'User Dashboard'!AN$16)),
IF('User Dashboard'!Z$12=2,
IF('SIR Model Patient Calcs'!B314&lt;'User Dashboard'!AJ$15,'User Dashboard'!AN$14,
'User Dashboard'!AN$15),
IF('User Dashboard'!Z$12=1,
'User Dashboard'!AN$14)))))</f>
        <v>15.209356603107825</v>
      </c>
      <c r="D314" s="747">
        <f>'User Dashboard'!X$15</f>
        <v>2.2072878851804097E-2</v>
      </c>
      <c r="E314" s="739">
        <f t="shared" si="38"/>
        <v>9.1306104687305751E-8</v>
      </c>
      <c r="F314" s="739">
        <f t="shared" si="45"/>
        <v>9.1306104687305725E-8</v>
      </c>
      <c r="G314" s="749">
        <f>1/'User Dashboard'!X$12</f>
        <v>0.14285714285714285</v>
      </c>
      <c r="H314" s="385">
        <f t="shared" si="39"/>
        <v>441172.17022564437</v>
      </c>
      <c r="I314" s="751">
        <f t="shared" si="42"/>
        <v>1.09810700542276E-4</v>
      </c>
      <c r="J314" s="752">
        <f t="shared" si="40"/>
        <v>3235627.8296645442</v>
      </c>
      <c r="K314" s="385">
        <f t="shared" si="43"/>
        <v>3235627.8297743551</v>
      </c>
      <c r="L314" s="752">
        <f t="shared" si="44"/>
        <v>4.9294903874397278E-6</v>
      </c>
    </row>
    <row r="315" spans="1:12" x14ac:dyDescent="0.75">
      <c r="A315" s="309" t="str">
        <f t="shared" si="41"/>
        <v/>
      </c>
      <c r="B315" s="310">
        <v>308</v>
      </c>
      <c r="C315" s="746">
        <f>IF('User Dashboard'!Z$12=5,
IF('SIR Model Patient Calcs'!B315&lt;'User Dashboard'!AJ$15,'User Dashboard'!AN$14,
IF('SIR Model Patient Calcs'!B315&lt;'User Dashboard'!AJ$16,'User Dashboard'!AN$15,
IF('SIR Model Patient Calcs'!B315&lt;'User Dashboard'!AJ$17,'User Dashboard'!AN$16,
IF('SIR Model Patient Calcs'!B315&lt;'User Dashboard'!AJ$18,'User Dashboard'!AN$17,
'User Dashboard'!AN$18)))),
IF('User Dashboard'!Z$12=4,
IF('SIR Model Patient Calcs'!B315&lt;'User Dashboard'!AJ$15,'User Dashboard'!AN$14,
IF('SIR Model Patient Calcs'!B315&lt;'User Dashboard'!AJ$16,'User Dashboard'!AN$15,
IF('SIR Model Patient Calcs'!B315&lt;'User Dashboard'!AJ$17,'User Dashboard'!AN$16,
'User Dashboard'!AN$17))),
IF('User Dashboard'!Z$12=3,
IF('SIR Model Patient Calcs'!B315&lt;'User Dashboard'!AJ$15,'User Dashboard'!AN$14,
IF('SIR Model Patient Calcs'!B315&lt;'User Dashboard'!AJ$16,'User Dashboard'!AN$15,
'User Dashboard'!AN$16)),
IF('User Dashboard'!Z$12=2,
IF('SIR Model Patient Calcs'!B315&lt;'User Dashboard'!AJ$15,'User Dashboard'!AN$14,
'User Dashboard'!AN$15),
IF('User Dashboard'!Z$12=1,
'User Dashboard'!AN$14)))))</f>
        <v>15.209356603107825</v>
      </c>
      <c r="D315" s="747">
        <f>'User Dashboard'!X$15</f>
        <v>2.2072878851804097E-2</v>
      </c>
      <c r="E315" s="739">
        <f t="shared" si="38"/>
        <v>9.1306104687305751E-8</v>
      </c>
      <c r="F315" s="739">
        <f t="shared" si="45"/>
        <v>9.1306104687305725E-8</v>
      </c>
      <c r="G315" s="749">
        <f>1/'User Dashboard'!X$12</f>
        <v>0.14285714285714285</v>
      </c>
      <c r="H315" s="385">
        <f t="shared" si="39"/>
        <v>441172.17022122099</v>
      </c>
      <c r="I315" s="751">
        <f t="shared" si="42"/>
        <v>9.8546820660931587E-5</v>
      </c>
      <c r="J315" s="752">
        <f t="shared" si="40"/>
        <v>3235627.8296802314</v>
      </c>
      <c r="K315" s="385">
        <f t="shared" si="43"/>
        <v>3235627.8297787784</v>
      </c>
      <c r="L315" s="752">
        <f t="shared" si="44"/>
        <v>4.4233165681362152E-6</v>
      </c>
    </row>
    <row r="316" spans="1:12" x14ac:dyDescent="0.75">
      <c r="A316" s="309" t="str">
        <f t="shared" si="41"/>
        <v/>
      </c>
      <c r="B316" s="310">
        <v>309</v>
      </c>
      <c r="C316" s="746">
        <f>IF('User Dashboard'!Z$12=5,
IF('SIR Model Patient Calcs'!B316&lt;'User Dashboard'!AJ$15,'User Dashboard'!AN$14,
IF('SIR Model Patient Calcs'!B316&lt;'User Dashboard'!AJ$16,'User Dashboard'!AN$15,
IF('SIR Model Patient Calcs'!B316&lt;'User Dashboard'!AJ$17,'User Dashboard'!AN$16,
IF('SIR Model Patient Calcs'!B316&lt;'User Dashboard'!AJ$18,'User Dashboard'!AN$17,
'User Dashboard'!AN$18)))),
IF('User Dashboard'!Z$12=4,
IF('SIR Model Patient Calcs'!B316&lt;'User Dashboard'!AJ$15,'User Dashboard'!AN$14,
IF('SIR Model Patient Calcs'!B316&lt;'User Dashboard'!AJ$16,'User Dashboard'!AN$15,
IF('SIR Model Patient Calcs'!B316&lt;'User Dashboard'!AJ$17,'User Dashboard'!AN$16,
'User Dashboard'!AN$17))),
IF('User Dashboard'!Z$12=3,
IF('SIR Model Patient Calcs'!B316&lt;'User Dashboard'!AJ$15,'User Dashboard'!AN$14,
IF('SIR Model Patient Calcs'!B316&lt;'User Dashboard'!AJ$16,'User Dashboard'!AN$15,
'User Dashboard'!AN$16)),
IF('User Dashboard'!Z$12=2,
IF('SIR Model Patient Calcs'!B316&lt;'User Dashboard'!AJ$15,'User Dashboard'!AN$14,
'User Dashboard'!AN$15),
IF('User Dashboard'!Z$12=1,
'User Dashboard'!AN$14)))))</f>
        <v>15.209356603107825</v>
      </c>
      <c r="D316" s="747">
        <f>'User Dashboard'!X$15</f>
        <v>2.2072878851804097E-2</v>
      </c>
      <c r="E316" s="739">
        <f t="shared" si="38"/>
        <v>9.1306104687305738E-8</v>
      </c>
      <c r="F316" s="739">
        <f t="shared" si="45"/>
        <v>9.1306104687305725E-8</v>
      </c>
      <c r="G316" s="749">
        <f>1/'User Dashboard'!X$12</f>
        <v>0.14285714285714285</v>
      </c>
      <c r="H316" s="385">
        <f t="shared" si="39"/>
        <v>441172.17021725135</v>
      </c>
      <c r="I316" s="751">
        <f t="shared" si="42"/>
        <v>8.8438338107447214E-5</v>
      </c>
      <c r="J316" s="752">
        <f t="shared" si="40"/>
        <v>3235627.8296943097</v>
      </c>
      <c r="K316" s="385">
        <f t="shared" si="43"/>
        <v>3235627.8297827481</v>
      </c>
      <c r="L316" s="752">
        <f t="shared" si="44"/>
        <v>3.9697624742984772E-6</v>
      </c>
    </row>
    <row r="317" spans="1:12" x14ac:dyDescent="0.75">
      <c r="A317" s="309" t="str">
        <f t="shared" si="41"/>
        <v/>
      </c>
      <c r="B317" s="310">
        <v>310</v>
      </c>
      <c r="C317" s="746">
        <f>IF('User Dashboard'!Z$12=5,
IF('SIR Model Patient Calcs'!B317&lt;'User Dashboard'!AJ$15,'User Dashboard'!AN$14,
IF('SIR Model Patient Calcs'!B317&lt;'User Dashboard'!AJ$16,'User Dashboard'!AN$15,
IF('SIR Model Patient Calcs'!B317&lt;'User Dashboard'!AJ$17,'User Dashboard'!AN$16,
IF('SIR Model Patient Calcs'!B317&lt;'User Dashboard'!AJ$18,'User Dashboard'!AN$17,
'User Dashboard'!AN$18)))),
IF('User Dashboard'!Z$12=4,
IF('SIR Model Patient Calcs'!B317&lt;'User Dashboard'!AJ$15,'User Dashboard'!AN$14,
IF('SIR Model Patient Calcs'!B317&lt;'User Dashboard'!AJ$16,'User Dashboard'!AN$15,
IF('SIR Model Patient Calcs'!B317&lt;'User Dashboard'!AJ$17,'User Dashboard'!AN$16,
'User Dashboard'!AN$17))),
IF('User Dashboard'!Z$12=3,
IF('SIR Model Patient Calcs'!B317&lt;'User Dashboard'!AJ$15,'User Dashboard'!AN$14,
IF('SIR Model Patient Calcs'!B317&lt;'User Dashboard'!AJ$16,'User Dashboard'!AN$15,
'User Dashboard'!AN$16)),
IF('User Dashboard'!Z$12=2,
IF('SIR Model Patient Calcs'!B317&lt;'User Dashboard'!AJ$15,'User Dashboard'!AN$14,
'User Dashboard'!AN$15),
IF('User Dashboard'!Z$12=1,
'User Dashboard'!AN$14)))))</f>
        <v>15.209356603107825</v>
      </c>
      <c r="D317" s="747">
        <f>'User Dashboard'!X$15</f>
        <v>2.2072878851804097E-2</v>
      </c>
      <c r="E317" s="739">
        <f t="shared" si="38"/>
        <v>9.1306104687305751E-8</v>
      </c>
      <c r="F317" s="739">
        <f t="shared" si="45"/>
        <v>9.1306104687305738E-8</v>
      </c>
      <c r="G317" s="749">
        <f>1/'User Dashboard'!X$12</f>
        <v>0.14285714285714285</v>
      </c>
      <c r="H317" s="385">
        <f t="shared" si="39"/>
        <v>441172.17021368892</v>
      </c>
      <c r="I317" s="751">
        <f t="shared" si="42"/>
        <v>7.9366737503533923E-5</v>
      </c>
      <c r="J317" s="752">
        <f t="shared" si="40"/>
        <v>3235627.8297069436</v>
      </c>
      <c r="K317" s="385">
        <f t="shared" si="43"/>
        <v>3235627.8297863104</v>
      </c>
      <c r="L317" s="752">
        <f t="shared" si="44"/>
        <v>3.5623088479042053E-6</v>
      </c>
    </row>
    <row r="318" spans="1:12" x14ac:dyDescent="0.75">
      <c r="A318" s="309" t="str">
        <f t="shared" si="41"/>
        <v/>
      </c>
      <c r="B318" s="310">
        <v>311</v>
      </c>
      <c r="C318" s="746">
        <f>IF('User Dashboard'!Z$12=5,
IF('SIR Model Patient Calcs'!B318&lt;'User Dashboard'!AJ$15,'User Dashboard'!AN$14,
IF('SIR Model Patient Calcs'!B318&lt;'User Dashboard'!AJ$16,'User Dashboard'!AN$15,
IF('SIR Model Patient Calcs'!B318&lt;'User Dashboard'!AJ$17,'User Dashboard'!AN$16,
IF('SIR Model Patient Calcs'!B318&lt;'User Dashboard'!AJ$18,'User Dashboard'!AN$17,
'User Dashboard'!AN$18)))),
IF('User Dashboard'!Z$12=4,
IF('SIR Model Patient Calcs'!B318&lt;'User Dashboard'!AJ$15,'User Dashboard'!AN$14,
IF('SIR Model Patient Calcs'!B318&lt;'User Dashboard'!AJ$16,'User Dashboard'!AN$15,
IF('SIR Model Patient Calcs'!B318&lt;'User Dashboard'!AJ$17,'User Dashboard'!AN$16,
'User Dashboard'!AN$17))),
IF('User Dashboard'!Z$12=3,
IF('SIR Model Patient Calcs'!B318&lt;'User Dashboard'!AJ$15,'User Dashboard'!AN$14,
IF('SIR Model Patient Calcs'!B318&lt;'User Dashboard'!AJ$16,'User Dashboard'!AN$15,
'User Dashboard'!AN$16)),
IF('User Dashboard'!Z$12=2,
IF('SIR Model Patient Calcs'!B318&lt;'User Dashboard'!AJ$15,'User Dashboard'!AN$14,
'User Dashboard'!AN$15),
IF('User Dashboard'!Z$12=1,
'User Dashboard'!AN$14)))))</f>
        <v>15.209356603107825</v>
      </c>
      <c r="D318" s="747">
        <f>'User Dashboard'!X$15</f>
        <v>2.2072878851804097E-2</v>
      </c>
      <c r="E318" s="739">
        <f t="shared" si="38"/>
        <v>9.1306104687305751E-8</v>
      </c>
      <c r="F318" s="739">
        <f t="shared" si="45"/>
        <v>9.1306104687305738E-8</v>
      </c>
      <c r="G318" s="749">
        <f>1/'User Dashboard'!X$12</f>
        <v>0.14285714285714285</v>
      </c>
      <c r="H318" s="385">
        <f t="shared" si="39"/>
        <v>441172.17021049187</v>
      </c>
      <c r="I318" s="751">
        <f t="shared" si="42"/>
        <v>7.1225660236848602E-5</v>
      </c>
      <c r="J318" s="752">
        <f t="shared" si="40"/>
        <v>3235627.8297182815</v>
      </c>
      <c r="K318" s="385">
        <f t="shared" si="43"/>
        <v>3235627.8297895072</v>
      </c>
      <c r="L318" s="752">
        <f t="shared" si="44"/>
        <v>3.19676473736763E-6</v>
      </c>
    </row>
    <row r="319" spans="1:12" x14ac:dyDescent="0.75">
      <c r="A319" s="309" t="str">
        <f t="shared" si="41"/>
        <v/>
      </c>
      <c r="B319" s="310">
        <v>312</v>
      </c>
      <c r="C319" s="746">
        <f>IF('User Dashboard'!Z$12=5,
IF('SIR Model Patient Calcs'!B319&lt;'User Dashboard'!AJ$15,'User Dashboard'!AN$14,
IF('SIR Model Patient Calcs'!B319&lt;'User Dashboard'!AJ$16,'User Dashboard'!AN$15,
IF('SIR Model Patient Calcs'!B319&lt;'User Dashboard'!AJ$17,'User Dashboard'!AN$16,
IF('SIR Model Patient Calcs'!B319&lt;'User Dashboard'!AJ$18,'User Dashboard'!AN$17,
'User Dashboard'!AN$18)))),
IF('User Dashboard'!Z$12=4,
IF('SIR Model Patient Calcs'!B319&lt;'User Dashboard'!AJ$15,'User Dashboard'!AN$14,
IF('SIR Model Patient Calcs'!B319&lt;'User Dashboard'!AJ$16,'User Dashboard'!AN$15,
IF('SIR Model Patient Calcs'!B319&lt;'User Dashboard'!AJ$17,'User Dashboard'!AN$16,
'User Dashboard'!AN$17))),
IF('User Dashboard'!Z$12=3,
IF('SIR Model Patient Calcs'!B319&lt;'User Dashboard'!AJ$15,'User Dashboard'!AN$14,
IF('SIR Model Patient Calcs'!B319&lt;'User Dashboard'!AJ$16,'User Dashboard'!AN$15,
'User Dashboard'!AN$16)),
IF('User Dashboard'!Z$12=2,
IF('SIR Model Patient Calcs'!B319&lt;'User Dashboard'!AJ$15,'User Dashboard'!AN$14,
'User Dashboard'!AN$15),
IF('User Dashboard'!Z$12=1,
'User Dashboard'!AN$14)))))</f>
        <v>15.209356603107825</v>
      </c>
      <c r="D319" s="747">
        <f>'User Dashboard'!X$15</f>
        <v>2.2072878851804097E-2</v>
      </c>
      <c r="E319" s="739">
        <f t="shared" si="38"/>
        <v>9.1306104687305751E-8</v>
      </c>
      <c r="F319" s="739">
        <f t="shared" si="45"/>
        <v>9.1306104687305738E-8</v>
      </c>
      <c r="G319" s="749">
        <f>1/'User Dashboard'!X$12</f>
        <v>0.14285714285714285</v>
      </c>
      <c r="H319" s="385">
        <f t="shared" si="39"/>
        <v>441172.17020762275</v>
      </c>
      <c r="I319" s="751">
        <f t="shared" si="42"/>
        <v>6.3919657475494169E-5</v>
      </c>
      <c r="J319" s="752">
        <f t="shared" si="40"/>
        <v>3235627.8297284567</v>
      </c>
      <c r="K319" s="385">
        <f t="shared" si="43"/>
        <v>3235627.8297923761</v>
      </c>
      <c r="L319" s="752">
        <f t="shared" si="44"/>
        <v>2.8689391911029816E-6</v>
      </c>
    </row>
    <row r="320" spans="1:12" x14ac:dyDescent="0.75">
      <c r="A320" s="309" t="str">
        <f t="shared" si="41"/>
        <v/>
      </c>
      <c r="B320" s="310">
        <v>313</v>
      </c>
      <c r="C320" s="746">
        <f>IF('User Dashboard'!Z$12=5,
IF('SIR Model Patient Calcs'!B320&lt;'User Dashboard'!AJ$15,'User Dashboard'!AN$14,
IF('SIR Model Patient Calcs'!B320&lt;'User Dashboard'!AJ$16,'User Dashboard'!AN$15,
IF('SIR Model Patient Calcs'!B320&lt;'User Dashboard'!AJ$17,'User Dashboard'!AN$16,
IF('SIR Model Patient Calcs'!B320&lt;'User Dashboard'!AJ$18,'User Dashboard'!AN$17,
'User Dashboard'!AN$18)))),
IF('User Dashboard'!Z$12=4,
IF('SIR Model Patient Calcs'!B320&lt;'User Dashboard'!AJ$15,'User Dashboard'!AN$14,
IF('SIR Model Patient Calcs'!B320&lt;'User Dashboard'!AJ$16,'User Dashboard'!AN$15,
IF('SIR Model Patient Calcs'!B320&lt;'User Dashboard'!AJ$17,'User Dashboard'!AN$16,
'User Dashboard'!AN$17))),
IF('User Dashboard'!Z$12=3,
IF('SIR Model Patient Calcs'!B320&lt;'User Dashboard'!AJ$15,'User Dashboard'!AN$14,
IF('SIR Model Patient Calcs'!B320&lt;'User Dashboard'!AJ$16,'User Dashboard'!AN$15,
'User Dashboard'!AN$16)),
IF('User Dashboard'!Z$12=2,
IF('SIR Model Patient Calcs'!B320&lt;'User Dashboard'!AJ$15,'User Dashboard'!AN$14,
'User Dashboard'!AN$15),
IF('User Dashboard'!Z$12=1,
'User Dashboard'!AN$14)))))</f>
        <v>15.209356603107825</v>
      </c>
      <c r="D320" s="747">
        <f>'User Dashboard'!X$15</f>
        <v>2.2072878851804097E-2</v>
      </c>
      <c r="E320" s="739">
        <f t="shared" si="38"/>
        <v>9.1306104687305751E-8</v>
      </c>
      <c r="F320" s="739">
        <f t="shared" si="45"/>
        <v>9.1306104687305738E-8</v>
      </c>
      <c r="G320" s="749">
        <f>1/'User Dashboard'!X$12</f>
        <v>0.14285714285714285</v>
      </c>
      <c r="H320" s="385">
        <f t="shared" si="39"/>
        <v>441172.17020504794</v>
      </c>
      <c r="I320" s="751">
        <f t="shared" si="42"/>
        <v>5.7363071092594186E-5</v>
      </c>
      <c r="J320" s="752">
        <f t="shared" si="40"/>
        <v>3235627.8297375878</v>
      </c>
      <c r="K320" s="385">
        <f t="shared" si="43"/>
        <v>3235627.8297949508</v>
      </c>
      <c r="L320" s="752">
        <f t="shared" si="44"/>
        <v>2.5746412575244904E-6</v>
      </c>
    </row>
    <row r="321" spans="1:12" x14ac:dyDescent="0.75">
      <c r="A321" s="309" t="str">
        <f t="shared" si="41"/>
        <v/>
      </c>
      <c r="B321" s="310">
        <v>314</v>
      </c>
      <c r="C321" s="746">
        <f>IF('User Dashboard'!Z$12=5,
IF('SIR Model Patient Calcs'!B321&lt;'User Dashboard'!AJ$15,'User Dashboard'!AN$14,
IF('SIR Model Patient Calcs'!B321&lt;'User Dashboard'!AJ$16,'User Dashboard'!AN$15,
IF('SIR Model Patient Calcs'!B321&lt;'User Dashboard'!AJ$17,'User Dashboard'!AN$16,
IF('SIR Model Patient Calcs'!B321&lt;'User Dashboard'!AJ$18,'User Dashboard'!AN$17,
'User Dashboard'!AN$18)))),
IF('User Dashboard'!Z$12=4,
IF('SIR Model Patient Calcs'!B321&lt;'User Dashboard'!AJ$15,'User Dashboard'!AN$14,
IF('SIR Model Patient Calcs'!B321&lt;'User Dashboard'!AJ$16,'User Dashboard'!AN$15,
IF('SIR Model Patient Calcs'!B321&lt;'User Dashboard'!AJ$17,'User Dashboard'!AN$16,
'User Dashboard'!AN$17))),
IF('User Dashboard'!Z$12=3,
IF('SIR Model Patient Calcs'!B321&lt;'User Dashboard'!AJ$15,'User Dashboard'!AN$14,
IF('SIR Model Patient Calcs'!B321&lt;'User Dashboard'!AJ$16,'User Dashboard'!AN$15,
'User Dashboard'!AN$16)),
IF('User Dashboard'!Z$12=2,
IF('SIR Model Patient Calcs'!B321&lt;'User Dashboard'!AJ$15,'User Dashboard'!AN$14,
'User Dashboard'!AN$15),
IF('User Dashboard'!Z$12=1,
'User Dashboard'!AN$14)))))</f>
        <v>15.209356603107825</v>
      </c>
      <c r="D321" s="747">
        <f>'User Dashboard'!X$15</f>
        <v>2.2072878851804097E-2</v>
      </c>
      <c r="E321" s="739">
        <f t="shared" si="38"/>
        <v>9.1306104687305751E-8</v>
      </c>
      <c r="F321" s="739">
        <f t="shared" si="45"/>
        <v>9.1306104687305738E-8</v>
      </c>
      <c r="G321" s="749">
        <f>1/'User Dashboard'!X$12</f>
        <v>0.14285714285714285</v>
      </c>
      <c r="H321" s="385">
        <f t="shared" si="39"/>
        <v>441172.17020273727</v>
      </c>
      <c r="I321" s="751">
        <f t="shared" si="42"/>
        <v>5.1479029380510828E-5</v>
      </c>
      <c r="J321" s="752">
        <f t="shared" si="40"/>
        <v>3235627.8297457825</v>
      </c>
      <c r="K321" s="385">
        <f t="shared" si="43"/>
        <v>3235627.8297972614</v>
      </c>
      <c r="L321" s="752">
        <f t="shared" si="44"/>
        <v>2.3106113076210022E-6</v>
      </c>
    </row>
    <row r="322" spans="1:12" x14ac:dyDescent="0.75">
      <c r="A322" s="309" t="str">
        <f t="shared" si="41"/>
        <v/>
      </c>
      <c r="B322" s="310">
        <v>315</v>
      </c>
      <c r="C322" s="746">
        <f>IF('User Dashboard'!Z$12=5,
IF('SIR Model Patient Calcs'!B322&lt;'User Dashboard'!AJ$15,'User Dashboard'!AN$14,
IF('SIR Model Patient Calcs'!B322&lt;'User Dashboard'!AJ$16,'User Dashboard'!AN$15,
IF('SIR Model Patient Calcs'!B322&lt;'User Dashboard'!AJ$17,'User Dashboard'!AN$16,
IF('SIR Model Patient Calcs'!B322&lt;'User Dashboard'!AJ$18,'User Dashboard'!AN$17,
'User Dashboard'!AN$18)))),
IF('User Dashboard'!Z$12=4,
IF('SIR Model Patient Calcs'!B322&lt;'User Dashboard'!AJ$15,'User Dashboard'!AN$14,
IF('SIR Model Patient Calcs'!B322&lt;'User Dashboard'!AJ$16,'User Dashboard'!AN$15,
IF('SIR Model Patient Calcs'!B322&lt;'User Dashboard'!AJ$17,'User Dashboard'!AN$16,
'User Dashboard'!AN$17))),
IF('User Dashboard'!Z$12=3,
IF('SIR Model Patient Calcs'!B322&lt;'User Dashboard'!AJ$15,'User Dashboard'!AN$14,
IF('SIR Model Patient Calcs'!B322&lt;'User Dashboard'!AJ$16,'User Dashboard'!AN$15,
'User Dashboard'!AN$16)),
IF('User Dashboard'!Z$12=2,
IF('SIR Model Patient Calcs'!B322&lt;'User Dashboard'!AJ$15,'User Dashboard'!AN$14,
'User Dashboard'!AN$15),
IF('User Dashboard'!Z$12=1,
'User Dashboard'!AN$14)))))</f>
        <v>15.209356603107825</v>
      </c>
      <c r="D322" s="747">
        <f>'User Dashboard'!X$15</f>
        <v>2.2072878851804097E-2</v>
      </c>
      <c r="E322" s="739">
        <f t="shared" si="38"/>
        <v>9.1306104687305751E-8</v>
      </c>
      <c r="F322" s="739">
        <f t="shared" si="45"/>
        <v>9.1306104687305738E-8</v>
      </c>
      <c r="G322" s="749">
        <f>1/'User Dashboard'!X$12</f>
        <v>0.14285714285714285</v>
      </c>
      <c r="H322" s="385">
        <f t="shared" si="39"/>
        <v>441172.17020066362</v>
      </c>
      <c r="I322" s="751">
        <f t="shared" si="42"/>
        <v>4.6198545780109252E-5</v>
      </c>
      <c r="J322" s="752">
        <f t="shared" si="40"/>
        <v>3235627.8297531367</v>
      </c>
      <c r="K322" s="385">
        <f t="shared" si="43"/>
        <v>3235627.8297993354</v>
      </c>
      <c r="L322" s="752">
        <f t="shared" si="44"/>
        <v>2.0740553736686707E-6</v>
      </c>
    </row>
    <row r="323" spans="1:12" x14ac:dyDescent="0.75">
      <c r="A323" s="309" t="str">
        <f t="shared" si="41"/>
        <v/>
      </c>
      <c r="B323" s="310">
        <v>316</v>
      </c>
      <c r="C323" s="746">
        <f>IF('User Dashboard'!Z$12=5,
IF('SIR Model Patient Calcs'!B323&lt;'User Dashboard'!AJ$15,'User Dashboard'!AN$14,
IF('SIR Model Patient Calcs'!B323&lt;'User Dashboard'!AJ$16,'User Dashboard'!AN$15,
IF('SIR Model Patient Calcs'!B323&lt;'User Dashboard'!AJ$17,'User Dashboard'!AN$16,
IF('SIR Model Patient Calcs'!B323&lt;'User Dashboard'!AJ$18,'User Dashboard'!AN$17,
'User Dashboard'!AN$18)))),
IF('User Dashboard'!Z$12=4,
IF('SIR Model Patient Calcs'!B323&lt;'User Dashboard'!AJ$15,'User Dashboard'!AN$14,
IF('SIR Model Patient Calcs'!B323&lt;'User Dashboard'!AJ$16,'User Dashboard'!AN$15,
IF('SIR Model Patient Calcs'!B323&lt;'User Dashboard'!AJ$17,'User Dashboard'!AN$16,
'User Dashboard'!AN$17))),
IF('User Dashboard'!Z$12=3,
IF('SIR Model Patient Calcs'!B323&lt;'User Dashboard'!AJ$15,'User Dashboard'!AN$14,
IF('SIR Model Patient Calcs'!B323&lt;'User Dashboard'!AJ$16,'User Dashboard'!AN$15,
'User Dashboard'!AN$16)),
IF('User Dashboard'!Z$12=2,
IF('SIR Model Patient Calcs'!B323&lt;'User Dashboard'!AJ$15,'User Dashboard'!AN$14,
'User Dashboard'!AN$15),
IF('User Dashboard'!Z$12=1,
'User Dashboard'!AN$14)))))</f>
        <v>15.209356603107825</v>
      </c>
      <c r="D323" s="747">
        <f>'User Dashboard'!X$15</f>
        <v>2.2072878851804097E-2</v>
      </c>
      <c r="E323" s="739">
        <f t="shared" si="38"/>
        <v>9.1306104687305751E-8</v>
      </c>
      <c r="F323" s="739">
        <f t="shared" si="45"/>
        <v>9.1306104687305738E-8</v>
      </c>
      <c r="G323" s="749">
        <f>1/'User Dashboard'!X$12</f>
        <v>0.14285714285714285</v>
      </c>
      <c r="H323" s="385">
        <f t="shared" si="39"/>
        <v>441172.17019880266</v>
      </c>
      <c r="I323" s="751">
        <f t="shared" si="42"/>
        <v>4.1459710058255592E-5</v>
      </c>
      <c r="J323" s="752">
        <f t="shared" si="40"/>
        <v>3235627.8297597365</v>
      </c>
      <c r="K323" s="385">
        <f t="shared" si="43"/>
        <v>3235627.8298011962</v>
      </c>
      <c r="L323" s="752">
        <f t="shared" si="44"/>
        <v>1.8607825040817261E-6</v>
      </c>
    </row>
    <row r="324" spans="1:12" x14ac:dyDescent="0.75">
      <c r="A324" s="309" t="str">
        <f t="shared" si="41"/>
        <v/>
      </c>
      <c r="B324" s="310">
        <v>317</v>
      </c>
      <c r="C324" s="746">
        <f>IF('User Dashboard'!Z$12=5,
IF('SIR Model Patient Calcs'!B324&lt;'User Dashboard'!AJ$15,'User Dashboard'!AN$14,
IF('SIR Model Patient Calcs'!B324&lt;'User Dashboard'!AJ$16,'User Dashboard'!AN$15,
IF('SIR Model Patient Calcs'!B324&lt;'User Dashboard'!AJ$17,'User Dashboard'!AN$16,
IF('SIR Model Patient Calcs'!B324&lt;'User Dashboard'!AJ$18,'User Dashboard'!AN$17,
'User Dashboard'!AN$18)))),
IF('User Dashboard'!Z$12=4,
IF('SIR Model Patient Calcs'!B324&lt;'User Dashboard'!AJ$15,'User Dashboard'!AN$14,
IF('SIR Model Patient Calcs'!B324&lt;'User Dashboard'!AJ$16,'User Dashboard'!AN$15,
IF('SIR Model Patient Calcs'!B324&lt;'User Dashboard'!AJ$17,'User Dashboard'!AN$16,
'User Dashboard'!AN$17))),
IF('User Dashboard'!Z$12=3,
IF('SIR Model Patient Calcs'!B324&lt;'User Dashboard'!AJ$15,'User Dashboard'!AN$14,
IF('SIR Model Patient Calcs'!B324&lt;'User Dashboard'!AJ$16,'User Dashboard'!AN$15,
'User Dashboard'!AN$16)),
IF('User Dashboard'!Z$12=2,
IF('SIR Model Patient Calcs'!B324&lt;'User Dashboard'!AJ$15,'User Dashboard'!AN$14,
'User Dashboard'!AN$15),
IF('User Dashboard'!Z$12=1,
'User Dashboard'!AN$14)))))</f>
        <v>15.209356603107825</v>
      </c>
      <c r="D324" s="747">
        <f>'User Dashboard'!X$15</f>
        <v>2.2072878851804097E-2</v>
      </c>
      <c r="E324" s="739">
        <f t="shared" si="38"/>
        <v>9.1306104687305751E-8</v>
      </c>
      <c r="F324" s="739">
        <f t="shared" si="45"/>
        <v>9.1306104687305738E-8</v>
      </c>
      <c r="G324" s="749">
        <f>1/'User Dashboard'!X$12</f>
        <v>0.14285714285714285</v>
      </c>
      <c r="H324" s="385">
        <f t="shared" si="39"/>
        <v>441172.17019713257</v>
      </c>
      <c r="I324" s="751">
        <f t="shared" si="42"/>
        <v>3.7206962450631266E-5</v>
      </c>
      <c r="J324" s="752">
        <f t="shared" si="40"/>
        <v>3235627.8297656593</v>
      </c>
      <c r="K324" s="385">
        <f t="shared" si="43"/>
        <v>3235627.8298028661</v>
      </c>
      <c r="L324" s="752">
        <f t="shared" si="44"/>
        <v>1.669861376285553E-6</v>
      </c>
    </row>
    <row r="325" spans="1:12" x14ac:dyDescent="0.75">
      <c r="A325" s="309" t="str">
        <f t="shared" si="41"/>
        <v/>
      </c>
      <c r="B325" s="310">
        <v>318</v>
      </c>
      <c r="C325" s="746">
        <f>IF('User Dashboard'!Z$12=5,
IF('SIR Model Patient Calcs'!B325&lt;'User Dashboard'!AJ$15,'User Dashboard'!AN$14,
IF('SIR Model Patient Calcs'!B325&lt;'User Dashboard'!AJ$16,'User Dashboard'!AN$15,
IF('SIR Model Patient Calcs'!B325&lt;'User Dashboard'!AJ$17,'User Dashboard'!AN$16,
IF('SIR Model Patient Calcs'!B325&lt;'User Dashboard'!AJ$18,'User Dashboard'!AN$17,
'User Dashboard'!AN$18)))),
IF('User Dashboard'!Z$12=4,
IF('SIR Model Patient Calcs'!B325&lt;'User Dashboard'!AJ$15,'User Dashboard'!AN$14,
IF('SIR Model Patient Calcs'!B325&lt;'User Dashboard'!AJ$16,'User Dashboard'!AN$15,
IF('SIR Model Patient Calcs'!B325&lt;'User Dashboard'!AJ$17,'User Dashboard'!AN$16,
'User Dashboard'!AN$17))),
IF('User Dashboard'!Z$12=3,
IF('SIR Model Patient Calcs'!B325&lt;'User Dashboard'!AJ$15,'User Dashboard'!AN$14,
IF('SIR Model Patient Calcs'!B325&lt;'User Dashboard'!AJ$16,'User Dashboard'!AN$15,
'User Dashboard'!AN$16)),
IF('User Dashboard'!Z$12=2,
IF('SIR Model Patient Calcs'!B325&lt;'User Dashboard'!AJ$15,'User Dashboard'!AN$14,
'User Dashboard'!AN$15),
IF('User Dashboard'!Z$12=1,
'User Dashboard'!AN$14)))))</f>
        <v>15.209356603107825</v>
      </c>
      <c r="D325" s="747">
        <f>'User Dashboard'!X$15</f>
        <v>2.2072878851804097E-2</v>
      </c>
      <c r="E325" s="739">
        <f t="shared" si="38"/>
        <v>9.1306104687305764E-8</v>
      </c>
      <c r="F325" s="739">
        <f t="shared" si="45"/>
        <v>9.1306104687305738E-8</v>
      </c>
      <c r="G325" s="749">
        <f>1/'User Dashboard'!X$12</f>
        <v>0.14285714285714285</v>
      </c>
      <c r="H325" s="385">
        <f t="shared" si="39"/>
        <v>441172.17019563378</v>
      </c>
      <c r="I325" s="751">
        <f t="shared" si="42"/>
        <v>3.3390442259660518E-5</v>
      </c>
      <c r="J325" s="752">
        <f t="shared" si="40"/>
        <v>3235627.8297709743</v>
      </c>
      <c r="K325" s="385">
        <f t="shared" si="43"/>
        <v>3235627.8298043646</v>
      </c>
      <c r="L325" s="752">
        <f t="shared" si="44"/>
        <v>1.4984980225563049E-6</v>
      </c>
    </row>
    <row r="326" spans="1:12" x14ac:dyDescent="0.75">
      <c r="A326" s="309" t="str">
        <f t="shared" si="41"/>
        <v/>
      </c>
      <c r="B326" s="310">
        <v>319</v>
      </c>
      <c r="C326" s="746">
        <f>IF('User Dashboard'!Z$12=5,
IF('SIR Model Patient Calcs'!B326&lt;'User Dashboard'!AJ$15,'User Dashboard'!AN$14,
IF('SIR Model Patient Calcs'!B326&lt;'User Dashboard'!AJ$16,'User Dashboard'!AN$15,
IF('SIR Model Patient Calcs'!B326&lt;'User Dashboard'!AJ$17,'User Dashboard'!AN$16,
IF('SIR Model Patient Calcs'!B326&lt;'User Dashboard'!AJ$18,'User Dashboard'!AN$17,
'User Dashboard'!AN$18)))),
IF('User Dashboard'!Z$12=4,
IF('SIR Model Patient Calcs'!B326&lt;'User Dashboard'!AJ$15,'User Dashboard'!AN$14,
IF('SIR Model Patient Calcs'!B326&lt;'User Dashboard'!AJ$16,'User Dashboard'!AN$15,
IF('SIR Model Patient Calcs'!B326&lt;'User Dashboard'!AJ$17,'User Dashboard'!AN$16,
'User Dashboard'!AN$17))),
IF('User Dashboard'!Z$12=3,
IF('SIR Model Patient Calcs'!B326&lt;'User Dashboard'!AJ$15,'User Dashboard'!AN$14,
IF('SIR Model Patient Calcs'!B326&lt;'User Dashboard'!AJ$16,'User Dashboard'!AN$15,
'User Dashboard'!AN$16)),
IF('User Dashboard'!Z$12=2,
IF('SIR Model Patient Calcs'!B326&lt;'User Dashboard'!AJ$15,'User Dashboard'!AN$14,
'User Dashboard'!AN$15),
IF('User Dashboard'!Z$12=1,
'User Dashboard'!AN$14)))))</f>
        <v>15.209356603107825</v>
      </c>
      <c r="D326" s="747">
        <f>'User Dashboard'!X$15</f>
        <v>2.2072878851804097E-2</v>
      </c>
      <c r="E326" s="739">
        <f t="shared" si="38"/>
        <v>9.1306104687305764E-8</v>
      </c>
      <c r="F326" s="739">
        <f t="shared" si="45"/>
        <v>9.1306104687305751E-8</v>
      </c>
      <c r="G326" s="749">
        <f>1/'User Dashboard'!X$12</f>
        <v>0.14285714285714285</v>
      </c>
      <c r="H326" s="385">
        <f t="shared" si="39"/>
        <v>441172.17019428877</v>
      </c>
      <c r="I326" s="751">
        <f t="shared" si="42"/>
        <v>2.9965403270285958E-5</v>
      </c>
      <c r="J326" s="752">
        <f t="shared" si="40"/>
        <v>3235627.8297757446</v>
      </c>
      <c r="K326" s="385">
        <f t="shared" si="43"/>
        <v>3235627.8298057099</v>
      </c>
      <c r="L326" s="752">
        <f t="shared" si="44"/>
        <v>1.3452954590320587E-6</v>
      </c>
    </row>
    <row r="327" spans="1:12" x14ac:dyDescent="0.75">
      <c r="A327" s="309" t="str">
        <f t="shared" si="41"/>
        <v/>
      </c>
      <c r="B327" s="310">
        <v>320</v>
      </c>
      <c r="C327" s="746">
        <f>IF('User Dashboard'!Z$12=5,
IF('SIR Model Patient Calcs'!B327&lt;'User Dashboard'!AJ$15,'User Dashboard'!AN$14,
IF('SIR Model Patient Calcs'!B327&lt;'User Dashboard'!AJ$16,'User Dashboard'!AN$15,
IF('SIR Model Patient Calcs'!B327&lt;'User Dashboard'!AJ$17,'User Dashboard'!AN$16,
IF('SIR Model Patient Calcs'!B327&lt;'User Dashboard'!AJ$18,'User Dashboard'!AN$17,
'User Dashboard'!AN$18)))),
IF('User Dashboard'!Z$12=4,
IF('SIR Model Patient Calcs'!B327&lt;'User Dashboard'!AJ$15,'User Dashboard'!AN$14,
IF('SIR Model Patient Calcs'!B327&lt;'User Dashboard'!AJ$16,'User Dashboard'!AN$15,
IF('SIR Model Patient Calcs'!B327&lt;'User Dashboard'!AJ$17,'User Dashboard'!AN$16,
'User Dashboard'!AN$17))),
IF('User Dashboard'!Z$12=3,
IF('SIR Model Patient Calcs'!B327&lt;'User Dashboard'!AJ$15,'User Dashboard'!AN$14,
IF('SIR Model Patient Calcs'!B327&lt;'User Dashboard'!AJ$16,'User Dashboard'!AN$15,
'User Dashboard'!AN$16)),
IF('User Dashboard'!Z$12=2,
IF('SIR Model Patient Calcs'!B327&lt;'User Dashboard'!AJ$15,'User Dashboard'!AN$14,
'User Dashboard'!AN$15),
IF('User Dashboard'!Z$12=1,
'User Dashboard'!AN$14)))))</f>
        <v>15.209356603107825</v>
      </c>
      <c r="D327" s="747">
        <f>'User Dashboard'!X$15</f>
        <v>2.2072878851804097E-2</v>
      </c>
      <c r="E327" s="739">
        <f t="shared" ref="E327:E372" si="46">(C327*D327)/SUM(H327:J327)</f>
        <v>9.1306104687305751E-8</v>
      </c>
      <c r="F327" s="739">
        <f t="shared" si="45"/>
        <v>9.1306104687305738E-8</v>
      </c>
      <c r="G327" s="749">
        <f>1/'User Dashboard'!X$12</f>
        <v>0.14285714285714285</v>
      </c>
      <c r="H327" s="385">
        <f t="shared" si="39"/>
        <v>441172.17019308172</v>
      </c>
      <c r="I327" s="751">
        <f t="shared" si="42"/>
        <v>2.6891689129722559E-5</v>
      </c>
      <c r="J327" s="752">
        <f t="shared" si="40"/>
        <v>3235627.8297800254</v>
      </c>
      <c r="K327" s="385">
        <f t="shared" si="43"/>
        <v>3235627.8298069169</v>
      </c>
      <c r="L327" s="752">
        <f t="shared" si="44"/>
        <v>1.2069940567016602E-6</v>
      </c>
    </row>
    <row r="328" spans="1:12" x14ac:dyDescent="0.75">
      <c r="A328" s="309" t="str">
        <f t="shared" si="41"/>
        <v/>
      </c>
      <c r="B328" s="310">
        <v>321</v>
      </c>
      <c r="C328" s="746">
        <f>IF('User Dashboard'!Z$12=5,
IF('SIR Model Patient Calcs'!B328&lt;'User Dashboard'!AJ$15,'User Dashboard'!AN$14,
IF('SIR Model Patient Calcs'!B328&lt;'User Dashboard'!AJ$16,'User Dashboard'!AN$15,
IF('SIR Model Patient Calcs'!B328&lt;'User Dashboard'!AJ$17,'User Dashboard'!AN$16,
IF('SIR Model Patient Calcs'!B328&lt;'User Dashboard'!AJ$18,'User Dashboard'!AN$17,
'User Dashboard'!AN$18)))),
IF('User Dashboard'!Z$12=4,
IF('SIR Model Patient Calcs'!B328&lt;'User Dashboard'!AJ$15,'User Dashboard'!AN$14,
IF('SIR Model Patient Calcs'!B328&lt;'User Dashboard'!AJ$16,'User Dashboard'!AN$15,
IF('SIR Model Patient Calcs'!B328&lt;'User Dashboard'!AJ$17,'User Dashboard'!AN$16,
'User Dashboard'!AN$17))),
IF('User Dashboard'!Z$12=3,
IF('SIR Model Patient Calcs'!B328&lt;'User Dashboard'!AJ$15,'User Dashboard'!AN$14,
IF('SIR Model Patient Calcs'!B328&lt;'User Dashboard'!AJ$16,'User Dashboard'!AN$15,
'User Dashboard'!AN$16)),
IF('User Dashboard'!Z$12=2,
IF('SIR Model Patient Calcs'!B328&lt;'User Dashboard'!AJ$15,'User Dashboard'!AN$14,
'User Dashboard'!AN$15),
IF('User Dashboard'!Z$12=1,
'User Dashboard'!AN$14)))))</f>
        <v>15.209356603107825</v>
      </c>
      <c r="D328" s="747">
        <f>'User Dashboard'!X$15</f>
        <v>2.2072878851804097E-2</v>
      </c>
      <c r="E328" s="739">
        <f t="shared" si="46"/>
        <v>9.1306104687305751E-8</v>
      </c>
      <c r="F328" s="739">
        <f t="shared" si="45"/>
        <v>9.1306104687305751E-8</v>
      </c>
      <c r="G328" s="749">
        <f>1/'User Dashboard'!X$12</f>
        <v>0.14285714285714285</v>
      </c>
      <c r="H328" s="385">
        <f t="shared" ref="H328:H372" si="47">-MIN(F327*I327,1)*H327+H327</f>
        <v>441172.17019199848</v>
      </c>
      <c r="I328" s="751">
        <f t="shared" si="42"/>
        <v>2.4133262540359215E-5</v>
      </c>
      <c r="J328" s="752">
        <f t="shared" ref="J328:J372" si="48">G327*I327+J327</f>
        <v>3235627.8297838671</v>
      </c>
      <c r="K328" s="385">
        <f t="shared" si="43"/>
        <v>3235627.8298080005</v>
      </c>
      <c r="L328" s="752">
        <f t="shared" si="44"/>
        <v>1.0835938155651093E-6</v>
      </c>
    </row>
    <row r="329" spans="1:12" x14ac:dyDescent="0.75">
      <c r="A329" s="309" t="str">
        <f t="shared" ref="A329:A372" si="49">IF(AND(IF(L329&lt;1,0,1)*ROUNDUP(B329/7,0)=0,B329&lt;&gt;0),"",IF(L329&lt;1,0,1)*ROUNDUP(B329/7,0))</f>
        <v/>
      </c>
      <c r="B329" s="310">
        <v>322</v>
      </c>
      <c r="C329" s="746">
        <f>IF('User Dashboard'!Z$12=5,
IF('SIR Model Patient Calcs'!B329&lt;'User Dashboard'!AJ$15,'User Dashboard'!AN$14,
IF('SIR Model Patient Calcs'!B329&lt;'User Dashboard'!AJ$16,'User Dashboard'!AN$15,
IF('SIR Model Patient Calcs'!B329&lt;'User Dashboard'!AJ$17,'User Dashboard'!AN$16,
IF('SIR Model Patient Calcs'!B329&lt;'User Dashboard'!AJ$18,'User Dashboard'!AN$17,
'User Dashboard'!AN$18)))),
IF('User Dashboard'!Z$12=4,
IF('SIR Model Patient Calcs'!B329&lt;'User Dashboard'!AJ$15,'User Dashboard'!AN$14,
IF('SIR Model Patient Calcs'!B329&lt;'User Dashboard'!AJ$16,'User Dashboard'!AN$15,
IF('SIR Model Patient Calcs'!B329&lt;'User Dashboard'!AJ$17,'User Dashboard'!AN$16,
'User Dashboard'!AN$17))),
IF('User Dashboard'!Z$12=3,
IF('SIR Model Patient Calcs'!B329&lt;'User Dashboard'!AJ$15,'User Dashboard'!AN$14,
IF('SIR Model Patient Calcs'!B329&lt;'User Dashboard'!AJ$16,'User Dashboard'!AN$15,
'User Dashboard'!AN$16)),
IF('User Dashboard'!Z$12=2,
IF('SIR Model Patient Calcs'!B329&lt;'User Dashboard'!AJ$15,'User Dashboard'!AN$14,
'User Dashboard'!AN$15),
IF('User Dashboard'!Z$12=1,
'User Dashboard'!AN$14)))))</f>
        <v>15.209356603107825</v>
      </c>
      <c r="D329" s="747">
        <f>'User Dashboard'!X$15</f>
        <v>2.2072878851804097E-2</v>
      </c>
      <c r="E329" s="739">
        <f t="shared" si="46"/>
        <v>9.1306104687305751E-8</v>
      </c>
      <c r="F329" s="739">
        <f t="shared" si="45"/>
        <v>9.1306104687305738E-8</v>
      </c>
      <c r="G329" s="749">
        <f>1/'User Dashboard'!X$12</f>
        <v>0.14285714285714285</v>
      </c>
      <c r="H329" s="385">
        <f t="shared" si="47"/>
        <v>441172.17019102635</v>
      </c>
      <c r="I329" s="751">
        <f t="shared" ref="I329:I372" si="50">MIN(F328*I328,1)*H328-G328*I328+I328</f>
        <v>2.1657782745901088E-5</v>
      </c>
      <c r="J329" s="752">
        <f t="shared" si="48"/>
        <v>3235627.8297873149</v>
      </c>
      <c r="K329" s="385">
        <f t="shared" ref="K329:K372" si="51">(I329+J329)</f>
        <v>3235627.8298089728</v>
      </c>
      <c r="L329" s="752">
        <f t="shared" ref="L329:L372" si="52">(K329-K328)</f>
        <v>9.7230076789855957E-7</v>
      </c>
    </row>
    <row r="330" spans="1:12" x14ac:dyDescent="0.75">
      <c r="A330" s="309" t="str">
        <f t="shared" si="49"/>
        <v/>
      </c>
      <c r="B330" s="310">
        <v>323</v>
      </c>
      <c r="C330" s="746">
        <f>IF('User Dashboard'!Z$12=5,
IF('SIR Model Patient Calcs'!B330&lt;'User Dashboard'!AJ$15,'User Dashboard'!AN$14,
IF('SIR Model Patient Calcs'!B330&lt;'User Dashboard'!AJ$16,'User Dashboard'!AN$15,
IF('SIR Model Patient Calcs'!B330&lt;'User Dashboard'!AJ$17,'User Dashboard'!AN$16,
IF('SIR Model Patient Calcs'!B330&lt;'User Dashboard'!AJ$18,'User Dashboard'!AN$17,
'User Dashboard'!AN$18)))),
IF('User Dashboard'!Z$12=4,
IF('SIR Model Patient Calcs'!B330&lt;'User Dashboard'!AJ$15,'User Dashboard'!AN$14,
IF('SIR Model Patient Calcs'!B330&lt;'User Dashboard'!AJ$16,'User Dashboard'!AN$15,
IF('SIR Model Patient Calcs'!B330&lt;'User Dashboard'!AJ$17,'User Dashboard'!AN$16,
'User Dashboard'!AN$17))),
IF('User Dashboard'!Z$12=3,
IF('SIR Model Patient Calcs'!B330&lt;'User Dashboard'!AJ$15,'User Dashboard'!AN$14,
IF('SIR Model Patient Calcs'!B330&lt;'User Dashboard'!AJ$16,'User Dashboard'!AN$15,
'User Dashboard'!AN$16)),
IF('User Dashboard'!Z$12=2,
IF('SIR Model Patient Calcs'!B330&lt;'User Dashboard'!AJ$15,'User Dashboard'!AN$14,
'User Dashboard'!AN$15),
IF('User Dashboard'!Z$12=1,
'User Dashboard'!AN$14)))))</f>
        <v>15.209356603107825</v>
      </c>
      <c r="D330" s="747">
        <f>'User Dashboard'!X$15</f>
        <v>2.2072878851804097E-2</v>
      </c>
      <c r="E330" s="739">
        <f t="shared" si="46"/>
        <v>9.1306104687305751E-8</v>
      </c>
      <c r="F330" s="739">
        <f t="shared" si="45"/>
        <v>9.1306104687305738E-8</v>
      </c>
      <c r="G330" s="749">
        <f>1/'User Dashboard'!X$12</f>
        <v>0.14285714285714285</v>
      </c>
      <c r="H330" s="385">
        <f t="shared" si="47"/>
        <v>441172.17019015393</v>
      </c>
      <c r="I330" s="751">
        <f t="shared" si="50"/>
        <v>1.943622635705279E-5</v>
      </c>
      <c r="J330" s="752">
        <f t="shared" si="48"/>
        <v>3235627.8297904087</v>
      </c>
      <c r="K330" s="385">
        <f t="shared" si="51"/>
        <v>3235627.829809845</v>
      </c>
      <c r="L330" s="752">
        <f t="shared" si="52"/>
        <v>8.7218359112739563E-7</v>
      </c>
    </row>
    <row r="331" spans="1:12" x14ac:dyDescent="0.75">
      <c r="A331" s="309" t="str">
        <f t="shared" si="49"/>
        <v/>
      </c>
      <c r="B331" s="310">
        <v>324</v>
      </c>
      <c r="C331" s="746">
        <f>IF('User Dashboard'!Z$12=5,
IF('SIR Model Patient Calcs'!B331&lt;'User Dashboard'!AJ$15,'User Dashboard'!AN$14,
IF('SIR Model Patient Calcs'!B331&lt;'User Dashboard'!AJ$16,'User Dashboard'!AN$15,
IF('SIR Model Patient Calcs'!B331&lt;'User Dashboard'!AJ$17,'User Dashboard'!AN$16,
IF('SIR Model Patient Calcs'!B331&lt;'User Dashboard'!AJ$18,'User Dashboard'!AN$17,
'User Dashboard'!AN$18)))),
IF('User Dashboard'!Z$12=4,
IF('SIR Model Patient Calcs'!B331&lt;'User Dashboard'!AJ$15,'User Dashboard'!AN$14,
IF('SIR Model Patient Calcs'!B331&lt;'User Dashboard'!AJ$16,'User Dashboard'!AN$15,
IF('SIR Model Patient Calcs'!B331&lt;'User Dashboard'!AJ$17,'User Dashboard'!AN$16,
'User Dashboard'!AN$17))),
IF('User Dashboard'!Z$12=3,
IF('SIR Model Patient Calcs'!B331&lt;'User Dashboard'!AJ$15,'User Dashboard'!AN$14,
IF('SIR Model Patient Calcs'!B331&lt;'User Dashboard'!AJ$16,'User Dashboard'!AN$15,
'User Dashboard'!AN$16)),
IF('User Dashboard'!Z$12=2,
IF('SIR Model Patient Calcs'!B331&lt;'User Dashboard'!AJ$15,'User Dashboard'!AN$14,
'User Dashboard'!AN$15),
IF('User Dashboard'!Z$12=1,
'User Dashboard'!AN$14)))))</f>
        <v>15.209356603107825</v>
      </c>
      <c r="D331" s="747">
        <f>'User Dashboard'!X$15</f>
        <v>2.2072878851804097E-2</v>
      </c>
      <c r="E331" s="739">
        <f t="shared" si="46"/>
        <v>9.1306104687305751E-8</v>
      </c>
      <c r="F331" s="739">
        <f t="shared" si="45"/>
        <v>9.1306104687305738E-8</v>
      </c>
      <c r="G331" s="749">
        <f>1/'User Dashboard'!X$12</f>
        <v>0.14285714285714285</v>
      </c>
      <c r="H331" s="385">
        <f t="shared" si="47"/>
        <v>441172.17018937098</v>
      </c>
      <c r="I331" s="751">
        <f t="shared" si="50"/>
        <v>1.7442547071170317E-5</v>
      </c>
      <c r="J331" s="752">
        <f t="shared" si="48"/>
        <v>3235627.8297931855</v>
      </c>
      <c r="K331" s="385">
        <f t="shared" si="51"/>
        <v>3235627.8298106282</v>
      </c>
      <c r="L331" s="752">
        <f t="shared" si="52"/>
        <v>7.8324228525161743E-7</v>
      </c>
    </row>
    <row r="332" spans="1:12" x14ac:dyDescent="0.75">
      <c r="A332" s="309" t="str">
        <f t="shared" si="49"/>
        <v/>
      </c>
      <c r="B332" s="310">
        <v>325</v>
      </c>
      <c r="C332" s="746">
        <f>IF('User Dashboard'!Z$12=5,
IF('SIR Model Patient Calcs'!B332&lt;'User Dashboard'!AJ$15,'User Dashboard'!AN$14,
IF('SIR Model Patient Calcs'!B332&lt;'User Dashboard'!AJ$16,'User Dashboard'!AN$15,
IF('SIR Model Patient Calcs'!B332&lt;'User Dashboard'!AJ$17,'User Dashboard'!AN$16,
IF('SIR Model Patient Calcs'!B332&lt;'User Dashboard'!AJ$18,'User Dashboard'!AN$17,
'User Dashboard'!AN$18)))),
IF('User Dashboard'!Z$12=4,
IF('SIR Model Patient Calcs'!B332&lt;'User Dashboard'!AJ$15,'User Dashboard'!AN$14,
IF('SIR Model Patient Calcs'!B332&lt;'User Dashboard'!AJ$16,'User Dashboard'!AN$15,
IF('SIR Model Patient Calcs'!B332&lt;'User Dashboard'!AJ$17,'User Dashboard'!AN$16,
'User Dashboard'!AN$17))),
IF('User Dashboard'!Z$12=3,
IF('SIR Model Patient Calcs'!B332&lt;'User Dashboard'!AJ$15,'User Dashboard'!AN$14,
IF('SIR Model Patient Calcs'!B332&lt;'User Dashboard'!AJ$16,'User Dashboard'!AN$15,
'User Dashboard'!AN$16)),
IF('User Dashboard'!Z$12=2,
IF('SIR Model Patient Calcs'!B332&lt;'User Dashboard'!AJ$15,'User Dashboard'!AN$14,
'User Dashboard'!AN$15),
IF('User Dashboard'!Z$12=1,
'User Dashboard'!AN$14)))))</f>
        <v>15.209356603107825</v>
      </c>
      <c r="D332" s="747">
        <f>'User Dashboard'!X$15</f>
        <v>2.2072878851804097E-2</v>
      </c>
      <c r="E332" s="739">
        <f t="shared" si="46"/>
        <v>9.1306104687305751E-8</v>
      </c>
      <c r="F332" s="739">
        <f t="shared" si="45"/>
        <v>9.1306104687305738E-8</v>
      </c>
      <c r="G332" s="749">
        <f>1/'User Dashboard'!X$12</f>
        <v>0.14285714285714285</v>
      </c>
      <c r="H332" s="385">
        <f t="shared" si="47"/>
        <v>441172.17018866836</v>
      </c>
      <c r="I332" s="751">
        <f t="shared" si="50"/>
        <v>1.5653370296316187E-5</v>
      </c>
      <c r="J332" s="752">
        <f t="shared" si="48"/>
        <v>3235627.8297956772</v>
      </c>
      <c r="K332" s="385">
        <f t="shared" si="51"/>
        <v>3235627.8298113304</v>
      </c>
      <c r="L332" s="752">
        <f t="shared" si="52"/>
        <v>7.022172212600708E-7</v>
      </c>
    </row>
    <row r="333" spans="1:12" x14ac:dyDescent="0.75">
      <c r="A333" s="309" t="str">
        <f t="shared" si="49"/>
        <v/>
      </c>
      <c r="B333" s="310">
        <v>326</v>
      </c>
      <c r="C333" s="746">
        <f>IF('User Dashboard'!Z$12=5,
IF('SIR Model Patient Calcs'!B333&lt;'User Dashboard'!AJ$15,'User Dashboard'!AN$14,
IF('SIR Model Patient Calcs'!B333&lt;'User Dashboard'!AJ$16,'User Dashboard'!AN$15,
IF('SIR Model Patient Calcs'!B333&lt;'User Dashboard'!AJ$17,'User Dashboard'!AN$16,
IF('SIR Model Patient Calcs'!B333&lt;'User Dashboard'!AJ$18,'User Dashboard'!AN$17,
'User Dashboard'!AN$18)))),
IF('User Dashboard'!Z$12=4,
IF('SIR Model Patient Calcs'!B333&lt;'User Dashboard'!AJ$15,'User Dashboard'!AN$14,
IF('SIR Model Patient Calcs'!B333&lt;'User Dashboard'!AJ$16,'User Dashboard'!AN$15,
IF('SIR Model Patient Calcs'!B333&lt;'User Dashboard'!AJ$17,'User Dashboard'!AN$16,
'User Dashboard'!AN$17))),
IF('User Dashboard'!Z$12=3,
IF('SIR Model Patient Calcs'!B333&lt;'User Dashboard'!AJ$15,'User Dashboard'!AN$14,
IF('SIR Model Patient Calcs'!B333&lt;'User Dashboard'!AJ$16,'User Dashboard'!AN$15,
'User Dashboard'!AN$16)),
IF('User Dashboard'!Z$12=2,
IF('SIR Model Patient Calcs'!B333&lt;'User Dashboard'!AJ$15,'User Dashboard'!AN$14,
'User Dashboard'!AN$15),
IF('User Dashboard'!Z$12=1,
'User Dashboard'!AN$14)))))</f>
        <v>15.209356603107825</v>
      </c>
      <c r="D333" s="747">
        <f>'User Dashboard'!X$15</f>
        <v>2.2072878851804097E-2</v>
      </c>
      <c r="E333" s="739">
        <f t="shared" si="46"/>
        <v>9.1306104687305751E-8</v>
      </c>
      <c r="F333" s="739">
        <f t="shared" si="45"/>
        <v>9.1306104687305738E-8</v>
      </c>
      <c r="G333" s="749">
        <f>1/'User Dashboard'!X$12</f>
        <v>0.14285714285714285</v>
      </c>
      <c r="H333" s="385">
        <f t="shared" si="47"/>
        <v>441172.1701880378</v>
      </c>
      <c r="I333" s="751">
        <f t="shared" si="50"/>
        <v>1.4047719099383582E-5</v>
      </c>
      <c r="J333" s="752">
        <f t="shared" si="48"/>
        <v>3235627.8297979133</v>
      </c>
      <c r="K333" s="385">
        <f t="shared" si="51"/>
        <v>3235627.8298119609</v>
      </c>
      <c r="L333" s="752">
        <f t="shared" si="52"/>
        <v>6.3050538301467896E-7</v>
      </c>
    </row>
    <row r="334" spans="1:12" x14ac:dyDescent="0.75">
      <c r="A334" s="309" t="str">
        <f t="shared" si="49"/>
        <v/>
      </c>
      <c r="B334" s="310">
        <v>327</v>
      </c>
      <c r="C334" s="746">
        <f>IF('User Dashboard'!Z$12=5,
IF('SIR Model Patient Calcs'!B334&lt;'User Dashboard'!AJ$15,'User Dashboard'!AN$14,
IF('SIR Model Patient Calcs'!B334&lt;'User Dashboard'!AJ$16,'User Dashboard'!AN$15,
IF('SIR Model Patient Calcs'!B334&lt;'User Dashboard'!AJ$17,'User Dashboard'!AN$16,
IF('SIR Model Patient Calcs'!B334&lt;'User Dashboard'!AJ$18,'User Dashboard'!AN$17,
'User Dashboard'!AN$18)))),
IF('User Dashboard'!Z$12=4,
IF('SIR Model Patient Calcs'!B334&lt;'User Dashboard'!AJ$15,'User Dashboard'!AN$14,
IF('SIR Model Patient Calcs'!B334&lt;'User Dashboard'!AJ$16,'User Dashboard'!AN$15,
IF('SIR Model Patient Calcs'!B334&lt;'User Dashboard'!AJ$17,'User Dashboard'!AN$16,
'User Dashboard'!AN$17))),
IF('User Dashboard'!Z$12=3,
IF('SIR Model Patient Calcs'!B334&lt;'User Dashboard'!AJ$15,'User Dashboard'!AN$14,
IF('SIR Model Patient Calcs'!B334&lt;'User Dashboard'!AJ$16,'User Dashboard'!AN$15,
'User Dashboard'!AN$16)),
IF('User Dashboard'!Z$12=2,
IF('SIR Model Patient Calcs'!B334&lt;'User Dashboard'!AJ$15,'User Dashboard'!AN$14,
'User Dashboard'!AN$15),
IF('User Dashboard'!Z$12=1,
'User Dashboard'!AN$14)))))</f>
        <v>15.209356603107825</v>
      </c>
      <c r="D334" s="747">
        <f>'User Dashboard'!X$15</f>
        <v>2.2072878851804097E-2</v>
      </c>
      <c r="E334" s="739">
        <f t="shared" si="46"/>
        <v>9.1306104687305751E-8</v>
      </c>
      <c r="F334" s="739">
        <f t="shared" si="45"/>
        <v>9.1306104687305738E-8</v>
      </c>
      <c r="G334" s="749">
        <f>1/'User Dashboard'!X$12</f>
        <v>0.14285714285714285</v>
      </c>
      <c r="H334" s="385">
        <f t="shared" si="47"/>
        <v>441172.1701874719</v>
      </c>
      <c r="I334" s="751">
        <f t="shared" si="50"/>
        <v>1.2606768265209607E-5</v>
      </c>
      <c r="J334" s="752">
        <f t="shared" si="48"/>
        <v>3235627.8297999203</v>
      </c>
      <c r="K334" s="385">
        <f t="shared" si="51"/>
        <v>3235627.8298125272</v>
      </c>
      <c r="L334" s="752">
        <f t="shared" si="52"/>
        <v>5.6624412536621094E-7</v>
      </c>
    </row>
    <row r="335" spans="1:12" x14ac:dyDescent="0.75">
      <c r="A335" s="309" t="str">
        <f t="shared" si="49"/>
        <v/>
      </c>
      <c r="B335" s="310">
        <v>328</v>
      </c>
      <c r="C335" s="746">
        <f>IF('User Dashboard'!Z$12=5,
IF('SIR Model Patient Calcs'!B335&lt;'User Dashboard'!AJ$15,'User Dashboard'!AN$14,
IF('SIR Model Patient Calcs'!B335&lt;'User Dashboard'!AJ$16,'User Dashboard'!AN$15,
IF('SIR Model Patient Calcs'!B335&lt;'User Dashboard'!AJ$17,'User Dashboard'!AN$16,
IF('SIR Model Patient Calcs'!B335&lt;'User Dashboard'!AJ$18,'User Dashboard'!AN$17,
'User Dashboard'!AN$18)))),
IF('User Dashboard'!Z$12=4,
IF('SIR Model Patient Calcs'!B335&lt;'User Dashboard'!AJ$15,'User Dashboard'!AN$14,
IF('SIR Model Patient Calcs'!B335&lt;'User Dashboard'!AJ$16,'User Dashboard'!AN$15,
IF('SIR Model Patient Calcs'!B335&lt;'User Dashboard'!AJ$17,'User Dashboard'!AN$16,
'User Dashboard'!AN$17))),
IF('User Dashboard'!Z$12=3,
IF('SIR Model Patient Calcs'!B335&lt;'User Dashboard'!AJ$15,'User Dashboard'!AN$14,
IF('SIR Model Patient Calcs'!B335&lt;'User Dashboard'!AJ$16,'User Dashboard'!AN$15,
'User Dashboard'!AN$16)),
IF('User Dashboard'!Z$12=2,
IF('SIR Model Patient Calcs'!B335&lt;'User Dashboard'!AJ$15,'User Dashboard'!AN$14,
'User Dashboard'!AN$15),
IF('User Dashboard'!Z$12=1,
'User Dashboard'!AN$14)))))</f>
        <v>15.209356603107825</v>
      </c>
      <c r="D335" s="747">
        <f>'User Dashboard'!X$15</f>
        <v>2.2072878851804097E-2</v>
      </c>
      <c r="E335" s="739">
        <f t="shared" si="46"/>
        <v>9.1306104687305751E-8</v>
      </c>
      <c r="F335" s="739">
        <f t="shared" si="45"/>
        <v>9.1306104687305738E-8</v>
      </c>
      <c r="G335" s="749">
        <f>1/'User Dashboard'!X$12</f>
        <v>0.14285714285714285</v>
      </c>
      <c r="H335" s="385">
        <f t="shared" si="47"/>
        <v>441172.1701869641</v>
      </c>
      <c r="I335" s="751">
        <f t="shared" si="50"/>
        <v>1.1313623583180904E-5</v>
      </c>
      <c r="J335" s="752">
        <f t="shared" si="48"/>
        <v>3235627.8298017215</v>
      </c>
      <c r="K335" s="385">
        <f t="shared" si="51"/>
        <v>3235627.8298130352</v>
      </c>
      <c r="L335" s="752">
        <f t="shared" si="52"/>
        <v>5.0803646445274353E-7</v>
      </c>
    </row>
    <row r="336" spans="1:12" x14ac:dyDescent="0.75">
      <c r="A336" s="309" t="str">
        <f t="shared" si="49"/>
        <v/>
      </c>
      <c r="B336" s="310">
        <v>329</v>
      </c>
      <c r="C336" s="746">
        <f>IF('User Dashboard'!Z$12=5,
IF('SIR Model Patient Calcs'!B336&lt;'User Dashboard'!AJ$15,'User Dashboard'!AN$14,
IF('SIR Model Patient Calcs'!B336&lt;'User Dashboard'!AJ$16,'User Dashboard'!AN$15,
IF('SIR Model Patient Calcs'!B336&lt;'User Dashboard'!AJ$17,'User Dashboard'!AN$16,
IF('SIR Model Patient Calcs'!B336&lt;'User Dashboard'!AJ$18,'User Dashboard'!AN$17,
'User Dashboard'!AN$18)))),
IF('User Dashboard'!Z$12=4,
IF('SIR Model Patient Calcs'!B336&lt;'User Dashboard'!AJ$15,'User Dashboard'!AN$14,
IF('SIR Model Patient Calcs'!B336&lt;'User Dashboard'!AJ$16,'User Dashboard'!AN$15,
IF('SIR Model Patient Calcs'!B336&lt;'User Dashboard'!AJ$17,'User Dashboard'!AN$16,
'User Dashboard'!AN$17))),
IF('User Dashboard'!Z$12=3,
IF('SIR Model Patient Calcs'!B336&lt;'User Dashboard'!AJ$15,'User Dashboard'!AN$14,
IF('SIR Model Patient Calcs'!B336&lt;'User Dashboard'!AJ$16,'User Dashboard'!AN$15,
'User Dashboard'!AN$16)),
IF('User Dashboard'!Z$12=2,
IF('SIR Model Patient Calcs'!B336&lt;'User Dashboard'!AJ$15,'User Dashboard'!AN$14,
'User Dashboard'!AN$15),
IF('User Dashboard'!Z$12=1,
'User Dashboard'!AN$14)))))</f>
        <v>15.209356603107825</v>
      </c>
      <c r="D336" s="747">
        <f>'User Dashboard'!X$15</f>
        <v>2.2072878851804097E-2</v>
      </c>
      <c r="E336" s="739">
        <f t="shared" si="46"/>
        <v>9.1306104687305751E-8</v>
      </c>
      <c r="F336" s="739">
        <f t="shared" ref="F336:F372" si="53">AVERAGE(E327:E336)</f>
        <v>9.1306104687305738E-8</v>
      </c>
      <c r="G336" s="749">
        <f>1/'User Dashboard'!X$12</f>
        <v>0.14285714285714285</v>
      </c>
      <c r="H336" s="385">
        <f t="shared" si="47"/>
        <v>441172.17018650839</v>
      </c>
      <c r="I336" s="751">
        <f t="shared" si="50"/>
        <v>1.0153123773610694E-5</v>
      </c>
      <c r="J336" s="752">
        <f t="shared" si="48"/>
        <v>3235627.8298033378</v>
      </c>
      <c r="K336" s="385">
        <f t="shared" si="51"/>
        <v>3235627.8298134911</v>
      </c>
      <c r="L336" s="752">
        <f t="shared" si="52"/>
        <v>4.5588240027427673E-7</v>
      </c>
    </row>
    <row r="337" spans="1:12" x14ac:dyDescent="0.75">
      <c r="A337" s="309" t="str">
        <f t="shared" si="49"/>
        <v/>
      </c>
      <c r="B337" s="310">
        <v>330</v>
      </c>
      <c r="C337" s="746">
        <f>IF('User Dashboard'!Z$12=5,
IF('SIR Model Patient Calcs'!B337&lt;'User Dashboard'!AJ$15,'User Dashboard'!AN$14,
IF('SIR Model Patient Calcs'!B337&lt;'User Dashboard'!AJ$16,'User Dashboard'!AN$15,
IF('SIR Model Patient Calcs'!B337&lt;'User Dashboard'!AJ$17,'User Dashboard'!AN$16,
IF('SIR Model Patient Calcs'!B337&lt;'User Dashboard'!AJ$18,'User Dashboard'!AN$17,
'User Dashboard'!AN$18)))),
IF('User Dashboard'!Z$12=4,
IF('SIR Model Patient Calcs'!B337&lt;'User Dashboard'!AJ$15,'User Dashboard'!AN$14,
IF('SIR Model Patient Calcs'!B337&lt;'User Dashboard'!AJ$16,'User Dashboard'!AN$15,
IF('SIR Model Patient Calcs'!B337&lt;'User Dashboard'!AJ$17,'User Dashboard'!AN$16,
'User Dashboard'!AN$17))),
IF('User Dashboard'!Z$12=3,
IF('SIR Model Patient Calcs'!B337&lt;'User Dashboard'!AJ$15,'User Dashboard'!AN$14,
IF('SIR Model Patient Calcs'!B337&lt;'User Dashboard'!AJ$16,'User Dashboard'!AN$15,
'User Dashboard'!AN$16)),
IF('User Dashboard'!Z$12=2,
IF('SIR Model Patient Calcs'!B337&lt;'User Dashboard'!AJ$15,'User Dashboard'!AN$14,
'User Dashboard'!AN$15),
IF('User Dashboard'!Z$12=1,
'User Dashboard'!AN$14)))))</f>
        <v>15.209356603107825</v>
      </c>
      <c r="D337" s="747">
        <f>'User Dashboard'!X$15</f>
        <v>2.2072878851804097E-2</v>
      </c>
      <c r="E337" s="739">
        <f t="shared" si="46"/>
        <v>9.1306104687305738E-8</v>
      </c>
      <c r="F337" s="739">
        <f t="shared" si="53"/>
        <v>9.1306104687305738E-8</v>
      </c>
      <c r="G337" s="749">
        <f>1/'User Dashboard'!X$12</f>
        <v>0.14285714285714285</v>
      </c>
      <c r="H337" s="385">
        <f t="shared" si="47"/>
        <v>441172.17018609942</v>
      </c>
      <c r="I337" s="751">
        <f t="shared" si="50"/>
        <v>9.1116627316029671E-6</v>
      </c>
      <c r="J337" s="752">
        <f t="shared" si="48"/>
        <v>3235627.8298047883</v>
      </c>
      <c r="K337" s="385">
        <f t="shared" si="51"/>
        <v>3235627.8298138999</v>
      </c>
      <c r="L337" s="752">
        <f t="shared" si="52"/>
        <v>4.0885061025619507E-7</v>
      </c>
    </row>
    <row r="338" spans="1:12" x14ac:dyDescent="0.75">
      <c r="A338" s="309" t="str">
        <f t="shared" si="49"/>
        <v/>
      </c>
      <c r="B338" s="310">
        <v>331</v>
      </c>
      <c r="C338" s="746">
        <f>IF('User Dashboard'!Z$12=5,
IF('SIR Model Patient Calcs'!B338&lt;'User Dashboard'!AJ$15,'User Dashboard'!AN$14,
IF('SIR Model Patient Calcs'!B338&lt;'User Dashboard'!AJ$16,'User Dashboard'!AN$15,
IF('SIR Model Patient Calcs'!B338&lt;'User Dashboard'!AJ$17,'User Dashboard'!AN$16,
IF('SIR Model Patient Calcs'!B338&lt;'User Dashboard'!AJ$18,'User Dashboard'!AN$17,
'User Dashboard'!AN$18)))),
IF('User Dashboard'!Z$12=4,
IF('SIR Model Patient Calcs'!B338&lt;'User Dashboard'!AJ$15,'User Dashboard'!AN$14,
IF('SIR Model Patient Calcs'!B338&lt;'User Dashboard'!AJ$16,'User Dashboard'!AN$15,
IF('SIR Model Patient Calcs'!B338&lt;'User Dashboard'!AJ$17,'User Dashboard'!AN$16,
'User Dashboard'!AN$17))),
IF('User Dashboard'!Z$12=3,
IF('SIR Model Patient Calcs'!B338&lt;'User Dashboard'!AJ$15,'User Dashboard'!AN$14,
IF('SIR Model Patient Calcs'!B338&lt;'User Dashboard'!AJ$16,'User Dashboard'!AN$15,
'User Dashboard'!AN$16)),
IF('User Dashboard'!Z$12=2,
IF('SIR Model Patient Calcs'!B338&lt;'User Dashboard'!AJ$15,'User Dashboard'!AN$14,
'User Dashboard'!AN$15),
IF('User Dashboard'!Z$12=1,
'User Dashboard'!AN$14)))))</f>
        <v>15.209356603107825</v>
      </c>
      <c r="D338" s="747">
        <f>'User Dashboard'!X$15</f>
        <v>2.2072878851804097E-2</v>
      </c>
      <c r="E338" s="739">
        <f t="shared" si="46"/>
        <v>9.1306104687305751E-8</v>
      </c>
      <c r="F338" s="739">
        <f t="shared" si="53"/>
        <v>9.1306104687305738E-8</v>
      </c>
      <c r="G338" s="749">
        <f>1/'User Dashboard'!X$12</f>
        <v>0.14285714285714285</v>
      </c>
      <c r="H338" s="385">
        <f t="shared" si="47"/>
        <v>441172.17018573236</v>
      </c>
      <c r="I338" s="751">
        <f t="shared" si="50"/>
        <v>8.1770300043288299E-6</v>
      </c>
      <c r="J338" s="752">
        <f t="shared" si="48"/>
        <v>3235627.8298060899</v>
      </c>
      <c r="K338" s="385">
        <f t="shared" si="51"/>
        <v>3235627.8298142669</v>
      </c>
      <c r="L338" s="752">
        <f t="shared" si="52"/>
        <v>3.6694109439849854E-7</v>
      </c>
    </row>
    <row r="339" spans="1:12" x14ac:dyDescent="0.75">
      <c r="A339" s="309" t="str">
        <f t="shared" si="49"/>
        <v/>
      </c>
      <c r="B339" s="310">
        <v>332</v>
      </c>
      <c r="C339" s="746">
        <f>IF('User Dashboard'!Z$12=5,
IF('SIR Model Patient Calcs'!B339&lt;'User Dashboard'!AJ$15,'User Dashboard'!AN$14,
IF('SIR Model Patient Calcs'!B339&lt;'User Dashboard'!AJ$16,'User Dashboard'!AN$15,
IF('SIR Model Patient Calcs'!B339&lt;'User Dashboard'!AJ$17,'User Dashboard'!AN$16,
IF('SIR Model Patient Calcs'!B339&lt;'User Dashboard'!AJ$18,'User Dashboard'!AN$17,
'User Dashboard'!AN$18)))),
IF('User Dashboard'!Z$12=4,
IF('SIR Model Patient Calcs'!B339&lt;'User Dashboard'!AJ$15,'User Dashboard'!AN$14,
IF('SIR Model Patient Calcs'!B339&lt;'User Dashboard'!AJ$16,'User Dashboard'!AN$15,
IF('SIR Model Patient Calcs'!B339&lt;'User Dashboard'!AJ$17,'User Dashboard'!AN$16,
'User Dashboard'!AN$17))),
IF('User Dashboard'!Z$12=3,
IF('SIR Model Patient Calcs'!B339&lt;'User Dashboard'!AJ$15,'User Dashboard'!AN$14,
IF('SIR Model Patient Calcs'!B339&lt;'User Dashboard'!AJ$16,'User Dashboard'!AN$15,
'User Dashboard'!AN$16)),
IF('User Dashboard'!Z$12=2,
IF('SIR Model Patient Calcs'!B339&lt;'User Dashboard'!AJ$15,'User Dashboard'!AN$14,
'User Dashboard'!AN$15),
IF('User Dashboard'!Z$12=1,
'User Dashboard'!AN$14)))))</f>
        <v>15.209356603107825</v>
      </c>
      <c r="D339" s="747">
        <f>'User Dashboard'!X$15</f>
        <v>2.2072878851804097E-2</v>
      </c>
      <c r="E339" s="739">
        <f t="shared" si="46"/>
        <v>9.1306104687305738E-8</v>
      </c>
      <c r="F339" s="739">
        <f t="shared" si="53"/>
        <v>9.1306104687305738E-8</v>
      </c>
      <c r="G339" s="749">
        <f>1/'User Dashboard'!X$12</f>
        <v>0.14285714285714285</v>
      </c>
      <c r="H339" s="385">
        <f t="shared" si="47"/>
        <v>441172.17018540297</v>
      </c>
      <c r="I339" s="751">
        <f t="shared" si="50"/>
        <v>7.3382676314148917E-6</v>
      </c>
      <c r="J339" s="752">
        <f t="shared" si="48"/>
        <v>3235627.8298072582</v>
      </c>
      <c r="K339" s="385">
        <f t="shared" si="51"/>
        <v>3235627.8298145966</v>
      </c>
      <c r="L339" s="752">
        <f t="shared" si="52"/>
        <v>3.2968819141387939E-7</v>
      </c>
    </row>
    <row r="340" spans="1:12" x14ac:dyDescent="0.75">
      <c r="A340" s="309" t="str">
        <f t="shared" si="49"/>
        <v/>
      </c>
      <c r="B340" s="310">
        <v>333</v>
      </c>
      <c r="C340" s="746">
        <f>IF('User Dashboard'!Z$12=5,
IF('SIR Model Patient Calcs'!B340&lt;'User Dashboard'!AJ$15,'User Dashboard'!AN$14,
IF('SIR Model Patient Calcs'!B340&lt;'User Dashboard'!AJ$16,'User Dashboard'!AN$15,
IF('SIR Model Patient Calcs'!B340&lt;'User Dashboard'!AJ$17,'User Dashboard'!AN$16,
IF('SIR Model Patient Calcs'!B340&lt;'User Dashboard'!AJ$18,'User Dashboard'!AN$17,
'User Dashboard'!AN$18)))),
IF('User Dashboard'!Z$12=4,
IF('SIR Model Patient Calcs'!B340&lt;'User Dashboard'!AJ$15,'User Dashboard'!AN$14,
IF('SIR Model Patient Calcs'!B340&lt;'User Dashboard'!AJ$16,'User Dashboard'!AN$15,
IF('SIR Model Patient Calcs'!B340&lt;'User Dashboard'!AJ$17,'User Dashboard'!AN$16,
'User Dashboard'!AN$17))),
IF('User Dashboard'!Z$12=3,
IF('SIR Model Patient Calcs'!B340&lt;'User Dashboard'!AJ$15,'User Dashboard'!AN$14,
IF('SIR Model Patient Calcs'!B340&lt;'User Dashboard'!AJ$16,'User Dashboard'!AN$15,
'User Dashboard'!AN$16)),
IF('User Dashboard'!Z$12=2,
IF('SIR Model Patient Calcs'!B340&lt;'User Dashboard'!AJ$15,'User Dashboard'!AN$14,
'User Dashboard'!AN$15),
IF('User Dashboard'!Z$12=1,
'User Dashboard'!AN$14)))))</f>
        <v>15.209356603107825</v>
      </c>
      <c r="D340" s="747">
        <f>'User Dashboard'!X$15</f>
        <v>2.2072878851804097E-2</v>
      </c>
      <c r="E340" s="739">
        <f t="shared" si="46"/>
        <v>9.1306104687305738E-8</v>
      </c>
      <c r="F340" s="739">
        <f t="shared" si="53"/>
        <v>9.1306104687305738E-8</v>
      </c>
      <c r="G340" s="749">
        <f>1/'User Dashboard'!X$12</f>
        <v>0.14285714285714285</v>
      </c>
      <c r="H340" s="385">
        <f t="shared" si="47"/>
        <v>441172.17018510739</v>
      </c>
      <c r="I340" s="751">
        <f t="shared" si="50"/>
        <v>6.5855416699904527E-6</v>
      </c>
      <c r="J340" s="752">
        <f t="shared" si="48"/>
        <v>3235627.8298083064</v>
      </c>
      <c r="K340" s="385">
        <f t="shared" si="51"/>
        <v>3235627.8298148918</v>
      </c>
      <c r="L340" s="752">
        <f t="shared" si="52"/>
        <v>2.9522925615310669E-7</v>
      </c>
    </row>
    <row r="341" spans="1:12" x14ac:dyDescent="0.75">
      <c r="A341" s="309" t="str">
        <f t="shared" si="49"/>
        <v/>
      </c>
      <c r="B341" s="310">
        <v>334</v>
      </c>
      <c r="C341" s="746">
        <f>IF('User Dashboard'!Z$12=5,
IF('SIR Model Patient Calcs'!B341&lt;'User Dashboard'!AJ$15,'User Dashboard'!AN$14,
IF('SIR Model Patient Calcs'!B341&lt;'User Dashboard'!AJ$16,'User Dashboard'!AN$15,
IF('SIR Model Patient Calcs'!B341&lt;'User Dashboard'!AJ$17,'User Dashboard'!AN$16,
IF('SIR Model Patient Calcs'!B341&lt;'User Dashboard'!AJ$18,'User Dashboard'!AN$17,
'User Dashboard'!AN$18)))),
IF('User Dashboard'!Z$12=4,
IF('SIR Model Patient Calcs'!B341&lt;'User Dashboard'!AJ$15,'User Dashboard'!AN$14,
IF('SIR Model Patient Calcs'!B341&lt;'User Dashboard'!AJ$16,'User Dashboard'!AN$15,
IF('SIR Model Patient Calcs'!B341&lt;'User Dashboard'!AJ$17,'User Dashboard'!AN$16,
'User Dashboard'!AN$17))),
IF('User Dashboard'!Z$12=3,
IF('SIR Model Patient Calcs'!B341&lt;'User Dashboard'!AJ$15,'User Dashboard'!AN$14,
IF('SIR Model Patient Calcs'!B341&lt;'User Dashboard'!AJ$16,'User Dashboard'!AN$15,
'User Dashboard'!AN$16)),
IF('User Dashboard'!Z$12=2,
IF('SIR Model Patient Calcs'!B341&lt;'User Dashboard'!AJ$15,'User Dashboard'!AN$14,
'User Dashboard'!AN$15),
IF('User Dashboard'!Z$12=1,
'User Dashboard'!AN$14)))))</f>
        <v>15.209356603107825</v>
      </c>
      <c r="D341" s="747">
        <f>'User Dashboard'!X$15</f>
        <v>2.2072878851804097E-2</v>
      </c>
      <c r="E341" s="739">
        <f t="shared" si="46"/>
        <v>9.1306104687305751E-8</v>
      </c>
      <c r="F341" s="739">
        <f t="shared" si="53"/>
        <v>9.1306104687305738E-8</v>
      </c>
      <c r="G341" s="749">
        <f>1/'User Dashboard'!X$12</f>
        <v>0.14285714285714285</v>
      </c>
      <c r="H341" s="385">
        <f t="shared" si="47"/>
        <v>441172.17018484214</v>
      </c>
      <c r="I341" s="751">
        <f t="shared" si="50"/>
        <v>5.910026898108278E-6</v>
      </c>
      <c r="J341" s="752">
        <f t="shared" si="48"/>
        <v>3235627.8298092471</v>
      </c>
      <c r="K341" s="385">
        <f t="shared" si="51"/>
        <v>3235627.8298151572</v>
      </c>
      <c r="L341" s="752">
        <f t="shared" si="52"/>
        <v>2.6542693376541138E-7</v>
      </c>
    </row>
    <row r="342" spans="1:12" x14ac:dyDescent="0.75">
      <c r="A342" s="309" t="str">
        <f t="shared" si="49"/>
        <v/>
      </c>
      <c r="B342" s="310">
        <v>335</v>
      </c>
      <c r="C342" s="746">
        <f>IF('User Dashboard'!Z$12=5,
IF('SIR Model Patient Calcs'!B342&lt;'User Dashboard'!AJ$15,'User Dashboard'!AN$14,
IF('SIR Model Patient Calcs'!B342&lt;'User Dashboard'!AJ$16,'User Dashboard'!AN$15,
IF('SIR Model Patient Calcs'!B342&lt;'User Dashboard'!AJ$17,'User Dashboard'!AN$16,
IF('SIR Model Patient Calcs'!B342&lt;'User Dashboard'!AJ$18,'User Dashboard'!AN$17,
'User Dashboard'!AN$18)))),
IF('User Dashboard'!Z$12=4,
IF('SIR Model Patient Calcs'!B342&lt;'User Dashboard'!AJ$15,'User Dashboard'!AN$14,
IF('SIR Model Patient Calcs'!B342&lt;'User Dashboard'!AJ$16,'User Dashboard'!AN$15,
IF('SIR Model Patient Calcs'!B342&lt;'User Dashboard'!AJ$17,'User Dashboard'!AN$16,
'User Dashboard'!AN$17))),
IF('User Dashboard'!Z$12=3,
IF('SIR Model Patient Calcs'!B342&lt;'User Dashboard'!AJ$15,'User Dashboard'!AN$14,
IF('SIR Model Patient Calcs'!B342&lt;'User Dashboard'!AJ$16,'User Dashboard'!AN$15,
'User Dashboard'!AN$16)),
IF('User Dashboard'!Z$12=2,
IF('SIR Model Patient Calcs'!B342&lt;'User Dashboard'!AJ$15,'User Dashboard'!AN$14,
'User Dashboard'!AN$15),
IF('User Dashboard'!Z$12=1,
'User Dashboard'!AN$14)))))</f>
        <v>15.209356603107825</v>
      </c>
      <c r="D342" s="747">
        <f>'User Dashboard'!X$15</f>
        <v>2.2072878851804097E-2</v>
      </c>
      <c r="E342" s="739">
        <f t="shared" si="46"/>
        <v>9.1306104687305751E-8</v>
      </c>
      <c r="F342" s="739">
        <f t="shared" si="53"/>
        <v>9.1306104687305738E-8</v>
      </c>
      <c r="G342" s="749">
        <f>1/'User Dashboard'!X$12</f>
        <v>0.14285714285714285</v>
      </c>
      <c r="H342" s="385">
        <f t="shared" si="47"/>
        <v>441172.17018460407</v>
      </c>
      <c r="I342" s="751">
        <f t="shared" si="50"/>
        <v>5.3038033447616234E-6</v>
      </c>
      <c r="J342" s="752">
        <f t="shared" si="48"/>
        <v>3235627.8298100913</v>
      </c>
      <c r="K342" s="385">
        <f t="shared" si="51"/>
        <v>3235627.8298153952</v>
      </c>
      <c r="L342" s="752">
        <f t="shared" si="52"/>
        <v>2.3795291781425476E-7</v>
      </c>
    </row>
    <row r="343" spans="1:12" x14ac:dyDescent="0.75">
      <c r="A343" s="309" t="str">
        <f t="shared" si="49"/>
        <v/>
      </c>
      <c r="B343" s="310">
        <v>336</v>
      </c>
      <c r="C343" s="746">
        <f>IF('User Dashboard'!Z$12=5,
IF('SIR Model Patient Calcs'!B343&lt;'User Dashboard'!AJ$15,'User Dashboard'!AN$14,
IF('SIR Model Patient Calcs'!B343&lt;'User Dashboard'!AJ$16,'User Dashboard'!AN$15,
IF('SIR Model Patient Calcs'!B343&lt;'User Dashboard'!AJ$17,'User Dashboard'!AN$16,
IF('SIR Model Patient Calcs'!B343&lt;'User Dashboard'!AJ$18,'User Dashboard'!AN$17,
'User Dashboard'!AN$18)))),
IF('User Dashboard'!Z$12=4,
IF('SIR Model Patient Calcs'!B343&lt;'User Dashboard'!AJ$15,'User Dashboard'!AN$14,
IF('SIR Model Patient Calcs'!B343&lt;'User Dashboard'!AJ$16,'User Dashboard'!AN$15,
IF('SIR Model Patient Calcs'!B343&lt;'User Dashboard'!AJ$17,'User Dashboard'!AN$16,
'User Dashboard'!AN$17))),
IF('User Dashboard'!Z$12=3,
IF('SIR Model Patient Calcs'!B343&lt;'User Dashboard'!AJ$15,'User Dashboard'!AN$14,
IF('SIR Model Patient Calcs'!B343&lt;'User Dashboard'!AJ$16,'User Dashboard'!AN$15,
'User Dashboard'!AN$16)),
IF('User Dashboard'!Z$12=2,
IF('SIR Model Patient Calcs'!B343&lt;'User Dashboard'!AJ$15,'User Dashboard'!AN$14,
'User Dashboard'!AN$15),
IF('User Dashboard'!Z$12=1,
'User Dashboard'!AN$14)))))</f>
        <v>15.209356603107825</v>
      </c>
      <c r="D343" s="747">
        <f>'User Dashboard'!X$15</f>
        <v>2.2072878851804097E-2</v>
      </c>
      <c r="E343" s="739">
        <f t="shared" si="46"/>
        <v>9.1306104687305751E-8</v>
      </c>
      <c r="F343" s="739">
        <f t="shared" si="53"/>
        <v>9.1306104687305738E-8</v>
      </c>
      <c r="G343" s="749">
        <f>1/'User Dashboard'!X$12</f>
        <v>0.14285714285714285</v>
      </c>
      <c r="H343" s="385">
        <f t="shared" si="47"/>
        <v>441172.17018439044</v>
      </c>
      <c r="I343" s="751">
        <f t="shared" si="50"/>
        <v>4.7597634333793051E-6</v>
      </c>
      <c r="J343" s="752">
        <f t="shared" si="48"/>
        <v>3235627.8298108489</v>
      </c>
      <c r="K343" s="385">
        <f t="shared" si="51"/>
        <v>3235627.8298156089</v>
      </c>
      <c r="L343" s="752">
        <f t="shared" si="52"/>
        <v>2.1373853087425232E-7</v>
      </c>
    </row>
    <row r="344" spans="1:12" x14ac:dyDescent="0.75">
      <c r="A344" s="309" t="str">
        <f t="shared" si="49"/>
        <v/>
      </c>
      <c r="B344" s="310">
        <v>337</v>
      </c>
      <c r="C344" s="746">
        <f>IF('User Dashboard'!Z$12=5,
IF('SIR Model Patient Calcs'!B344&lt;'User Dashboard'!AJ$15,'User Dashboard'!AN$14,
IF('SIR Model Patient Calcs'!B344&lt;'User Dashboard'!AJ$16,'User Dashboard'!AN$15,
IF('SIR Model Patient Calcs'!B344&lt;'User Dashboard'!AJ$17,'User Dashboard'!AN$16,
IF('SIR Model Patient Calcs'!B344&lt;'User Dashboard'!AJ$18,'User Dashboard'!AN$17,
'User Dashboard'!AN$18)))),
IF('User Dashboard'!Z$12=4,
IF('SIR Model Patient Calcs'!B344&lt;'User Dashboard'!AJ$15,'User Dashboard'!AN$14,
IF('SIR Model Patient Calcs'!B344&lt;'User Dashboard'!AJ$16,'User Dashboard'!AN$15,
IF('SIR Model Patient Calcs'!B344&lt;'User Dashboard'!AJ$17,'User Dashboard'!AN$16,
'User Dashboard'!AN$17))),
IF('User Dashboard'!Z$12=3,
IF('SIR Model Patient Calcs'!B344&lt;'User Dashboard'!AJ$15,'User Dashboard'!AN$14,
IF('SIR Model Patient Calcs'!B344&lt;'User Dashboard'!AJ$16,'User Dashboard'!AN$15,
'User Dashboard'!AN$16)),
IF('User Dashboard'!Z$12=2,
IF('SIR Model Patient Calcs'!B344&lt;'User Dashboard'!AJ$15,'User Dashboard'!AN$14,
'User Dashboard'!AN$15),
IF('User Dashboard'!Z$12=1,
'User Dashboard'!AN$14)))))</f>
        <v>15.209356603107825</v>
      </c>
      <c r="D344" s="747">
        <f>'User Dashboard'!X$15</f>
        <v>2.2072878851804097E-2</v>
      </c>
      <c r="E344" s="739">
        <f t="shared" si="46"/>
        <v>9.1306104687305751E-8</v>
      </c>
      <c r="F344" s="739">
        <f t="shared" si="53"/>
        <v>9.1306104687305738E-8</v>
      </c>
      <c r="G344" s="749">
        <f>1/'User Dashboard'!X$12</f>
        <v>0.14285714285714285</v>
      </c>
      <c r="H344" s="385">
        <f t="shared" si="47"/>
        <v>441172.17018419871</v>
      </c>
      <c r="I344" s="751">
        <f t="shared" si="50"/>
        <v>4.271528650116739E-6</v>
      </c>
      <c r="J344" s="752">
        <f t="shared" si="48"/>
        <v>3235627.8298115288</v>
      </c>
      <c r="K344" s="385">
        <f t="shared" si="51"/>
        <v>3235627.8298158003</v>
      </c>
      <c r="L344" s="752">
        <f t="shared" si="52"/>
        <v>1.9138678908348083E-7</v>
      </c>
    </row>
    <row r="345" spans="1:12" x14ac:dyDescent="0.75">
      <c r="A345" s="309" t="str">
        <f t="shared" si="49"/>
        <v/>
      </c>
      <c r="B345" s="310">
        <v>338</v>
      </c>
      <c r="C345" s="746">
        <f>IF('User Dashboard'!Z$12=5,
IF('SIR Model Patient Calcs'!B345&lt;'User Dashboard'!AJ$15,'User Dashboard'!AN$14,
IF('SIR Model Patient Calcs'!B345&lt;'User Dashboard'!AJ$16,'User Dashboard'!AN$15,
IF('SIR Model Patient Calcs'!B345&lt;'User Dashboard'!AJ$17,'User Dashboard'!AN$16,
IF('SIR Model Patient Calcs'!B345&lt;'User Dashboard'!AJ$18,'User Dashboard'!AN$17,
'User Dashboard'!AN$18)))),
IF('User Dashboard'!Z$12=4,
IF('SIR Model Patient Calcs'!B345&lt;'User Dashboard'!AJ$15,'User Dashboard'!AN$14,
IF('SIR Model Patient Calcs'!B345&lt;'User Dashboard'!AJ$16,'User Dashboard'!AN$15,
IF('SIR Model Patient Calcs'!B345&lt;'User Dashboard'!AJ$17,'User Dashboard'!AN$16,
'User Dashboard'!AN$17))),
IF('User Dashboard'!Z$12=3,
IF('SIR Model Patient Calcs'!B345&lt;'User Dashboard'!AJ$15,'User Dashboard'!AN$14,
IF('SIR Model Patient Calcs'!B345&lt;'User Dashboard'!AJ$16,'User Dashboard'!AN$15,
'User Dashboard'!AN$16)),
IF('User Dashboard'!Z$12=2,
IF('SIR Model Patient Calcs'!B345&lt;'User Dashboard'!AJ$15,'User Dashboard'!AN$14,
'User Dashboard'!AN$15),
IF('User Dashboard'!Z$12=1,
'User Dashboard'!AN$14)))))</f>
        <v>15.209356603107825</v>
      </c>
      <c r="D345" s="747">
        <f>'User Dashboard'!X$15</f>
        <v>2.2072878851804097E-2</v>
      </c>
      <c r="E345" s="739">
        <f t="shared" si="46"/>
        <v>9.1306104687305751E-8</v>
      </c>
      <c r="F345" s="739">
        <f t="shared" si="53"/>
        <v>9.1306104687305725E-8</v>
      </c>
      <c r="G345" s="749">
        <f>1/'User Dashboard'!X$12</f>
        <v>0.14285714285714285</v>
      </c>
      <c r="H345" s="385">
        <f t="shared" si="47"/>
        <v>441172.17018402665</v>
      </c>
      <c r="I345" s="751">
        <f t="shared" si="50"/>
        <v>3.8333747599328967E-6</v>
      </c>
      <c r="J345" s="752">
        <f t="shared" si="48"/>
        <v>3235627.8298121388</v>
      </c>
      <c r="K345" s="385">
        <f t="shared" si="51"/>
        <v>3235627.8298159721</v>
      </c>
      <c r="L345" s="752">
        <f t="shared" si="52"/>
        <v>1.7182901501655579E-7</v>
      </c>
    </row>
    <row r="346" spans="1:12" x14ac:dyDescent="0.75">
      <c r="A346" s="309" t="str">
        <f t="shared" si="49"/>
        <v/>
      </c>
      <c r="B346" s="310">
        <v>339</v>
      </c>
      <c r="C346" s="746">
        <f>IF('User Dashboard'!Z$12=5,
IF('SIR Model Patient Calcs'!B346&lt;'User Dashboard'!AJ$15,'User Dashboard'!AN$14,
IF('SIR Model Patient Calcs'!B346&lt;'User Dashboard'!AJ$16,'User Dashboard'!AN$15,
IF('SIR Model Patient Calcs'!B346&lt;'User Dashboard'!AJ$17,'User Dashboard'!AN$16,
IF('SIR Model Patient Calcs'!B346&lt;'User Dashboard'!AJ$18,'User Dashboard'!AN$17,
'User Dashboard'!AN$18)))),
IF('User Dashboard'!Z$12=4,
IF('SIR Model Patient Calcs'!B346&lt;'User Dashboard'!AJ$15,'User Dashboard'!AN$14,
IF('SIR Model Patient Calcs'!B346&lt;'User Dashboard'!AJ$16,'User Dashboard'!AN$15,
IF('SIR Model Patient Calcs'!B346&lt;'User Dashboard'!AJ$17,'User Dashboard'!AN$16,
'User Dashboard'!AN$17))),
IF('User Dashboard'!Z$12=3,
IF('SIR Model Patient Calcs'!B346&lt;'User Dashboard'!AJ$15,'User Dashboard'!AN$14,
IF('SIR Model Patient Calcs'!B346&lt;'User Dashboard'!AJ$16,'User Dashboard'!AN$15,
'User Dashboard'!AN$16)),
IF('User Dashboard'!Z$12=2,
IF('SIR Model Patient Calcs'!B346&lt;'User Dashboard'!AJ$15,'User Dashboard'!AN$14,
'User Dashboard'!AN$15),
IF('User Dashboard'!Z$12=1,
'User Dashboard'!AN$14)))))</f>
        <v>15.209356603107825</v>
      </c>
      <c r="D346" s="747">
        <f>'User Dashboard'!X$15</f>
        <v>2.2072878851804097E-2</v>
      </c>
      <c r="E346" s="739">
        <f t="shared" si="46"/>
        <v>9.1306104687305751E-8</v>
      </c>
      <c r="F346" s="739">
        <f t="shared" si="53"/>
        <v>9.1306104687305738E-8</v>
      </c>
      <c r="G346" s="749">
        <f>1/'User Dashboard'!X$12</f>
        <v>0.14285714285714285</v>
      </c>
      <c r="H346" s="385">
        <f t="shared" si="47"/>
        <v>441172.17018387222</v>
      </c>
      <c r="I346" s="751">
        <f t="shared" si="50"/>
        <v>3.4401646936603675E-6</v>
      </c>
      <c r="J346" s="752">
        <f t="shared" si="48"/>
        <v>3235627.8298126864</v>
      </c>
      <c r="K346" s="385">
        <f t="shared" si="51"/>
        <v>3235627.8298161267</v>
      </c>
      <c r="L346" s="752">
        <f t="shared" si="52"/>
        <v>1.5459954738616943E-7</v>
      </c>
    </row>
    <row r="347" spans="1:12" x14ac:dyDescent="0.75">
      <c r="A347" s="309" t="str">
        <f t="shared" si="49"/>
        <v/>
      </c>
      <c r="B347" s="310">
        <v>340</v>
      </c>
      <c r="C347" s="746">
        <f>IF('User Dashboard'!Z$12=5,
IF('SIR Model Patient Calcs'!B347&lt;'User Dashboard'!AJ$15,'User Dashboard'!AN$14,
IF('SIR Model Patient Calcs'!B347&lt;'User Dashboard'!AJ$16,'User Dashboard'!AN$15,
IF('SIR Model Patient Calcs'!B347&lt;'User Dashboard'!AJ$17,'User Dashboard'!AN$16,
IF('SIR Model Patient Calcs'!B347&lt;'User Dashboard'!AJ$18,'User Dashboard'!AN$17,
'User Dashboard'!AN$18)))),
IF('User Dashboard'!Z$12=4,
IF('SIR Model Patient Calcs'!B347&lt;'User Dashboard'!AJ$15,'User Dashboard'!AN$14,
IF('SIR Model Patient Calcs'!B347&lt;'User Dashboard'!AJ$16,'User Dashboard'!AN$15,
IF('SIR Model Patient Calcs'!B347&lt;'User Dashboard'!AJ$17,'User Dashboard'!AN$16,
'User Dashboard'!AN$17))),
IF('User Dashboard'!Z$12=3,
IF('SIR Model Patient Calcs'!B347&lt;'User Dashboard'!AJ$15,'User Dashboard'!AN$14,
IF('SIR Model Patient Calcs'!B347&lt;'User Dashboard'!AJ$16,'User Dashboard'!AN$15,
'User Dashboard'!AN$16)),
IF('User Dashboard'!Z$12=2,
IF('SIR Model Patient Calcs'!B347&lt;'User Dashboard'!AJ$15,'User Dashboard'!AN$14,
'User Dashboard'!AN$15),
IF('User Dashboard'!Z$12=1,
'User Dashboard'!AN$14)))))</f>
        <v>15.209356603107825</v>
      </c>
      <c r="D347" s="747">
        <f>'User Dashboard'!X$15</f>
        <v>2.2072878851804097E-2</v>
      </c>
      <c r="E347" s="739">
        <f t="shared" si="46"/>
        <v>9.1306104687305764E-8</v>
      </c>
      <c r="F347" s="739">
        <f t="shared" si="53"/>
        <v>9.1306104687305738E-8</v>
      </c>
      <c r="G347" s="749">
        <f>1/'User Dashboard'!X$12</f>
        <v>0.14285714285714285</v>
      </c>
      <c r="H347" s="385">
        <f t="shared" si="47"/>
        <v>441172.17018373363</v>
      </c>
      <c r="I347" s="751">
        <f t="shared" si="50"/>
        <v>3.087288319213098E-6</v>
      </c>
      <c r="J347" s="752">
        <f t="shared" si="48"/>
        <v>3235627.8298131777</v>
      </c>
      <c r="K347" s="385">
        <f t="shared" si="51"/>
        <v>3235627.829816265</v>
      </c>
      <c r="L347" s="752">
        <f t="shared" si="52"/>
        <v>1.3830140233039856E-7</v>
      </c>
    </row>
    <row r="348" spans="1:12" x14ac:dyDescent="0.75">
      <c r="A348" s="309" t="str">
        <f t="shared" si="49"/>
        <v/>
      </c>
      <c r="B348" s="310">
        <v>341</v>
      </c>
      <c r="C348" s="746">
        <f>IF('User Dashboard'!Z$12=5,
IF('SIR Model Patient Calcs'!B348&lt;'User Dashboard'!AJ$15,'User Dashboard'!AN$14,
IF('SIR Model Patient Calcs'!B348&lt;'User Dashboard'!AJ$16,'User Dashboard'!AN$15,
IF('SIR Model Patient Calcs'!B348&lt;'User Dashboard'!AJ$17,'User Dashboard'!AN$16,
IF('SIR Model Patient Calcs'!B348&lt;'User Dashboard'!AJ$18,'User Dashboard'!AN$17,
'User Dashboard'!AN$18)))),
IF('User Dashboard'!Z$12=4,
IF('SIR Model Patient Calcs'!B348&lt;'User Dashboard'!AJ$15,'User Dashboard'!AN$14,
IF('SIR Model Patient Calcs'!B348&lt;'User Dashboard'!AJ$16,'User Dashboard'!AN$15,
IF('SIR Model Patient Calcs'!B348&lt;'User Dashboard'!AJ$17,'User Dashboard'!AN$16,
'User Dashboard'!AN$17))),
IF('User Dashboard'!Z$12=3,
IF('SIR Model Patient Calcs'!B348&lt;'User Dashboard'!AJ$15,'User Dashboard'!AN$14,
IF('SIR Model Patient Calcs'!B348&lt;'User Dashboard'!AJ$16,'User Dashboard'!AN$15,
'User Dashboard'!AN$16)),
IF('User Dashboard'!Z$12=2,
IF('SIR Model Patient Calcs'!B348&lt;'User Dashboard'!AJ$15,'User Dashboard'!AN$14,
'User Dashboard'!AN$15),
IF('User Dashboard'!Z$12=1,
'User Dashboard'!AN$14)))))</f>
        <v>15.209356603107825</v>
      </c>
      <c r="D348" s="747">
        <f>'User Dashboard'!X$15</f>
        <v>2.2072878851804097E-2</v>
      </c>
      <c r="E348" s="739">
        <f t="shared" si="46"/>
        <v>9.1306104687305764E-8</v>
      </c>
      <c r="F348" s="739">
        <f t="shared" si="53"/>
        <v>9.1306104687305751E-8</v>
      </c>
      <c r="G348" s="749">
        <f>1/'User Dashboard'!X$12</f>
        <v>0.14285714285714285</v>
      </c>
      <c r="H348" s="385">
        <f t="shared" si="47"/>
        <v>441172.17018360924</v>
      </c>
      <c r="I348" s="751">
        <f t="shared" si="50"/>
        <v>2.7706083907884233E-6</v>
      </c>
      <c r="J348" s="752">
        <f t="shared" si="48"/>
        <v>3235627.8298136187</v>
      </c>
      <c r="K348" s="385">
        <f t="shared" si="51"/>
        <v>3235627.8298163894</v>
      </c>
      <c r="L348" s="752">
        <f t="shared" si="52"/>
        <v>1.2433156371116638E-7</v>
      </c>
    </row>
    <row r="349" spans="1:12" x14ac:dyDescent="0.75">
      <c r="A349" s="309" t="str">
        <f t="shared" si="49"/>
        <v/>
      </c>
      <c r="B349" s="310">
        <v>342</v>
      </c>
      <c r="C349" s="746">
        <f>IF('User Dashboard'!Z$12=5,
IF('SIR Model Patient Calcs'!B349&lt;'User Dashboard'!AJ$15,'User Dashboard'!AN$14,
IF('SIR Model Patient Calcs'!B349&lt;'User Dashboard'!AJ$16,'User Dashboard'!AN$15,
IF('SIR Model Patient Calcs'!B349&lt;'User Dashboard'!AJ$17,'User Dashboard'!AN$16,
IF('SIR Model Patient Calcs'!B349&lt;'User Dashboard'!AJ$18,'User Dashboard'!AN$17,
'User Dashboard'!AN$18)))),
IF('User Dashboard'!Z$12=4,
IF('SIR Model Patient Calcs'!B349&lt;'User Dashboard'!AJ$15,'User Dashboard'!AN$14,
IF('SIR Model Patient Calcs'!B349&lt;'User Dashboard'!AJ$16,'User Dashboard'!AN$15,
IF('SIR Model Patient Calcs'!B349&lt;'User Dashboard'!AJ$17,'User Dashboard'!AN$16,
'User Dashboard'!AN$17))),
IF('User Dashboard'!Z$12=3,
IF('SIR Model Patient Calcs'!B349&lt;'User Dashboard'!AJ$15,'User Dashboard'!AN$14,
IF('SIR Model Patient Calcs'!B349&lt;'User Dashboard'!AJ$16,'User Dashboard'!AN$15,
'User Dashboard'!AN$16)),
IF('User Dashboard'!Z$12=2,
IF('SIR Model Patient Calcs'!B349&lt;'User Dashboard'!AJ$15,'User Dashboard'!AN$14,
'User Dashboard'!AN$15),
IF('User Dashboard'!Z$12=1,
'User Dashboard'!AN$14)))))</f>
        <v>15.209356603107825</v>
      </c>
      <c r="D349" s="747">
        <f>'User Dashboard'!X$15</f>
        <v>2.2072878851804097E-2</v>
      </c>
      <c r="E349" s="739">
        <f t="shared" si="46"/>
        <v>9.1306104687305764E-8</v>
      </c>
      <c r="F349" s="739">
        <f t="shared" si="53"/>
        <v>9.1306104687305751E-8</v>
      </c>
      <c r="G349" s="749">
        <f>1/'User Dashboard'!X$12</f>
        <v>0.14285714285714285</v>
      </c>
      <c r="H349" s="385">
        <f t="shared" si="47"/>
        <v>441172.17018349766</v>
      </c>
      <c r="I349" s="751">
        <f t="shared" si="50"/>
        <v>2.4864120423529742E-6</v>
      </c>
      <c r="J349" s="752">
        <f t="shared" si="48"/>
        <v>3235627.8298140145</v>
      </c>
      <c r="K349" s="385">
        <f t="shared" si="51"/>
        <v>3235627.8298165011</v>
      </c>
      <c r="L349" s="752">
        <f t="shared" si="52"/>
        <v>1.1175870895385742E-7</v>
      </c>
    </row>
    <row r="350" spans="1:12" x14ac:dyDescent="0.75">
      <c r="A350" s="309" t="str">
        <f t="shared" si="49"/>
        <v/>
      </c>
      <c r="B350" s="310">
        <v>343</v>
      </c>
      <c r="C350" s="746">
        <f>IF('User Dashboard'!Z$12=5,
IF('SIR Model Patient Calcs'!B350&lt;'User Dashboard'!AJ$15,'User Dashboard'!AN$14,
IF('SIR Model Patient Calcs'!B350&lt;'User Dashboard'!AJ$16,'User Dashboard'!AN$15,
IF('SIR Model Patient Calcs'!B350&lt;'User Dashboard'!AJ$17,'User Dashboard'!AN$16,
IF('SIR Model Patient Calcs'!B350&lt;'User Dashboard'!AJ$18,'User Dashboard'!AN$17,
'User Dashboard'!AN$18)))),
IF('User Dashboard'!Z$12=4,
IF('SIR Model Patient Calcs'!B350&lt;'User Dashboard'!AJ$15,'User Dashboard'!AN$14,
IF('SIR Model Patient Calcs'!B350&lt;'User Dashboard'!AJ$16,'User Dashboard'!AN$15,
IF('SIR Model Patient Calcs'!B350&lt;'User Dashboard'!AJ$17,'User Dashboard'!AN$16,
'User Dashboard'!AN$17))),
IF('User Dashboard'!Z$12=3,
IF('SIR Model Patient Calcs'!B350&lt;'User Dashboard'!AJ$15,'User Dashboard'!AN$14,
IF('SIR Model Patient Calcs'!B350&lt;'User Dashboard'!AJ$16,'User Dashboard'!AN$15,
'User Dashboard'!AN$16)),
IF('User Dashboard'!Z$12=2,
IF('SIR Model Patient Calcs'!B350&lt;'User Dashboard'!AJ$15,'User Dashboard'!AN$14,
'User Dashboard'!AN$15),
IF('User Dashboard'!Z$12=1,
'User Dashboard'!AN$14)))))</f>
        <v>15.209356603107825</v>
      </c>
      <c r="D350" s="747">
        <f>'User Dashboard'!X$15</f>
        <v>2.2072878851804097E-2</v>
      </c>
      <c r="E350" s="739">
        <f t="shared" si="46"/>
        <v>9.1306104687305764E-8</v>
      </c>
      <c r="F350" s="739">
        <f t="shared" si="53"/>
        <v>9.1306104687305778E-8</v>
      </c>
      <c r="G350" s="749">
        <f>1/'User Dashboard'!X$12</f>
        <v>0.14285714285714285</v>
      </c>
      <c r="H350" s="385">
        <f t="shared" si="47"/>
        <v>441172.17018339748</v>
      </c>
      <c r="I350" s="751">
        <f t="shared" si="50"/>
        <v>2.2313672567051441E-6</v>
      </c>
      <c r="J350" s="752">
        <f t="shared" si="48"/>
        <v>3235627.8298143698</v>
      </c>
      <c r="K350" s="385">
        <f t="shared" si="51"/>
        <v>3235627.8298166012</v>
      </c>
      <c r="L350" s="752">
        <f t="shared" si="52"/>
        <v>1.0011717677116394E-7</v>
      </c>
    </row>
    <row r="351" spans="1:12" x14ac:dyDescent="0.75">
      <c r="A351" s="309" t="str">
        <f t="shared" si="49"/>
        <v/>
      </c>
      <c r="B351" s="310">
        <v>344</v>
      </c>
      <c r="C351" s="746">
        <f>IF('User Dashboard'!Z$12=5,
IF('SIR Model Patient Calcs'!B351&lt;'User Dashboard'!AJ$15,'User Dashboard'!AN$14,
IF('SIR Model Patient Calcs'!B351&lt;'User Dashboard'!AJ$16,'User Dashboard'!AN$15,
IF('SIR Model Patient Calcs'!B351&lt;'User Dashboard'!AJ$17,'User Dashboard'!AN$16,
IF('SIR Model Patient Calcs'!B351&lt;'User Dashboard'!AJ$18,'User Dashboard'!AN$17,
'User Dashboard'!AN$18)))),
IF('User Dashboard'!Z$12=4,
IF('SIR Model Patient Calcs'!B351&lt;'User Dashboard'!AJ$15,'User Dashboard'!AN$14,
IF('SIR Model Patient Calcs'!B351&lt;'User Dashboard'!AJ$16,'User Dashboard'!AN$15,
IF('SIR Model Patient Calcs'!B351&lt;'User Dashboard'!AJ$17,'User Dashboard'!AN$16,
'User Dashboard'!AN$17))),
IF('User Dashboard'!Z$12=3,
IF('SIR Model Patient Calcs'!B351&lt;'User Dashboard'!AJ$15,'User Dashboard'!AN$14,
IF('SIR Model Patient Calcs'!B351&lt;'User Dashboard'!AJ$16,'User Dashboard'!AN$15,
'User Dashboard'!AN$16)),
IF('User Dashboard'!Z$12=2,
IF('SIR Model Patient Calcs'!B351&lt;'User Dashboard'!AJ$15,'User Dashboard'!AN$14,
'User Dashboard'!AN$15),
IF('User Dashboard'!Z$12=1,
'User Dashboard'!AN$14)))))</f>
        <v>15.209356603107825</v>
      </c>
      <c r="D351" s="747">
        <f>'User Dashboard'!X$15</f>
        <v>2.2072878851804097E-2</v>
      </c>
      <c r="E351" s="739">
        <f t="shared" si="46"/>
        <v>9.1306104687305751E-8</v>
      </c>
      <c r="F351" s="739">
        <f t="shared" si="53"/>
        <v>9.1306104687305764E-8</v>
      </c>
      <c r="G351" s="749">
        <f>1/'User Dashboard'!X$12</f>
        <v>0.14285714285714285</v>
      </c>
      <c r="H351" s="385">
        <f t="shared" si="47"/>
        <v>441172.17018330761</v>
      </c>
      <c r="I351" s="751">
        <f t="shared" si="50"/>
        <v>2.0024837997422169E-6</v>
      </c>
      <c r="J351" s="752">
        <f t="shared" si="48"/>
        <v>3235627.8298146888</v>
      </c>
      <c r="K351" s="385">
        <f t="shared" si="51"/>
        <v>3235627.8298166911</v>
      </c>
      <c r="L351" s="752">
        <f t="shared" si="52"/>
        <v>8.9872628450393677E-8</v>
      </c>
    </row>
    <row r="352" spans="1:12" x14ac:dyDescent="0.75">
      <c r="A352" s="309" t="str">
        <f t="shared" si="49"/>
        <v/>
      </c>
      <c r="B352" s="310">
        <v>345</v>
      </c>
      <c r="C352" s="746">
        <f>IF('User Dashboard'!Z$12=5,
IF('SIR Model Patient Calcs'!B352&lt;'User Dashboard'!AJ$15,'User Dashboard'!AN$14,
IF('SIR Model Patient Calcs'!B352&lt;'User Dashboard'!AJ$16,'User Dashboard'!AN$15,
IF('SIR Model Patient Calcs'!B352&lt;'User Dashboard'!AJ$17,'User Dashboard'!AN$16,
IF('SIR Model Patient Calcs'!B352&lt;'User Dashboard'!AJ$18,'User Dashboard'!AN$17,
'User Dashboard'!AN$18)))),
IF('User Dashboard'!Z$12=4,
IF('SIR Model Patient Calcs'!B352&lt;'User Dashboard'!AJ$15,'User Dashboard'!AN$14,
IF('SIR Model Patient Calcs'!B352&lt;'User Dashboard'!AJ$16,'User Dashboard'!AN$15,
IF('SIR Model Patient Calcs'!B352&lt;'User Dashboard'!AJ$17,'User Dashboard'!AN$16,
'User Dashboard'!AN$17))),
IF('User Dashboard'!Z$12=3,
IF('SIR Model Patient Calcs'!B352&lt;'User Dashboard'!AJ$15,'User Dashboard'!AN$14,
IF('SIR Model Patient Calcs'!B352&lt;'User Dashboard'!AJ$16,'User Dashboard'!AN$15,
'User Dashboard'!AN$16)),
IF('User Dashboard'!Z$12=2,
IF('SIR Model Patient Calcs'!B352&lt;'User Dashboard'!AJ$15,'User Dashboard'!AN$14,
'User Dashboard'!AN$15),
IF('User Dashboard'!Z$12=1,
'User Dashboard'!AN$14)))))</f>
        <v>15.209356603107825</v>
      </c>
      <c r="D352" s="747">
        <f>'User Dashboard'!X$15</f>
        <v>2.2072878851804097E-2</v>
      </c>
      <c r="E352" s="739">
        <f t="shared" si="46"/>
        <v>9.1306104687305764E-8</v>
      </c>
      <c r="F352" s="739">
        <f t="shared" si="53"/>
        <v>9.1306104687305751E-8</v>
      </c>
      <c r="G352" s="749">
        <f>1/'User Dashboard'!X$12</f>
        <v>0.14285714285714285</v>
      </c>
      <c r="H352" s="385">
        <f t="shared" si="47"/>
        <v>441172.17018322693</v>
      </c>
      <c r="I352" s="751">
        <f t="shared" si="50"/>
        <v>1.7970781619118604E-6</v>
      </c>
      <c r="J352" s="752">
        <f t="shared" si="48"/>
        <v>3235627.8298149747</v>
      </c>
      <c r="K352" s="385">
        <f t="shared" si="51"/>
        <v>3235627.8298167717</v>
      </c>
      <c r="L352" s="752">
        <f t="shared" si="52"/>
        <v>8.0559402704238892E-8</v>
      </c>
    </row>
    <row r="353" spans="1:12" x14ac:dyDescent="0.75">
      <c r="A353" s="309" t="str">
        <f t="shared" si="49"/>
        <v/>
      </c>
      <c r="B353" s="310">
        <v>346</v>
      </c>
      <c r="C353" s="746">
        <f>IF('User Dashboard'!Z$12=5,
IF('SIR Model Patient Calcs'!B353&lt;'User Dashboard'!AJ$15,'User Dashboard'!AN$14,
IF('SIR Model Patient Calcs'!B353&lt;'User Dashboard'!AJ$16,'User Dashboard'!AN$15,
IF('SIR Model Patient Calcs'!B353&lt;'User Dashboard'!AJ$17,'User Dashboard'!AN$16,
IF('SIR Model Patient Calcs'!B353&lt;'User Dashboard'!AJ$18,'User Dashboard'!AN$17,
'User Dashboard'!AN$18)))),
IF('User Dashboard'!Z$12=4,
IF('SIR Model Patient Calcs'!B353&lt;'User Dashboard'!AJ$15,'User Dashboard'!AN$14,
IF('SIR Model Patient Calcs'!B353&lt;'User Dashboard'!AJ$16,'User Dashboard'!AN$15,
IF('SIR Model Patient Calcs'!B353&lt;'User Dashboard'!AJ$17,'User Dashboard'!AN$16,
'User Dashboard'!AN$17))),
IF('User Dashboard'!Z$12=3,
IF('SIR Model Patient Calcs'!B353&lt;'User Dashboard'!AJ$15,'User Dashboard'!AN$14,
IF('SIR Model Patient Calcs'!B353&lt;'User Dashboard'!AJ$16,'User Dashboard'!AN$15,
'User Dashboard'!AN$16)),
IF('User Dashboard'!Z$12=2,
IF('SIR Model Patient Calcs'!B353&lt;'User Dashboard'!AJ$15,'User Dashboard'!AN$14,
'User Dashboard'!AN$15),
IF('User Dashboard'!Z$12=1,
'User Dashboard'!AN$14)))))</f>
        <v>15.209356603107825</v>
      </c>
      <c r="D353" s="747">
        <f>'User Dashboard'!X$15</f>
        <v>2.2072878851804097E-2</v>
      </c>
      <c r="E353" s="739">
        <f t="shared" si="46"/>
        <v>9.1306104687305764E-8</v>
      </c>
      <c r="F353" s="739">
        <f t="shared" si="53"/>
        <v>9.1306104687305751E-8</v>
      </c>
      <c r="G353" s="749">
        <f>1/'User Dashboard'!X$12</f>
        <v>0.14285714285714285</v>
      </c>
      <c r="H353" s="385">
        <f t="shared" si="47"/>
        <v>441172.17018315452</v>
      </c>
      <c r="I353" s="751">
        <f t="shared" si="50"/>
        <v>1.6127420958093253E-6</v>
      </c>
      <c r="J353" s="752">
        <f t="shared" si="48"/>
        <v>3235627.8298152313</v>
      </c>
      <c r="K353" s="385">
        <f t="shared" si="51"/>
        <v>3235627.8298168438</v>
      </c>
      <c r="L353" s="752">
        <f t="shared" si="52"/>
        <v>7.2177499532699585E-8</v>
      </c>
    </row>
    <row r="354" spans="1:12" x14ac:dyDescent="0.75">
      <c r="A354" s="309" t="str">
        <f t="shared" si="49"/>
        <v/>
      </c>
      <c r="B354" s="310">
        <v>347</v>
      </c>
      <c r="C354" s="746">
        <f>IF('User Dashboard'!Z$12=5,
IF('SIR Model Patient Calcs'!B354&lt;'User Dashboard'!AJ$15,'User Dashboard'!AN$14,
IF('SIR Model Patient Calcs'!B354&lt;'User Dashboard'!AJ$16,'User Dashboard'!AN$15,
IF('SIR Model Patient Calcs'!B354&lt;'User Dashboard'!AJ$17,'User Dashboard'!AN$16,
IF('SIR Model Patient Calcs'!B354&lt;'User Dashboard'!AJ$18,'User Dashboard'!AN$17,
'User Dashboard'!AN$18)))),
IF('User Dashboard'!Z$12=4,
IF('SIR Model Patient Calcs'!B354&lt;'User Dashboard'!AJ$15,'User Dashboard'!AN$14,
IF('SIR Model Patient Calcs'!B354&lt;'User Dashboard'!AJ$16,'User Dashboard'!AN$15,
IF('SIR Model Patient Calcs'!B354&lt;'User Dashboard'!AJ$17,'User Dashboard'!AN$16,
'User Dashboard'!AN$17))),
IF('User Dashboard'!Z$12=3,
IF('SIR Model Patient Calcs'!B354&lt;'User Dashboard'!AJ$15,'User Dashboard'!AN$14,
IF('SIR Model Patient Calcs'!B354&lt;'User Dashboard'!AJ$16,'User Dashboard'!AN$15,
'User Dashboard'!AN$16)),
IF('User Dashboard'!Z$12=2,
IF('SIR Model Patient Calcs'!B354&lt;'User Dashboard'!AJ$15,'User Dashboard'!AN$14,
'User Dashboard'!AN$15),
IF('User Dashboard'!Z$12=1,
'User Dashboard'!AN$14)))))</f>
        <v>15.209356603107825</v>
      </c>
      <c r="D354" s="747">
        <f>'User Dashboard'!X$15</f>
        <v>2.2072878851804097E-2</v>
      </c>
      <c r="E354" s="739">
        <f t="shared" si="46"/>
        <v>9.1306104687305764E-8</v>
      </c>
      <c r="F354" s="739">
        <f t="shared" si="53"/>
        <v>9.1306104687305751E-8</v>
      </c>
      <c r="G354" s="749">
        <f>1/'User Dashboard'!X$12</f>
        <v>0.14285714285714285</v>
      </c>
      <c r="H354" s="385">
        <f t="shared" si="47"/>
        <v>441172.17018308956</v>
      </c>
      <c r="I354" s="751">
        <f t="shared" si="50"/>
        <v>1.4473143810441572E-6</v>
      </c>
      <c r="J354" s="752">
        <f t="shared" si="48"/>
        <v>3235627.8298154618</v>
      </c>
      <c r="K354" s="385">
        <f t="shared" si="51"/>
        <v>3235627.829816909</v>
      </c>
      <c r="L354" s="752">
        <f t="shared" si="52"/>
        <v>6.5192580223083496E-8</v>
      </c>
    </row>
    <row r="355" spans="1:12" x14ac:dyDescent="0.75">
      <c r="A355" s="309" t="str">
        <f t="shared" si="49"/>
        <v/>
      </c>
      <c r="B355" s="310">
        <v>348</v>
      </c>
      <c r="C355" s="746">
        <f>IF('User Dashboard'!Z$12=5,
IF('SIR Model Patient Calcs'!B355&lt;'User Dashboard'!AJ$15,'User Dashboard'!AN$14,
IF('SIR Model Patient Calcs'!B355&lt;'User Dashboard'!AJ$16,'User Dashboard'!AN$15,
IF('SIR Model Patient Calcs'!B355&lt;'User Dashboard'!AJ$17,'User Dashboard'!AN$16,
IF('SIR Model Patient Calcs'!B355&lt;'User Dashboard'!AJ$18,'User Dashboard'!AN$17,
'User Dashboard'!AN$18)))),
IF('User Dashboard'!Z$12=4,
IF('SIR Model Patient Calcs'!B355&lt;'User Dashboard'!AJ$15,'User Dashboard'!AN$14,
IF('SIR Model Patient Calcs'!B355&lt;'User Dashboard'!AJ$16,'User Dashboard'!AN$15,
IF('SIR Model Patient Calcs'!B355&lt;'User Dashboard'!AJ$17,'User Dashboard'!AN$16,
'User Dashboard'!AN$17))),
IF('User Dashboard'!Z$12=3,
IF('SIR Model Patient Calcs'!B355&lt;'User Dashboard'!AJ$15,'User Dashboard'!AN$14,
IF('SIR Model Patient Calcs'!B355&lt;'User Dashboard'!AJ$16,'User Dashboard'!AN$15,
'User Dashboard'!AN$16)),
IF('User Dashboard'!Z$12=2,
IF('SIR Model Patient Calcs'!B355&lt;'User Dashboard'!AJ$15,'User Dashboard'!AN$14,
'User Dashboard'!AN$15),
IF('User Dashboard'!Z$12=1,
'User Dashboard'!AN$14)))))</f>
        <v>15.209356603107825</v>
      </c>
      <c r="D355" s="747">
        <f>'User Dashboard'!X$15</f>
        <v>2.2072878851804097E-2</v>
      </c>
      <c r="E355" s="739">
        <f t="shared" si="46"/>
        <v>9.1306104687305764E-8</v>
      </c>
      <c r="F355" s="739">
        <f t="shared" si="53"/>
        <v>9.1306104687305778E-8</v>
      </c>
      <c r="G355" s="749">
        <f>1/'User Dashboard'!X$12</f>
        <v>0.14285714285714285</v>
      </c>
      <c r="H355" s="385">
        <f t="shared" si="47"/>
        <v>441172.17018303124</v>
      </c>
      <c r="I355" s="751">
        <f t="shared" si="50"/>
        <v>1.2988554853378594E-6</v>
      </c>
      <c r="J355" s="752">
        <f t="shared" si="48"/>
        <v>3235627.8298156685</v>
      </c>
      <c r="K355" s="385">
        <f t="shared" si="51"/>
        <v>3235627.8298169672</v>
      </c>
      <c r="L355" s="752">
        <f t="shared" si="52"/>
        <v>5.8207660913467407E-8</v>
      </c>
    </row>
    <row r="356" spans="1:12" x14ac:dyDescent="0.75">
      <c r="A356" s="309" t="str">
        <f t="shared" si="49"/>
        <v/>
      </c>
      <c r="B356" s="310">
        <v>349</v>
      </c>
      <c r="C356" s="746">
        <f>IF('User Dashboard'!Z$12=5,
IF('SIR Model Patient Calcs'!B356&lt;'User Dashboard'!AJ$15,'User Dashboard'!AN$14,
IF('SIR Model Patient Calcs'!B356&lt;'User Dashboard'!AJ$16,'User Dashboard'!AN$15,
IF('SIR Model Patient Calcs'!B356&lt;'User Dashboard'!AJ$17,'User Dashboard'!AN$16,
IF('SIR Model Patient Calcs'!B356&lt;'User Dashboard'!AJ$18,'User Dashboard'!AN$17,
'User Dashboard'!AN$18)))),
IF('User Dashboard'!Z$12=4,
IF('SIR Model Patient Calcs'!B356&lt;'User Dashboard'!AJ$15,'User Dashboard'!AN$14,
IF('SIR Model Patient Calcs'!B356&lt;'User Dashboard'!AJ$16,'User Dashboard'!AN$15,
IF('SIR Model Patient Calcs'!B356&lt;'User Dashboard'!AJ$17,'User Dashboard'!AN$16,
'User Dashboard'!AN$17))),
IF('User Dashboard'!Z$12=3,
IF('SIR Model Patient Calcs'!B356&lt;'User Dashboard'!AJ$15,'User Dashboard'!AN$14,
IF('SIR Model Patient Calcs'!B356&lt;'User Dashboard'!AJ$16,'User Dashboard'!AN$15,
'User Dashboard'!AN$16)),
IF('User Dashboard'!Z$12=2,
IF('SIR Model Patient Calcs'!B356&lt;'User Dashboard'!AJ$15,'User Dashboard'!AN$14,
'User Dashboard'!AN$15),
IF('User Dashboard'!Z$12=1,
'User Dashboard'!AN$14)))))</f>
        <v>15.209356603107825</v>
      </c>
      <c r="D356" s="747">
        <f>'User Dashboard'!X$15</f>
        <v>2.2072878851804097E-2</v>
      </c>
      <c r="E356" s="739">
        <f t="shared" si="46"/>
        <v>9.1306104687305764E-8</v>
      </c>
      <c r="F356" s="739">
        <f t="shared" si="53"/>
        <v>9.1306104687305778E-8</v>
      </c>
      <c r="G356" s="749">
        <f>1/'User Dashboard'!X$12</f>
        <v>0.14285714285714285</v>
      </c>
      <c r="H356" s="385">
        <f t="shared" si="47"/>
        <v>441172.17018297891</v>
      </c>
      <c r="I356" s="751">
        <f t="shared" si="50"/>
        <v>1.1656248247703728E-6</v>
      </c>
      <c r="J356" s="752">
        <f t="shared" si="48"/>
        <v>3235627.8298158539</v>
      </c>
      <c r="K356" s="385">
        <f t="shared" si="51"/>
        <v>3235627.8298170194</v>
      </c>
      <c r="L356" s="752">
        <f t="shared" si="52"/>
        <v>5.2154064178466797E-8</v>
      </c>
    </row>
    <row r="357" spans="1:12" x14ac:dyDescent="0.75">
      <c r="A357" s="309" t="str">
        <f t="shared" si="49"/>
        <v/>
      </c>
      <c r="B357" s="310">
        <v>350</v>
      </c>
      <c r="C357" s="746">
        <f>IF('User Dashboard'!Z$12=5,
IF('SIR Model Patient Calcs'!B357&lt;'User Dashboard'!AJ$15,'User Dashboard'!AN$14,
IF('SIR Model Patient Calcs'!B357&lt;'User Dashboard'!AJ$16,'User Dashboard'!AN$15,
IF('SIR Model Patient Calcs'!B357&lt;'User Dashboard'!AJ$17,'User Dashboard'!AN$16,
IF('SIR Model Patient Calcs'!B357&lt;'User Dashboard'!AJ$18,'User Dashboard'!AN$17,
'User Dashboard'!AN$18)))),
IF('User Dashboard'!Z$12=4,
IF('SIR Model Patient Calcs'!B357&lt;'User Dashboard'!AJ$15,'User Dashboard'!AN$14,
IF('SIR Model Patient Calcs'!B357&lt;'User Dashboard'!AJ$16,'User Dashboard'!AN$15,
IF('SIR Model Patient Calcs'!B357&lt;'User Dashboard'!AJ$17,'User Dashboard'!AN$16,
'User Dashboard'!AN$17))),
IF('User Dashboard'!Z$12=3,
IF('SIR Model Patient Calcs'!B357&lt;'User Dashboard'!AJ$15,'User Dashboard'!AN$14,
IF('SIR Model Patient Calcs'!B357&lt;'User Dashboard'!AJ$16,'User Dashboard'!AN$15,
'User Dashboard'!AN$16)),
IF('User Dashboard'!Z$12=2,
IF('SIR Model Patient Calcs'!B357&lt;'User Dashboard'!AJ$15,'User Dashboard'!AN$14,
'User Dashboard'!AN$15),
IF('User Dashboard'!Z$12=1,
'User Dashboard'!AN$14)))))</f>
        <v>15.209356603107825</v>
      </c>
      <c r="D357" s="747">
        <f>'User Dashboard'!X$15</f>
        <v>2.2072878851804097E-2</v>
      </c>
      <c r="E357" s="739">
        <f t="shared" si="46"/>
        <v>9.1306104687305764E-8</v>
      </c>
      <c r="F357" s="739">
        <f t="shared" si="53"/>
        <v>9.1306104687305778E-8</v>
      </c>
      <c r="G357" s="749">
        <f>1/'User Dashboard'!X$12</f>
        <v>0.14285714285714285</v>
      </c>
      <c r="H357" s="385">
        <f t="shared" si="47"/>
        <v>441172.17018293194</v>
      </c>
      <c r="I357" s="751">
        <f t="shared" si="50"/>
        <v>1.0460603565665613E-6</v>
      </c>
      <c r="J357" s="752">
        <f t="shared" si="48"/>
        <v>3235627.8298160206</v>
      </c>
      <c r="K357" s="385">
        <f t="shared" si="51"/>
        <v>3235627.8298170664</v>
      </c>
      <c r="L357" s="752">
        <f t="shared" si="52"/>
        <v>4.7031790018081665E-8</v>
      </c>
    </row>
    <row r="358" spans="1:12" x14ac:dyDescent="0.75">
      <c r="A358" s="309" t="str">
        <f t="shared" si="49"/>
        <v/>
      </c>
      <c r="B358" s="310">
        <v>351</v>
      </c>
      <c r="C358" s="746">
        <f>IF('User Dashboard'!Z$12=5,
IF('SIR Model Patient Calcs'!B358&lt;'User Dashboard'!AJ$15,'User Dashboard'!AN$14,
IF('SIR Model Patient Calcs'!B358&lt;'User Dashboard'!AJ$16,'User Dashboard'!AN$15,
IF('SIR Model Patient Calcs'!B358&lt;'User Dashboard'!AJ$17,'User Dashboard'!AN$16,
IF('SIR Model Patient Calcs'!B358&lt;'User Dashboard'!AJ$18,'User Dashboard'!AN$17,
'User Dashboard'!AN$18)))),
IF('User Dashboard'!Z$12=4,
IF('SIR Model Patient Calcs'!B358&lt;'User Dashboard'!AJ$15,'User Dashboard'!AN$14,
IF('SIR Model Patient Calcs'!B358&lt;'User Dashboard'!AJ$16,'User Dashboard'!AN$15,
IF('SIR Model Patient Calcs'!B358&lt;'User Dashboard'!AJ$17,'User Dashboard'!AN$16,
'User Dashboard'!AN$17))),
IF('User Dashboard'!Z$12=3,
IF('SIR Model Patient Calcs'!B358&lt;'User Dashboard'!AJ$15,'User Dashboard'!AN$14,
IF('SIR Model Patient Calcs'!B358&lt;'User Dashboard'!AJ$16,'User Dashboard'!AN$15,
'User Dashboard'!AN$16)),
IF('User Dashboard'!Z$12=2,
IF('SIR Model Patient Calcs'!B358&lt;'User Dashboard'!AJ$15,'User Dashboard'!AN$14,
'User Dashboard'!AN$15),
IF('User Dashboard'!Z$12=1,
'User Dashboard'!AN$14)))))</f>
        <v>15.209356603107825</v>
      </c>
      <c r="D358" s="747">
        <f>'User Dashboard'!X$15</f>
        <v>2.2072878851804097E-2</v>
      </c>
      <c r="E358" s="739">
        <f t="shared" si="46"/>
        <v>9.1306104687305764E-8</v>
      </c>
      <c r="F358" s="739">
        <f t="shared" si="53"/>
        <v>9.1306104687305778E-8</v>
      </c>
      <c r="G358" s="749">
        <f>1/'User Dashboard'!X$12</f>
        <v>0.14285714285714285</v>
      </c>
      <c r="H358" s="385">
        <f t="shared" si="47"/>
        <v>441172.17018288979</v>
      </c>
      <c r="I358" s="751">
        <f t="shared" si="50"/>
        <v>9.3876026516140899E-7</v>
      </c>
      <c r="J358" s="752">
        <f t="shared" si="48"/>
        <v>3235627.82981617</v>
      </c>
      <c r="K358" s="385">
        <f t="shared" si="51"/>
        <v>3235627.8298171088</v>
      </c>
      <c r="L358" s="752">
        <f t="shared" si="52"/>
        <v>4.2375177145004272E-8</v>
      </c>
    </row>
    <row r="359" spans="1:12" x14ac:dyDescent="0.75">
      <c r="A359" s="309" t="str">
        <f t="shared" si="49"/>
        <v/>
      </c>
      <c r="B359" s="310">
        <v>352</v>
      </c>
      <c r="C359" s="746">
        <f>IF('User Dashboard'!Z$12=5,
IF('SIR Model Patient Calcs'!B359&lt;'User Dashboard'!AJ$15,'User Dashboard'!AN$14,
IF('SIR Model Patient Calcs'!B359&lt;'User Dashboard'!AJ$16,'User Dashboard'!AN$15,
IF('SIR Model Patient Calcs'!B359&lt;'User Dashboard'!AJ$17,'User Dashboard'!AN$16,
IF('SIR Model Patient Calcs'!B359&lt;'User Dashboard'!AJ$18,'User Dashboard'!AN$17,
'User Dashboard'!AN$18)))),
IF('User Dashboard'!Z$12=4,
IF('SIR Model Patient Calcs'!B359&lt;'User Dashboard'!AJ$15,'User Dashboard'!AN$14,
IF('SIR Model Patient Calcs'!B359&lt;'User Dashboard'!AJ$16,'User Dashboard'!AN$15,
IF('SIR Model Patient Calcs'!B359&lt;'User Dashboard'!AJ$17,'User Dashboard'!AN$16,
'User Dashboard'!AN$17))),
IF('User Dashboard'!Z$12=3,
IF('SIR Model Patient Calcs'!B359&lt;'User Dashboard'!AJ$15,'User Dashboard'!AN$14,
IF('SIR Model Patient Calcs'!B359&lt;'User Dashboard'!AJ$16,'User Dashboard'!AN$15,
'User Dashboard'!AN$16)),
IF('User Dashboard'!Z$12=2,
IF('SIR Model Patient Calcs'!B359&lt;'User Dashboard'!AJ$15,'User Dashboard'!AN$14,
'User Dashboard'!AN$15),
IF('User Dashboard'!Z$12=1,
'User Dashboard'!AN$14)))))</f>
        <v>15.209356603107825</v>
      </c>
      <c r="D359" s="747">
        <f>'User Dashboard'!X$15</f>
        <v>2.2072878851804097E-2</v>
      </c>
      <c r="E359" s="739">
        <f t="shared" si="46"/>
        <v>9.1306104687305764E-8</v>
      </c>
      <c r="F359" s="739">
        <f t="shared" si="53"/>
        <v>9.1306104687305778E-8</v>
      </c>
      <c r="G359" s="749">
        <f>1/'User Dashboard'!X$12</f>
        <v>0.14285714285714285</v>
      </c>
      <c r="H359" s="385">
        <f t="shared" si="47"/>
        <v>441172.17018285196</v>
      </c>
      <c r="I359" s="751">
        <f t="shared" si="50"/>
        <v>8.4246652682496477E-7</v>
      </c>
      <c r="J359" s="752">
        <f t="shared" si="48"/>
        <v>3235627.8298163041</v>
      </c>
      <c r="K359" s="385">
        <f t="shared" si="51"/>
        <v>3235627.8298171465</v>
      </c>
      <c r="L359" s="752">
        <f t="shared" si="52"/>
        <v>3.771856427192688E-8</v>
      </c>
    </row>
    <row r="360" spans="1:12" x14ac:dyDescent="0.75">
      <c r="A360" s="309" t="str">
        <f t="shared" si="49"/>
        <v/>
      </c>
      <c r="B360" s="310">
        <v>353</v>
      </c>
      <c r="C360" s="746">
        <f>IF('User Dashboard'!Z$12=5,
IF('SIR Model Patient Calcs'!B360&lt;'User Dashboard'!AJ$15,'User Dashboard'!AN$14,
IF('SIR Model Patient Calcs'!B360&lt;'User Dashboard'!AJ$16,'User Dashboard'!AN$15,
IF('SIR Model Patient Calcs'!B360&lt;'User Dashboard'!AJ$17,'User Dashboard'!AN$16,
IF('SIR Model Patient Calcs'!B360&lt;'User Dashboard'!AJ$18,'User Dashboard'!AN$17,
'User Dashboard'!AN$18)))),
IF('User Dashboard'!Z$12=4,
IF('SIR Model Patient Calcs'!B360&lt;'User Dashboard'!AJ$15,'User Dashboard'!AN$14,
IF('SIR Model Patient Calcs'!B360&lt;'User Dashboard'!AJ$16,'User Dashboard'!AN$15,
IF('SIR Model Patient Calcs'!B360&lt;'User Dashboard'!AJ$17,'User Dashboard'!AN$16,
'User Dashboard'!AN$17))),
IF('User Dashboard'!Z$12=3,
IF('SIR Model Patient Calcs'!B360&lt;'User Dashboard'!AJ$15,'User Dashboard'!AN$14,
IF('SIR Model Patient Calcs'!B360&lt;'User Dashboard'!AJ$16,'User Dashboard'!AN$15,
'User Dashboard'!AN$16)),
IF('User Dashboard'!Z$12=2,
IF('SIR Model Patient Calcs'!B360&lt;'User Dashboard'!AJ$15,'User Dashboard'!AN$14,
'User Dashboard'!AN$15),
IF('User Dashboard'!Z$12=1,
'User Dashboard'!AN$14)))))</f>
        <v>15.209356603107825</v>
      </c>
      <c r="D360" s="747">
        <f>'User Dashboard'!X$15</f>
        <v>2.2072878851804097E-2</v>
      </c>
      <c r="E360" s="739">
        <f t="shared" si="46"/>
        <v>9.1306104687305764E-8</v>
      </c>
      <c r="F360" s="739">
        <f t="shared" si="53"/>
        <v>9.1306104687305778E-8</v>
      </c>
      <c r="G360" s="749">
        <f>1/'User Dashboard'!X$12</f>
        <v>0.14285714285714285</v>
      </c>
      <c r="H360" s="385">
        <f t="shared" si="47"/>
        <v>441172.17018281802</v>
      </c>
      <c r="I360" s="751">
        <f t="shared" si="50"/>
        <v>7.5605016015295773E-7</v>
      </c>
      <c r="J360" s="752">
        <f t="shared" si="48"/>
        <v>3235627.8298164243</v>
      </c>
      <c r="K360" s="385">
        <f t="shared" si="51"/>
        <v>3235627.8298171805</v>
      </c>
      <c r="L360" s="752">
        <f t="shared" si="52"/>
        <v>3.3993273973464966E-8</v>
      </c>
    </row>
    <row r="361" spans="1:12" x14ac:dyDescent="0.75">
      <c r="A361" s="309" t="str">
        <f t="shared" si="49"/>
        <v/>
      </c>
      <c r="B361" s="310">
        <v>354</v>
      </c>
      <c r="C361" s="746">
        <f>IF('User Dashboard'!Z$12=5,
IF('SIR Model Patient Calcs'!B361&lt;'User Dashboard'!AJ$15,'User Dashboard'!AN$14,
IF('SIR Model Patient Calcs'!B361&lt;'User Dashboard'!AJ$16,'User Dashboard'!AN$15,
IF('SIR Model Patient Calcs'!B361&lt;'User Dashboard'!AJ$17,'User Dashboard'!AN$16,
IF('SIR Model Patient Calcs'!B361&lt;'User Dashboard'!AJ$18,'User Dashboard'!AN$17,
'User Dashboard'!AN$18)))),
IF('User Dashboard'!Z$12=4,
IF('SIR Model Patient Calcs'!B361&lt;'User Dashboard'!AJ$15,'User Dashboard'!AN$14,
IF('SIR Model Patient Calcs'!B361&lt;'User Dashboard'!AJ$16,'User Dashboard'!AN$15,
IF('SIR Model Patient Calcs'!B361&lt;'User Dashboard'!AJ$17,'User Dashboard'!AN$16,
'User Dashboard'!AN$17))),
IF('User Dashboard'!Z$12=3,
IF('SIR Model Patient Calcs'!B361&lt;'User Dashboard'!AJ$15,'User Dashboard'!AN$14,
IF('SIR Model Patient Calcs'!B361&lt;'User Dashboard'!AJ$16,'User Dashboard'!AN$15,
'User Dashboard'!AN$16)),
IF('User Dashboard'!Z$12=2,
IF('SIR Model Patient Calcs'!B361&lt;'User Dashboard'!AJ$15,'User Dashboard'!AN$14,
'User Dashboard'!AN$15),
IF('User Dashboard'!Z$12=1,
'User Dashboard'!AN$14)))))</f>
        <v>15.209356603107825</v>
      </c>
      <c r="D361" s="747">
        <f>'User Dashboard'!X$15</f>
        <v>2.2072878851804097E-2</v>
      </c>
      <c r="E361" s="739">
        <f t="shared" si="46"/>
        <v>9.1306104687305764E-8</v>
      </c>
      <c r="F361" s="739">
        <f t="shared" si="53"/>
        <v>9.1306104687305778E-8</v>
      </c>
      <c r="G361" s="749">
        <f>1/'User Dashboard'!X$12</f>
        <v>0.14285714285714285</v>
      </c>
      <c r="H361" s="385">
        <f t="shared" si="47"/>
        <v>441172.17018278758</v>
      </c>
      <c r="I361" s="751">
        <f t="shared" si="50"/>
        <v>6.7849798949468784E-7</v>
      </c>
      <c r="J361" s="752">
        <f t="shared" si="48"/>
        <v>3235627.8298165323</v>
      </c>
      <c r="K361" s="385">
        <f t="shared" si="51"/>
        <v>3235627.8298172108</v>
      </c>
      <c r="L361" s="752">
        <f t="shared" si="52"/>
        <v>3.0267983675003052E-8</v>
      </c>
    </row>
    <row r="362" spans="1:12" x14ac:dyDescent="0.75">
      <c r="A362" s="309" t="str">
        <f t="shared" si="49"/>
        <v/>
      </c>
      <c r="B362" s="310">
        <v>355</v>
      </c>
      <c r="C362" s="746">
        <f>IF('User Dashboard'!Z$12=5,
IF('SIR Model Patient Calcs'!B362&lt;'User Dashboard'!AJ$15,'User Dashboard'!AN$14,
IF('SIR Model Patient Calcs'!B362&lt;'User Dashboard'!AJ$16,'User Dashboard'!AN$15,
IF('SIR Model Patient Calcs'!B362&lt;'User Dashboard'!AJ$17,'User Dashboard'!AN$16,
IF('SIR Model Patient Calcs'!B362&lt;'User Dashboard'!AJ$18,'User Dashboard'!AN$17,
'User Dashboard'!AN$18)))),
IF('User Dashboard'!Z$12=4,
IF('SIR Model Patient Calcs'!B362&lt;'User Dashboard'!AJ$15,'User Dashboard'!AN$14,
IF('SIR Model Patient Calcs'!B362&lt;'User Dashboard'!AJ$16,'User Dashboard'!AN$15,
IF('SIR Model Patient Calcs'!B362&lt;'User Dashboard'!AJ$17,'User Dashboard'!AN$16,
'User Dashboard'!AN$17))),
IF('User Dashboard'!Z$12=3,
IF('SIR Model Patient Calcs'!B362&lt;'User Dashboard'!AJ$15,'User Dashboard'!AN$14,
IF('SIR Model Patient Calcs'!B362&lt;'User Dashboard'!AJ$16,'User Dashboard'!AN$15,
'User Dashboard'!AN$16)),
IF('User Dashboard'!Z$12=2,
IF('SIR Model Patient Calcs'!B362&lt;'User Dashboard'!AJ$15,'User Dashboard'!AN$14,
'User Dashboard'!AN$15),
IF('User Dashboard'!Z$12=1,
'User Dashboard'!AN$14)))))</f>
        <v>15.209356603107825</v>
      </c>
      <c r="D362" s="747">
        <f>'User Dashboard'!X$15</f>
        <v>2.2072878851804097E-2</v>
      </c>
      <c r="E362" s="739">
        <f t="shared" si="46"/>
        <v>9.1306104687305764E-8</v>
      </c>
      <c r="F362" s="739">
        <f t="shared" si="53"/>
        <v>9.1306104687305778E-8</v>
      </c>
      <c r="G362" s="749">
        <f>1/'User Dashboard'!X$12</f>
        <v>0.14285714285714285</v>
      </c>
      <c r="H362" s="385">
        <f t="shared" si="47"/>
        <v>441172.17018276022</v>
      </c>
      <c r="I362" s="751">
        <f t="shared" si="50"/>
        <v>6.0890076612799867E-7</v>
      </c>
      <c r="J362" s="752">
        <f t="shared" si="48"/>
        <v>3235627.8298166292</v>
      </c>
      <c r="K362" s="385">
        <f t="shared" si="51"/>
        <v>3235627.8298172383</v>
      </c>
      <c r="L362" s="752">
        <f t="shared" si="52"/>
        <v>2.7474015951156616E-8</v>
      </c>
    </row>
    <row r="363" spans="1:12" x14ac:dyDescent="0.75">
      <c r="A363" s="309" t="str">
        <f t="shared" si="49"/>
        <v/>
      </c>
      <c r="B363" s="310">
        <v>356</v>
      </c>
      <c r="C363" s="746">
        <f>IF('User Dashboard'!Z$12=5,
IF('SIR Model Patient Calcs'!B363&lt;'User Dashboard'!AJ$15,'User Dashboard'!AN$14,
IF('SIR Model Patient Calcs'!B363&lt;'User Dashboard'!AJ$16,'User Dashboard'!AN$15,
IF('SIR Model Patient Calcs'!B363&lt;'User Dashboard'!AJ$17,'User Dashboard'!AN$16,
IF('SIR Model Patient Calcs'!B363&lt;'User Dashboard'!AJ$18,'User Dashboard'!AN$17,
'User Dashboard'!AN$18)))),
IF('User Dashboard'!Z$12=4,
IF('SIR Model Patient Calcs'!B363&lt;'User Dashboard'!AJ$15,'User Dashboard'!AN$14,
IF('SIR Model Patient Calcs'!B363&lt;'User Dashboard'!AJ$16,'User Dashboard'!AN$15,
IF('SIR Model Patient Calcs'!B363&lt;'User Dashboard'!AJ$17,'User Dashboard'!AN$16,
'User Dashboard'!AN$17))),
IF('User Dashboard'!Z$12=3,
IF('SIR Model Patient Calcs'!B363&lt;'User Dashboard'!AJ$15,'User Dashboard'!AN$14,
IF('SIR Model Patient Calcs'!B363&lt;'User Dashboard'!AJ$16,'User Dashboard'!AN$15,
'User Dashboard'!AN$16)),
IF('User Dashboard'!Z$12=2,
IF('SIR Model Patient Calcs'!B363&lt;'User Dashboard'!AJ$15,'User Dashboard'!AN$14,
'User Dashboard'!AN$15),
IF('User Dashboard'!Z$12=1,
'User Dashboard'!AN$14)))))</f>
        <v>15.209356603107825</v>
      </c>
      <c r="D363" s="747">
        <f>'User Dashboard'!X$15</f>
        <v>2.2072878851804097E-2</v>
      </c>
      <c r="E363" s="739">
        <f t="shared" si="46"/>
        <v>9.1306104687305764E-8</v>
      </c>
      <c r="F363" s="739">
        <f t="shared" si="53"/>
        <v>9.1306104687305778E-8</v>
      </c>
      <c r="G363" s="749">
        <f>1/'User Dashboard'!X$12</f>
        <v>0.14285714285714285</v>
      </c>
      <c r="H363" s="385">
        <f t="shared" si="47"/>
        <v>441172.17018273572</v>
      </c>
      <c r="I363" s="751">
        <f t="shared" si="50"/>
        <v>5.4644250790984182E-7</v>
      </c>
      <c r="J363" s="752">
        <f t="shared" si="48"/>
        <v>3235627.8298167163</v>
      </c>
      <c r="K363" s="385">
        <f t="shared" si="51"/>
        <v>3235627.8298172625</v>
      </c>
      <c r="L363" s="752">
        <f t="shared" si="52"/>
        <v>2.4214386940002441E-8</v>
      </c>
    </row>
    <row r="364" spans="1:12" x14ac:dyDescent="0.75">
      <c r="A364" s="309" t="str">
        <f t="shared" si="49"/>
        <v/>
      </c>
      <c r="B364" s="310">
        <v>357</v>
      </c>
      <c r="C364" s="746">
        <f>IF('User Dashboard'!Z$12=5,
IF('SIR Model Patient Calcs'!B364&lt;'User Dashboard'!AJ$15,'User Dashboard'!AN$14,
IF('SIR Model Patient Calcs'!B364&lt;'User Dashboard'!AJ$16,'User Dashboard'!AN$15,
IF('SIR Model Patient Calcs'!B364&lt;'User Dashboard'!AJ$17,'User Dashboard'!AN$16,
IF('SIR Model Patient Calcs'!B364&lt;'User Dashboard'!AJ$18,'User Dashboard'!AN$17,
'User Dashboard'!AN$18)))),
IF('User Dashboard'!Z$12=4,
IF('SIR Model Patient Calcs'!B364&lt;'User Dashboard'!AJ$15,'User Dashboard'!AN$14,
IF('SIR Model Patient Calcs'!B364&lt;'User Dashboard'!AJ$16,'User Dashboard'!AN$15,
IF('SIR Model Patient Calcs'!B364&lt;'User Dashboard'!AJ$17,'User Dashboard'!AN$16,
'User Dashboard'!AN$17))),
IF('User Dashboard'!Z$12=3,
IF('SIR Model Patient Calcs'!B364&lt;'User Dashboard'!AJ$15,'User Dashboard'!AN$14,
IF('SIR Model Patient Calcs'!B364&lt;'User Dashboard'!AJ$16,'User Dashboard'!AN$15,
'User Dashboard'!AN$16)),
IF('User Dashboard'!Z$12=2,
IF('SIR Model Patient Calcs'!B364&lt;'User Dashboard'!AJ$15,'User Dashboard'!AN$14,
'User Dashboard'!AN$15),
IF('User Dashboard'!Z$12=1,
'User Dashboard'!AN$14)))))</f>
        <v>15.209356603107825</v>
      </c>
      <c r="D364" s="747">
        <f>'User Dashboard'!X$15</f>
        <v>2.2072878851804097E-2</v>
      </c>
      <c r="E364" s="739">
        <f t="shared" si="46"/>
        <v>9.1306104687305764E-8</v>
      </c>
      <c r="F364" s="739">
        <f t="shared" si="53"/>
        <v>9.1306104687305778E-8</v>
      </c>
      <c r="G364" s="749">
        <f>1/'User Dashboard'!X$12</f>
        <v>0.14285714285714285</v>
      </c>
      <c r="H364" s="385">
        <f t="shared" si="47"/>
        <v>441172.17018271371</v>
      </c>
      <c r="I364" s="751">
        <f t="shared" si="50"/>
        <v>4.9039093241677317E-7</v>
      </c>
      <c r="J364" s="752">
        <f t="shared" si="48"/>
        <v>3235627.8298167945</v>
      </c>
      <c r="K364" s="385">
        <f t="shared" si="51"/>
        <v>3235627.8298172848</v>
      </c>
      <c r="L364" s="752">
        <f t="shared" si="52"/>
        <v>2.2351741790771484E-8</v>
      </c>
    </row>
    <row r="365" spans="1:12" x14ac:dyDescent="0.75">
      <c r="A365" s="309" t="str">
        <f t="shared" si="49"/>
        <v/>
      </c>
      <c r="B365" s="310">
        <v>358</v>
      </c>
      <c r="C365" s="746">
        <f>IF('User Dashboard'!Z$12=5,
IF('SIR Model Patient Calcs'!B365&lt;'User Dashboard'!AJ$15,'User Dashboard'!AN$14,
IF('SIR Model Patient Calcs'!B365&lt;'User Dashboard'!AJ$16,'User Dashboard'!AN$15,
IF('SIR Model Patient Calcs'!B365&lt;'User Dashboard'!AJ$17,'User Dashboard'!AN$16,
IF('SIR Model Patient Calcs'!B365&lt;'User Dashboard'!AJ$18,'User Dashboard'!AN$17,
'User Dashboard'!AN$18)))),
IF('User Dashboard'!Z$12=4,
IF('SIR Model Patient Calcs'!B365&lt;'User Dashboard'!AJ$15,'User Dashboard'!AN$14,
IF('SIR Model Patient Calcs'!B365&lt;'User Dashboard'!AJ$16,'User Dashboard'!AN$15,
IF('SIR Model Patient Calcs'!B365&lt;'User Dashboard'!AJ$17,'User Dashboard'!AN$16,
'User Dashboard'!AN$17))),
IF('User Dashboard'!Z$12=3,
IF('SIR Model Patient Calcs'!B365&lt;'User Dashboard'!AJ$15,'User Dashboard'!AN$14,
IF('SIR Model Patient Calcs'!B365&lt;'User Dashboard'!AJ$16,'User Dashboard'!AN$15,
'User Dashboard'!AN$16)),
IF('User Dashboard'!Z$12=2,
IF('SIR Model Patient Calcs'!B365&lt;'User Dashboard'!AJ$15,'User Dashboard'!AN$14,
'User Dashboard'!AN$15),
IF('User Dashboard'!Z$12=1,
'User Dashboard'!AN$14)))))</f>
        <v>15.209356603107825</v>
      </c>
      <c r="D365" s="747">
        <f>'User Dashboard'!X$15</f>
        <v>2.2072878851804097E-2</v>
      </c>
      <c r="E365" s="739">
        <f t="shared" si="46"/>
        <v>9.1306104687305764E-8</v>
      </c>
      <c r="F365" s="739">
        <f t="shared" si="53"/>
        <v>9.1306104687305778E-8</v>
      </c>
      <c r="G365" s="749">
        <f>1/'User Dashboard'!X$12</f>
        <v>0.14285714285714285</v>
      </c>
      <c r="H365" s="385">
        <f t="shared" si="47"/>
        <v>441172.17018269398</v>
      </c>
      <c r="I365" s="751">
        <f t="shared" si="50"/>
        <v>4.4008887141018185E-7</v>
      </c>
      <c r="J365" s="752">
        <f t="shared" si="48"/>
        <v>3235627.8298168643</v>
      </c>
      <c r="K365" s="385">
        <f t="shared" si="51"/>
        <v>3235627.8298173044</v>
      </c>
      <c r="L365" s="752">
        <f t="shared" si="52"/>
        <v>1.9557774066925049E-8</v>
      </c>
    </row>
    <row r="366" spans="1:12" x14ac:dyDescent="0.75">
      <c r="A366" s="309" t="str">
        <f t="shared" si="49"/>
        <v/>
      </c>
      <c r="B366" s="310">
        <v>359</v>
      </c>
      <c r="C366" s="746">
        <f>IF('User Dashboard'!Z$12=5,
IF('SIR Model Patient Calcs'!B366&lt;'User Dashboard'!AJ$15,'User Dashboard'!AN$14,
IF('SIR Model Patient Calcs'!B366&lt;'User Dashboard'!AJ$16,'User Dashboard'!AN$15,
IF('SIR Model Patient Calcs'!B366&lt;'User Dashboard'!AJ$17,'User Dashboard'!AN$16,
IF('SIR Model Patient Calcs'!B366&lt;'User Dashboard'!AJ$18,'User Dashboard'!AN$17,
'User Dashboard'!AN$18)))),
IF('User Dashboard'!Z$12=4,
IF('SIR Model Patient Calcs'!B366&lt;'User Dashboard'!AJ$15,'User Dashboard'!AN$14,
IF('SIR Model Patient Calcs'!B366&lt;'User Dashboard'!AJ$16,'User Dashboard'!AN$15,
IF('SIR Model Patient Calcs'!B366&lt;'User Dashboard'!AJ$17,'User Dashboard'!AN$16,
'User Dashboard'!AN$17))),
IF('User Dashboard'!Z$12=3,
IF('SIR Model Patient Calcs'!B366&lt;'User Dashboard'!AJ$15,'User Dashboard'!AN$14,
IF('SIR Model Patient Calcs'!B366&lt;'User Dashboard'!AJ$16,'User Dashboard'!AN$15,
'User Dashboard'!AN$16)),
IF('User Dashboard'!Z$12=2,
IF('SIR Model Patient Calcs'!B366&lt;'User Dashboard'!AJ$15,'User Dashboard'!AN$14,
'User Dashboard'!AN$15),
IF('User Dashboard'!Z$12=1,
'User Dashboard'!AN$14)))))</f>
        <v>15.209356603107825</v>
      </c>
      <c r="D366" s="747">
        <f>'User Dashboard'!X$15</f>
        <v>2.2072878851804097E-2</v>
      </c>
      <c r="E366" s="739">
        <f t="shared" si="46"/>
        <v>9.1306104687305764E-8</v>
      </c>
      <c r="F366" s="739">
        <f t="shared" si="53"/>
        <v>9.1306104687305778E-8</v>
      </c>
      <c r="G366" s="749">
        <f>1/'User Dashboard'!X$12</f>
        <v>0.14285714285714285</v>
      </c>
      <c r="H366" s="385">
        <f t="shared" si="47"/>
        <v>441172.17018267623</v>
      </c>
      <c r="I366" s="751">
        <f t="shared" si="50"/>
        <v>3.9494656596644416E-7</v>
      </c>
      <c r="J366" s="752">
        <f t="shared" si="48"/>
        <v>3235627.8298169272</v>
      </c>
      <c r="K366" s="385">
        <f t="shared" si="51"/>
        <v>3235627.8298173221</v>
      </c>
      <c r="L366" s="752">
        <f t="shared" si="52"/>
        <v>1.7695128917694092E-8</v>
      </c>
    </row>
    <row r="367" spans="1:12" x14ac:dyDescent="0.75">
      <c r="A367" s="309" t="str">
        <f t="shared" si="49"/>
        <v/>
      </c>
      <c r="B367" s="310">
        <v>360</v>
      </c>
      <c r="C367" s="746">
        <f>IF('User Dashboard'!Z$12=5,
IF('SIR Model Patient Calcs'!B367&lt;'User Dashboard'!AJ$15,'User Dashboard'!AN$14,
IF('SIR Model Patient Calcs'!B367&lt;'User Dashboard'!AJ$16,'User Dashboard'!AN$15,
IF('SIR Model Patient Calcs'!B367&lt;'User Dashboard'!AJ$17,'User Dashboard'!AN$16,
IF('SIR Model Patient Calcs'!B367&lt;'User Dashboard'!AJ$18,'User Dashboard'!AN$17,
'User Dashboard'!AN$18)))),
IF('User Dashboard'!Z$12=4,
IF('SIR Model Patient Calcs'!B367&lt;'User Dashboard'!AJ$15,'User Dashboard'!AN$14,
IF('SIR Model Patient Calcs'!B367&lt;'User Dashboard'!AJ$16,'User Dashboard'!AN$15,
IF('SIR Model Patient Calcs'!B367&lt;'User Dashboard'!AJ$17,'User Dashboard'!AN$16,
'User Dashboard'!AN$17))),
IF('User Dashboard'!Z$12=3,
IF('SIR Model Patient Calcs'!B367&lt;'User Dashboard'!AJ$15,'User Dashboard'!AN$14,
IF('SIR Model Patient Calcs'!B367&lt;'User Dashboard'!AJ$16,'User Dashboard'!AN$15,
'User Dashboard'!AN$16)),
IF('User Dashboard'!Z$12=2,
IF('SIR Model Patient Calcs'!B367&lt;'User Dashboard'!AJ$15,'User Dashboard'!AN$14,
'User Dashboard'!AN$15),
IF('User Dashboard'!Z$12=1,
'User Dashboard'!AN$14)))))</f>
        <v>15.209356603107825</v>
      </c>
      <c r="D367" s="747">
        <f>'User Dashboard'!X$15</f>
        <v>2.2072878851804097E-2</v>
      </c>
      <c r="E367" s="739">
        <f t="shared" si="46"/>
        <v>9.1306104687305764E-8</v>
      </c>
      <c r="F367" s="739">
        <f t="shared" si="53"/>
        <v>9.1306104687305778E-8</v>
      </c>
      <c r="G367" s="749">
        <f>1/'User Dashboard'!X$12</f>
        <v>0.14285714285714285</v>
      </c>
      <c r="H367" s="385">
        <f t="shared" si="47"/>
        <v>441172.17018266034</v>
      </c>
      <c r="I367" s="751">
        <f t="shared" si="50"/>
        <v>3.5443475193741915E-7</v>
      </c>
      <c r="J367" s="752">
        <f t="shared" si="48"/>
        <v>3235627.8298169835</v>
      </c>
      <c r="K367" s="385">
        <f t="shared" si="51"/>
        <v>3235627.8298173379</v>
      </c>
      <c r="L367" s="752">
        <f t="shared" si="52"/>
        <v>1.5832483768463135E-8</v>
      </c>
    </row>
    <row r="368" spans="1:12" x14ac:dyDescent="0.75">
      <c r="A368" s="309" t="str">
        <f t="shared" si="49"/>
        <v/>
      </c>
      <c r="B368" s="310">
        <v>361</v>
      </c>
      <c r="C368" s="746">
        <f>IF('User Dashboard'!Z$12=5,
IF('SIR Model Patient Calcs'!B368&lt;'User Dashboard'!AJ$15,'User Dashboard'!AN$14,
IF('SIR Model Patient Calcs'!B368&lt;'User Dashboard'!AJ$16,'User Dashboard'!AN$15,
IF('SIR Model Patient Calcs'!B368&lt;'User Dashboard'!AJ$17,'User Dashboard'!AN$16,
IF('SIR Model Patient Calcs'!B368&lt;'User Dashboard'!AJ$18,'User Dashboard'!AN$17,
'User Dashboard'!AN$18)))),
IF('User Dashboard'!Z$12=4,
IF('SIR Model Patient Calcs'!B368&lt;'User Dashboard'!AJ$15,'User Dashboard'!AN$14,
IF('SIR Model Patient Calcs'!B368&lt;'User Dashboard'!AJ$16,'User Dashboard'!AN$15,
IF('SIR Model Patient Calcs'!B368&lt;'User Dashboard'!AJ$17,'User Dashboard'!AN$16,
'User Dashboard'!AN$17))),
IF('User Dashboard'!Z$12=3,
IF('SIR Model Patient Calcs'!B368&lt;'User Dashboard'!AJ$15,'User Dashboard'!AN$14,
IF('SIR Model Patient Calcs'!B368&lt;'User Dashboard'!AJ$16,'User Dashboard'!AN$15,
'User Dashboard'!AN$16)),
IF('User Dashboard'!Z$12=2,
IF('SIR Model Patient Calcs'!B368&lt;'User Dashboard'!AJ$15,'User Dashboard'!AN$14,
'User Dashboard'!AN$15),
IF('User Dashboard'!Z$12=1,
'User Dashboard'!AN$14)))))</f>
        <v>15.209356603107825</v>
      </c>
      <c r="D368" s="747">
        <f>'User Dashboard'!X$15</f>
        <v>2.2072878851804097E-2</v>
      </c>
      <c r="E368" s="739">
        <f t="shared" si="46"/>
        <v>9.1306104687305764E-8</v>
      </c>
      <c r="F368" s="739">
        <f t="shared" si="53"/>
        <v>9.1306104687305778E-8</v>
      </c>
      <c r="G368" s="749">
        <f>1/'User Dashboard'!X$12</f>
        <v>0.14285714285714285</v>
      </c>
      <c r="H368" s="385">
        <f t="shared" si="47"/>
        <v>441172.17018264608</v>
      </c>
      <c r="I368" s="751">
        <f t="shared" si="50"/>
        <v>3.1807845467281018E-7</v>
      </c>
      <c r="J368" s="752">
        <f t="shared" si="48"/>
        <v>3235627.8298170343</v>
      </c>
      <c r="K368" s="385">
        <f t="shared" si="51"/>
        <v>3235627.8298173524</v>
      </c>
      <c r="L368" s="752">
        <f t="shared" si="52"/>
        <v>1.4435499906539917E-8</v>
      </c>
    </row>
    <row r="369" spans="1:12" x14ac:dyDescent="0.75">
      <c r="A369" s="309" t="str">
        <f t="shared" si="49"/>
        <v/>
      </c>
      <c r="B369" s="310">
        <v>362</v>
      </c>
      <c r="C369" s="746">
        <f>IF('User Dashboard'!Z$12=5,
IF('SIR Model Patient Calcs'!B369&lt;'User Dashboard'!AJ$15,'User Dashboard'!AN$14,
IF('SIR Model Patient Calcs'!B369&lt;'User Dashboard'!AJ$16,'User Dashboard'!AN$15,
IF('SIR Model Patient Calcs'!B369&lt;'User Dashboard'!AJ$17,'User Dashboard'!AN$16,
IF('SIR Model Patient Calcs'!B369&lt;'User Dashboard'!AJ$18,'User Dashboard'!AN$17,
'User Dashboard'!AN$18)))),
IF('User Dashboard'!Z$12=4,
IF('SIR Model Patient Calcs'!B369&lt;'User Dashboard'!AJ$15,'User Dashboard'!AN$14,
IF('SIR Model Patient Calcs'!B369&lt;'User Dashboard'!AJ$16,'User Dashboard'!AN$15,
IF('SIR Model Patient Calcs'!B369&lt;'User Dashboard'!AJ$17,'User Dashboard'!AN$16,
'User Dashboard'!AN$17))),
IF('User Dashboard'!Z$12=3,
IF('SIR Model Patient Calcs'!B369&lt;'User Dashboard'!AJ$15,'User Dashboard'!AN$14,
IF('SIR Model Patient Calcs'!B369&lt;'User Dashboard'!AJ$16,'User Dashboard'!AN$15,
'User Dashboard'!AN$16)),
IF('User Dashboard'!Z$12=2,
IF('SIR Model Patient Calcs'!B369&lt;'User Dashboard'!AJ$15,'User Dashboard'!AN$14,
'User Dashboard'!AN$15),
IF('User Dashboard'!Z$12=1,
'User Dashboard'!AN$14)))))</f>
        <v>15.209356603107825</v>
      </c>
      <c r="D369" s="747">
        <f>'User Dashboard'!X$15</f>
        <v>2.2072878851804097E-2</v>
      </c>
      <c r="E369" s="739">
        <f t="shared" si="46"/>
        <v>9.1306104687305764E-8</v>
      </c>
      <c r="F369" s="739">
        <f t="shared" si="53"/>
        <v>9.1306104687305778E-8</v>
      </c>
      <c r="G369" s="749">
        <f>1/'User Dashboard'!X$12</f>
        <v>0.14285714285714285</v>
      </c>
      <c r="H369" s="385">
        <f t="shared" si="47"/>
        <v>441172.17018263327</v>
      </c>
      <c r="I369" s="751">
        <f t="shared" si="50"/>
        <v>2.8545142025155197E-7</v>
      </c>
      <c r="J369" s="752">
        <f t="shared" si="48"/>
        <v>3235627.8298170799</v>
      </c>
      <c r="K369" s="385">
        <f t="shared" si="51"/>
        <v>3235627.8298173654</v>
      </c>
      <c r="L369" s="752">
        <f t="shared" si="52"/>
        <v>1.3038516044616699E-8</v>
      </c>
    </row>
    <row r="370" spans="1:12" x14ac:dyDescent="0.75">
      <c r="A370" s="309" t="str">
        <f t="shared" si="49"/>
        <v/>
      </c>
      <c r="B370" s="310">
        <v>363</v>
      </c>
      <c r="C370" s="746">
        <f>IF('User Dashboard'!Z$12=5,
IF('SIR Model Patient Calcs'!B370&lt;'User Dashboard'!AJ$15,'User Dashboard'!AN$14,
IF('SIR Model Patient Calcs'!B370&lt;'User Dashboard'!AJ$16,'User Dashboard'!AN$15,
IF('SIR Model Patient Calcs'!B370&lt;'User Dashboard'!AJ$17,'User Dashboard'!AN$16,
IF('SIR Model Patient Calcs'!B370&lt;'User Dashboard'!AJ$18,'User Dashboard'!AN$17,
'User Dashboard'!AN$18)))),
IF('User Dashboard'!Z$12=4,
IF('SIR Model Patient Calcs'!B370&lt;'User Dashboard'!AJ$15,'User Dashboard'!AN$14,
IF('SIR Model Patient Calcs'!B370&lt;'User Dashboard'!AJ$16,'User Dashboard'!AN$15,
IF('SIR Model Patient Calcs'!B370&lt;'User Dashboard'!AJ$17,'User Dashboard'!AN$16,
'User Dashboard'!AN$17))),
IF('User Dashboard'!Z$12=3,
IF('SIR Model Patient Calcs'!B370&lt;'User Dashboard'!AJ$15,'User Dashboard'!AN$14,
IF('SIR Model Patient Calcs'!B370&lt;'User Dashboard'!AJ$16,'User Dashboard'!AN$15,
'User Dashboard'!AN$16)),
IF('User Dashboard'!Z$12=2,
IF('SIR Model Patient Calcs'!B370&lt;'User Dashboard'!AJ$15,'User Dashboard'!AN$14,
'User Dashboard'!AN$15),
IF('User Dashboard'!Z$12=1,
'User Dashboard'!AN$14)))))</f>
        <v>15.209356603107825</v>
      </c>
      <c r="D370" s="747">
        <f>'User Dashboard'!X$15</f>
        <v>2.2072878851804097E-2</v>
      </c>
      <c r="E370" s="739">
        <f t="shared" si="46"/>
        <v>9.1306104687305751E-8</v>
      </c>
      <c r="F370" s="739">
        <f t="shared" si="53"/>
        <v>9.1306104687305764E-8</v>
      </c>
      <c r="G370" s="749">
        <f>1/'User Dashboard'!X$12</f>
        <v>0.14285714285714285</v>
      </c>
      <c r="H370" s="385">
        <f t="shared" si="47"/>
        <v>441172.17018262175</v>
      </c>
      <c r="I370" s="751">
        <f t="shared" si="50"/>
        <v>2.5617111793203538E-7</v>
      </c>
      <c r="J370" s="752">
        <f t="shared" si="48"/>
        <v>3235627.8298171209</v>
      </c>
      <c r="K370" s="385">
        <f t="shared" si="51"/>
        <v>3235627.829817377</v>
      </c>
      <c r="L370" s="752">
        <f t="shared" si="52"/>
        <v>1.1641532182693481E-8</v>
      </c>
    </row>
    <row r="371" spans="1:12" x14ac:dyDescent="0.75">
      <c r="A371" s="309" t="str">
        <f t="shared" si="49"/>
        <v/>
      </c>
      <c r="B371" s="310">
        <v>364</v>
      </c>
      <c r="C371" s="746">
        <f>IF('User Dashboard'!Z$12=5,
IF('SIR Model Patient Calcs'!B371&lt;'User Dashboard'!AJ$15,'User Dashboard'!AN$14,
IF('SIR Model Patient Calcs'!B371&lt;'User Dashboard'!AJ$16,'User Dashboard'!AN$15,
IF('SIR Model Patient Calcs'!B371&lt;'User Dashboard'!AJ$17,'User Dashboard'!AN$16,
IF('SIR Model Patient Calcs'!B371&lt;'User Dashboard'!AJ$18,'User Dashboard'!AN$17,
'User Dashboard'!AN$18)))),
IF('User Dashboard'!Z$12=4,
IF('SIR Model Patient Calcs'!B371&lt;'User Dashboard'!AJ$15,'User Dashboard'!AN$14,
IF('SIR Model Patient Calcs'!B371&lt;'User Dashboard'!AJ$16,'User Dashboard'!AN$15,
IF('SIR Model Patient Calcs'!B371&lt;'User Dashboard'!AJ$17,'User Dashboard'!AN$16,
'User Dashboard'!AN$17))),
IF('User Dashboard'!Z$12=3,
IF('SIR Model Patient Calcs'!B371&lt;'User Dashboard'!AJ$15,'User Dashboard'!AN$14,
IF('SIR Model Patient Calcs'!B371&lt;'User Dashboard'!AJ$16,'User Dashboard'!AN$15,
'User Dashboard'!AN$16)),
IF('User Dashboard'!Z$12=2,
IF('SIR Model Patient Calcs'!B371&lt;'User Dashboard'!AJ$15,'User Dashboard'!AN$14,
'User Dashboard'!AN$15),
IF('User Dashboard'!Z$12=1,
'User Dashboard'!AN$14)))))</f>
        <v>15.209356603107825</v>
      </c>
      <c r="D371" s="747">
        <f>'User Dashboard'!X$15</f>
        <v>2.2072878851804097E-2</v>
      </c>
      <c r="E371" s="739">
        <f t="shared" si="46"/>
        <v>9.1306104687305751E-8</v>
      </c>
      <c r="F371" s="739">
        <f t="shared" si="53"/>
        <v>9.1306104687305751E-8</v>
      </c>
      <c r="G371" s="749">
        <f>1/'User Dashboard'!X$12</f>
        <v>0.14285714285714285</v>
      </c>
      <c r="H371" s="385">
        <f t="shared" si="47"/>
        <v>441172.17018261144</v>
      </c>
      <c r="I371" s="751">
        <f t="shared" si="50"/>
        <v>2.298942552281518E-7</v>
      </c>
      <c r="J371" s="752">
        <f t="shared" si="48"/>
        <v>3235627.8298171577</v>
      </c>
      <c r="K371" s="385">
        <f t="shared" si="51"/>
        <v>3235627.8298173877</v>
      </c>
      <c r="L371" s="752">
        <f t="shared" si="52"/>
        <v>1.0710209608078003E-8</v>
      </c>
    </row>
    <row r="372" spans="1:12" x14ac:dyDescent="0.75">
      <c r="A372" s="309" t="str">
        <f t="shared" si="49"/>
        <v/>
      </c>
      <c r="B372" s="310">
        <v>365</v>
      </c>
      <c r="C372" s="746">
        <f>IF('User Dashboard'!Z$12=5,
IF('SIR Model Patient Calcs'!B372&lt;'User Dashboard'!AJ$15,'User Dashboard'!AN$14,
IF('SIR Model Patient Calcs'!B372&lt;'User Dashboard'!AJ$16,'User Dashboard'!AN$15,
IF('SIR Model Patient Calcs'!B372&lt;'User Dashboard'!AJ$17,'User Dashboard'!AN$16,
IF('SIR Model Patient Calcs'!B372&lt;'User Dashboard'!AJ$18,'User Dashboard'!AN$17,
'User Dashboard'!AN$18)))),
IF('User Dashboard'!Z$12=4,
IF('SIR Model Patient Calcs'!B372&lt;'User Dashboard'!AJ$15,'User Dashboard'!AN$14,
IF('SIR Model Patient Calcs'!B372&lt;'User Dashboard'!AJ$16,'User Dashboard'!AN$15,
IF('SIR Model Patient Calcs'!B372&lt;'User Dashboard'!AJ$17,'User Dashboard'!AN$16,
'User Dashboard'!AN$17))),
IF('User Dashboard'!Z$12=3,
IF('SIR Model Patient Calcs'!B372&lt;'User Dashboard'!AJ$15,'User Dashboard'!AN$14,
IF('SIR Model Patient Calcs'!B372&lt;'User Dashboard'!AJ$16,'User Dashboard'!AN$15,
'User Dashboard'!AN$16)),
IF('User Dashboard'!Z$12=2,
IF('SIR Model Patient Calcs'!B372&lt;'User Dashboard'!AJ$15,'User Dashboard'!AN$14,
'User Dashboard'!AN$15),
IF('User Dashboard'!Z$12=1,
'User Dashboard'!AN$14)))))</f>
        <v>15.209356603107825</v>
      </c>
      <c r="D372" s="747">
        <f>'User Dashboard'!X$15</f>
        <v>2.2072878851804097E-2</v>
      </c>
      <c r="E372" s="739">
        <f t="shared" si="46"/>
        <v>9.1306104687305751E-8</v>
      </c>
      <c r="F372" s="739">
        <f t="shared" si="53"/>
        <v>9.1306104687305738E-8</v>
      </c>
      <c r="G372" s="749">
        <f>1/'User Dashboard'!X$12</f>
        <v>0.14285714285714285</v>
      </c>
      <c r="H372" s="385">
        <f t="shared" si="47"/>
        <v>441172.17018260219</v>
      </c>
      <c r="I372" s="751">
        <f t="shared" si="50"/>
        <v>2.06312753028343E-7</v>
      </c>
      <c r="J372" s="752">
        <f t="shared" si="48"/>
        <v>3235627.8298171908</v>
      </c>
      <c r="K372" s="385">
        <f t="shared" si="51"/>
        <v>3235627.8298173971</v>
      </c>
      <c r="L372" s="752">
        <f t="shared" si="52"/>
        <v>9.3132257461547852E-9</v>
      </c>
    </row>
  </sheetData>
  <sheetProtection algorithmName="SHA-512" hashValue="PTUmYT1N4o1ygjMby713hTzcOirvwG1NFrWZZ+mEkGVmdhXqRj3UeWDDUTXmo9yz2Kc0DC8ak4B+L0y09yMzRg==" saltValue="Ht23w7w+lt9PQ/sWgotgAQ==" spinCount="100000" sheet="1" objects="1" scenarios="1"/>
  <hyperlinks>
    <hyperlink ref="G4" location="'User Dashboard'!A1" display="Back to User Dashboard" xr:uid="{00000000-0004-0000-0D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tabColor theme="2" tint="-0.499984740745262"/>
  </sheetPr>
  <dimension ref="B2"/>
  <sheetViews>
    <sheetView showGridLines="0" zoomScaleNormal="100" workbookViewId="0"/>
  </sheetViews>
  <sheetFormatPr defaultColWidth="8.40625" defaultRowHeight="14.75" x14ac:dyDescent="0.75"/>
  <sheetData>
    <row r="2" spans="2:2" x14ac:dyDescent="0.75">
      <c r="B2" s="20" t="s">
        <v>588</v>
      </c>
    </row>
  </sheetData>
  <sheetProtection algorithmName="SHA-512" hashValue="dV6Zkz7URZm7HWxynK8XlihvJY8jzYQnt8eWXY+TbFb7heDxSYxJaj5Yzt4o1tZ4sAjpu3Btp/3o8Z53NZPk2g==" saltValue="XcHnWzIlCLPZH6Q89aG/5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theme="2" tint="-0.499984740745262"/>
  </sheetPr>
  <dimension ref="B2:Y277"/>
  <sheetViews>
    <sheetView showGridLines="0" zoomScale="80" zoomScaleNormal="80" workbookViewId="0"/>
  </sheetViews>
  <sheetFormatPr defaultColWidth="9.40625" defaultRowHeight="14.75" outlineLevelCol="1" x14ac:dyDescent="0.75"/>
  <cols>
    <col min="1" max="1" width="3.40625" style="43" customWidth="1"/>
    <col min="2" max="2" width="25.40625" style="43" customWidth="1"/>
    <col min="3" max="3" width="15.40625" style="43" bestFit="1" customWidth="1"/>
    <col min="4" max="4" width="15.40625" style="132" customWidth="1"/>
    <col min="5" max="5" width="19.40625" style="43" bestFit="1" customWidth="1"/>
    <col min="6" max="6" width="13.40625" style="132" customWidth="1"/>
    <col min="7" max="8" width="9.40625" style="43" hidden="1" customWidth="1" outlineLevel="1"/>
    <col min="9" max="10" width="17.40625" style="43" hidden="1" customWidth="1" outlineLevel="1"/>
    <col min="11" max="13" width="18.40625" style="43" hidden="1" customWidth="1" outlineLevel="1"/>
    <col min="14" max="14" width="9.40625" style="43" hidden="1" customWidth="1" outlineLevel="1"/>
    <col min="15" max="15" width="16" style="43" hidden="1" customWidth="1" outlineLevel="1"/>
    <col min="16" max="16" width="11.40625" style="43" bestFit="1" customWidth="1" collapsed="1"/>
    <col min="17" max="17" width="12.40625" style="43" customWidth="1"/>
    <col min="18" max="18" width="12.40625" style="43" bestFit="1" customWidth="1"/>
    <col min="19" max="19" width="12.40625" style="43" customWidth="1"/>
    <col min="20" max="22" width="9.40625" style="43"/>
    <col min="23" max="23" width="19.86328125" style="43" bestFit="1" customWidth="1"/>
    <col min="24" max="24" width="25.40625" style="43" bestFit="1" customWidth="1"/>
    <col min="25" max="25" width="24.86328125" style="43" bestFit="1" customWidth="1"/>
    <col min="26" max="16384" width="9.40625" style="43"/>
  </cols>
  <sheetData>
    <row r="2" spans="2:25" s="24" customFormat="1" ht="18.5" x14ac:dyDescent="0.9">
      <c r="B2" s="24" t="s">
        <v>888</v>
      </c>
      <c r="G2" s="25"/>
      <c r="H2" s="25"/>
      <c r="I2" s="25"/>
    </row>
    <row r="3" spans="2:25" s="26" customFormat="1" x14ac:dyDescent="0.75">
      <c r="B3" s="26" t="s">
        <v>889</v>
      </c>
      <c r="G3" s="27"/>
      <c r="H3" s="27"/>
      <c r="I3" s="27"/>
    </row>
    <row r="4" spans="2:25" x14ac:dyDescent="0.75">
      <c r="E4" s="20" t="s">
        <v>1549</v>
      </c>
    </row>
    <row r="5" spans="2:25" x14ac:dyDescent="0.75">
      <c r="G5" s="1545" t="s">
        <v>753</v>
      </c>
      <c r="H5" s="1546"/>
      <c r="I5" s="1545" t="s">
        <v>752</v>
      </c>
      <c r="J5" s="1546"/>
      <c r="K5" s="1545" t="s">
        <v>751</v>
      </c>
      <c r="L5" s="1546"/>
      <c r="M5" s="304" t="s">
        <v>277</v>
      </c>
      <c r="O5" s="21"/>
      <c r="P5" s="1547" t="s">
        <v>1387</v>
      </c>
      <c r="Q5" s="1547"/>
      <c r="R5" s="1547"/>
      <c r="S5" s="1547"/>
    </row>
    <row r="6" spans="2:25" x14ac:dyDescent="0.75">
      <c r="B6" s="17" t="s">
        <v>573</v>
      </c>
      <c r="C6" s="17" t="s">
        <v>574</v>
      </c>
      <c r="D6" s="17" t="s">
        <v>1032</v>
      </c>
      <c r="E6" s="17" t="s">
        <v>756</v>
      </c>
      <c r="F6" s="17" t="s">
        <v>1067</v>
      </c>
      <c r="G6" s="644" t="s">
        <v>754</v>
      </c>
      <c r="H6" s="645" t="s">
        <v>755</v>
      </c>
      <c r="I6" s="644" t="s">
        <v>754</v>
      </c>
      <c r="J6" s="645" t="s">
        <v>755</v>
      </c>
      <c r="K6" s="644" t="s">
        <v>754</v>
      </c>
      <c r="L6" s="645" t="s">
        <v>755</v>
      </c>
      <c r="M6" s="719" t="s">
        <v>754</v>
      </c>
      <c r="N6" s="210"/>
      <c r="O6" s="17" t="s">
        <v>311</v>
      </c>
      <c r="P6" s="211" t="s">
        <v>753</v>
      </c>
      <c r="Q6" s="212" t="s">
        <v>752</v>
      </c>
      <c r="R6" s="211" t="s">
        <v>1187</v>
      </c>
      <c r="S6" s="213" t="s">
        <v>277</v>
      </c>
    </row>
    <row r="7" spans="2:25" x14ac:dyDescent="0.75">
      <c r="B7" s="43" t="s">
        <v>323</v>
      </c>
      <c r="C7" s="43" t="s">
        <v>324</v>
      </c>
      <c r="D7" s="132" t="s">
        <v>1124</v>
      </c>
      <c r="E7" s="43" t="s">
        <v>411</v>
      </c>
      <c r="F7" s="132" t="str">
        <f>IF(OR(E7="High income",E7="Out"),"Not LMIC","LMIC")</f>
        <v>Not LMIC</v>
      </c>
      <c r="G7" s="646">
        <f>INDEX('WB HCW &amp; Beds'!$C$558:$BO$821,MATCH($C7,'WB HCW &amp; Beds'!$C$558:$C$821,0),MATCH("Latest value",'WB HCW &amp; Beds'!$C$557:$BO$557,0))</f>
        <v>1.1200000000000001</v>
      </c>
      <c r="H7" s="647">
        <f>INDEX('WB HCW &amp; Beds'!$C$558:$BO$821,MATCH($C7,'WB HCW &amp; Beds'!$C$558:$C$821,0),MATCH("Latest year",'WB HCW &amp; Beds'!$C$557:$BO$557,0))</f>
        <v>1995</v>
      </c>
      <c r="I7" s="651">
        <f>INDEX('WB HCW &amp; Beds'!$C$286:$BP$561,MATCH($C7,'WB HCW &amp; Beds'!$C$286:$C$561,0),MATCH("Value",'WB HCW &amp; Beds'!$C$286:$BP$286,0))</f>
        <v>0.4</v>
      </c>
      <c r="J7" s="647" t="str">
        <f>'WB HCW &amp; Beds'!BO287</f>
        <v>No reported value</v>
      </c>
      <c r="K7" s="653" t="str">
        <f>'WB HCW &amp; Beds'!BN15</f>
        <v>No reported value</v>
      </c>
      <c r="L7" s="654" t="str">
        <f>'WB HCW &amp; Beds'!BO15</f>
        <v>No reported value</v>
      </c>
      <c r="M7" s="720">
        <f>IFERROR(IFERROR(INDEX('WHO GHO Data'!$AB$8:$AB$201,MATCH('HCW + Staff Summary'!$C7,'WHO GHO Data'!$C$8:$C$201,0)),INDEX('WHO GHO Data'!$AE$9:$AE$13,MATCH('HCW + Staff Summary'!$E7,'WHO GHO Data'!$AD$9:$AD$13,0))),"")</f>
        <v>0.54650004528486062</v>
      </c>
      <c r="O7" s="29">
        <f>INDEX('WB Population Data'!$D$6:$D$269,MATCH($B7,'WB Population Data'!$B$6:$B$269,0))</f>
        <v>107000</v>
      </c>
      <c r="P7" s="30">
        <f>IF(E7="OUT",0,IFERROR($O7/1000*$G7,$O7/1000*VLOOKUP(E7,$W$9:$X$12,2,0)))</f>
        <v>119.84000000000002</v>
      </c>
      <c r="Q7" s="29">
        <f>IFERROR($O7/1000*$I7,0)</f>
        <v>42.800000000000004</v>
      </c>
      <c r="R7" s="29">
        <f>IFERROR(IFERROR(INDEX('WHO GHO Data'!$S$8:$S$201,MATCH($C7,'WHO GHO Data'!$C$8:$C$201,0)),($O7/1000*$K7)),IFERROR($O7/1000*VLOOKUP(E7,$W$9:$Y$12,3,0),0))</f>
        <v>843.41458620689673</v>
      </c>
      <c r="S7" s="30">
        <f>IFERROR(IFERROR(INDEX('WHO GHO Data'!$U$8:$U$201,MATCH($C7,'WHO GHO Data'!$C$8:$C$201,0)),INDEX('WHO GHO Data'!$AE$9:$AE$13,MATCH($E7,'WHO GHO Data'!$AD$9:$AD$13,0))*'HCW + Staff Summary'!$O7/1000),"")</f>
        <v>58.475504845480089</v>
      </c>
      <c r="W7" s="4" t="s">
        <v>1541</v>
      </c>
    </row>
    <row r="8" spans="2:25" x14ac:dyDescent="0.75">
      <c r="B8" s="43" t="s">
        <v>230</v>
      </c>
      <c r="C8" s="43" t="s">
        <v>0</v>
      </c>
      <c r="D8" s="132" t="s">
        <v>1072</v>
      </c>
      <c r="E8" s="132" t="s">
        <v>453</v>
      </c>
      <c r="F8" s="132" t="str">
        <f t="shared" ref="F8:F71" si="0">IF(OR(E8="High income",E8="Out"),"Not LMIC","LMIC")</f>
        <v>LMIC</v>
      </c>
      <c r="G8" s="646">
        <f>INDEX('WB HCW &amp; Beds'!$C$558:$BO$821,MATCH($C8,'WB HCW &amp; Beds'!$C$558:$C$821,0),MATCH("Latest value",'WB HCW &amp; Beds'!$C$557:$BO$557,0))</f>
        <v>0.28399999999999997</v>
      </c>
      <c r="H8" s="647">
        <f>INDEX('WB HCW &amp; Beds'!$C$558:$BO$821,MATCH($C8,'WB HCW &amp; Beds'!$C$558:$C$821,0),MATCH("Latest year",'WB HCW &amp; Beds'!$C$557:$BO$557,0))</f>
        <v>2016</v>
      </c>
      <c r="I8" s="651">
        <f>INDEX('WB HCW &amp; Beds'!$C$286:$BP$561,MATCH($C8,'WB HCW &amp; Beds'!$C$286:$C$561,0),MATCH("Value",'WB HCW &amp; Beds'!$C$286:$BP$286,0))</f>
        <v>0.4</v>
      </c>
      <c r="J8" s="647" t="str">
        <f>'WB HCW &amp; Beds'!BO288</f>
        <v>No reported value</v>
      </c>
      <c r="K8" s="653">
        <f>'WB HCW &amp; Beds'!BN16</f>
        <v>0.32</v>
      </c>
      <c r="L8" s="654">
        <f>'WB HCW &amp; Beds'!BO16</f>
        <v>2014</v>
      </c>
      <c r="M8" s="720">
        <f>IFERROR(IFERROR(INDEX('WHO GHO Data'!$AB$8:$AB$201,MATCH('HCW + Staff Summary'!$C8,'WHO GHO Data'!$C$8:$C$201,0)),INDEX('WHO GHO Data'!$AE$9:$AE$13,MATCH('HCW + Staff Summary'!$E8,'WHO GHO Data'!$AD$9:$AD$13,0))),"")</f>
        <v>9.849709954994014E-2</v>
      </c>
      <c r="O8" s="29">
        <f>INDEX('WB Population Data'!$D$6:$D$269,MATCH($B8,'WB Population Data'!$B$6:$B$269,0))</f>
        <v>38928000</v>
      </c>
      <c r="P8" s="30">
        <f t="shared" ref="P8:P71" si="1">IF(E8="OUT",0,IFERROR($O8/1000*$G8,$O8/1000*VLOOKUP(E8,$W$9:$X$12,2,0)))</f>
        <v>11055.552</v>
      </c>
      <c r="Q8" s="29">
        <f t="shared" ref="Q8:Q70" si="2">IFERROR($O8/1000*$I8,0)</f>
        <v>15571.2</v>
      </c>
      <c r="R8" s="29">
        <f>IFERROR(IFERROR(INDEX('WHO GHO Data'!$S$8:$S$201,MATCH($C8,'WHO GHO Data'!$C$8:$C$201,0)),($O8/1000*$K8)),IFERROR($O8/1000*VLOOKUP(E8,$W$9:$Y$12,3,0),0))</f>
        <v>6926.0235585561168</v>
      </c>
      <c r="S8" s="30">
        <f>IFERROR(IFERROR(INDEX('WHO GHO Data'!$U$8:$U$201,MATCH($C8,'WHO GHO Data'!$C$8:$C$201,0)),INDEX('WHO GHO Data'!$AE$9:$AE$13,MATCH($E8,'WHO GHO Data'!$AD$9:$AD$13,0))*'HCW + Staff Summary'!$O8/1000),"")</f>
        <v>3834.2950912800698</v>
      </c>
      <c r="W8" s="889" t="s">
        <v>1540</v>
      </c>
      <c r="X8" s="889" t="s">
        <v>1538</v>
      </c>
      <c r="Y8" s="889" t="s">
        <v>1539</v>
      </c>
    </row>
    <row r="9" spans="2:25" x14ac:dyDescent="0.75">
      <c r="B9" s="43" t="s">
        <v>182</v>
      </c>
      <c r="C9" s="43" t="s">
        <v>165</v>
      </c>
      <c r="D9" s="132" t="s">
        <v>1073</v>
      </c>
      <c r="E9" s="132" t="s">
        <v>455</v>
      </c>
      <c r="F9" s="132" t="str">
        <f t="shared" si="0"/>
        <v>LMIC</v>
      </c>
      <c r="G9" s="646">
        <f>INDEX('WB HCW &amp; Beds'!$C$558:$BO$821,MATCH($C9,'WB HCW &amp; Beds'!$C$558:$C$821,0),MATCH("Latest value",'WB HCW &amp; Beds'!$C$557:$BO$557,0))</f>
        <v>0.21490000000000001</v>
      </c>
      <c r="H9" s="647">
        <f>INDEX('WB HCW &amp; Beds'!$C$558:$BO$821,MATCH($C9,'WB HCW &amp; Beds'!$C$558:$C$821,0),MATCH("Latest year",'WB HCW &amp; Beds'!$C$557:$BO$557,0))</f>
        <v>2017</v>
      </c>
      <c r="I9" s="651">
        <f>INDEX('WB HCW &amp; Beds'!$C$286:$BP$561,MATCH($C9,'WB HCW &amp; Beds'!$C$286:$C$561,0),MATCH("Value",'WB HCW &amp; Beds'!$C$286:$BP$286,0))</f>
        <v>0.4</v>
      </c>
      <c r="J9" s="647" t="str">
        <f>'WB HCW &amp; Beds'!BO289</f>
        <v>No reported value</v>
      </c>
      <c r="K9" s="653">
        <f>'WB HCW &amp; Beds'!BN17</f>
        <v>1.3123</v>
      </c>
      <c r="L9" s="654">
        <f>'WB HCW &amp; Beds'!BO17</f>
        <v>2009</v>
      </c>
      <c r="M9" s="720">
        <f>IFERROR(IFERROR(INDEX('WHO GHO Data'!$AB$8:$AB$201,MATCH('HCW + Staff Summary'!$C9,'WHO GHO Data'!$C$8:$C$201,0)),INDEX('WHO GHO Data'!$AE$9:$AE$13,MATCH('HCW + Staff Summary'!$E9,'WHO GHO Data'!$AD$9:$AD$13,0))),"")</f>
        <v>7.1289983633086029E-2</v>
      </c>
      <c r="O9" s="29">
        <f>INDEX('WB Population Data'!$D$6:$D$269,MATCH($B9,'WB Population Data'!$B$6:$B$269,0))</f>
        <v>32866000</v>
      </c>
      <c r="P9" s="30">
        <f t="shared" si="1"/>
        <v>7062.9034000000001</v>
      </c>
      <c r="Q9" s="29">
        <f t="shared" si="2"/>
        <v>13146.400000000001</v>
      </c>
      <c r="R9" s="29">
        <f>IFERROR(IFERROR(INDEX('WHO GHO Data'!$S$8:$S$201,MATCH($C9,'WHO GHO Data'!$C$8:$C$201,0)),($O9/1000*$K9)),IFERROR($O9/1000*VLOOKUP(E9,$W$9:$Y$12,3,0),0))</f>
        <v>13417.658703841516</v>
      </c>
      <c r="S9" s="30">
        <f>IFERROR(IFERROR(INDEX('WHO GHO Data'!$U$8:$U$201,MATCH($C9,'WHO GHO Data'!$C$8:$C$201,0)),INDEX('WHO GHO Data'!$AE$9:$AE$13,MATCH($E9,'WHO GHO Data'!$AD$9:$AD$13,0))*'HCW + Staff Summary'!$O9/1000),"")</f>
        <v>2343.0166020850056</v>
      </c>
      <c r="W9" s="830" t="s">
        <v>411</v>
      </c>
      <c r="X9" s="890">
        <v>2.8017535211267606</v>
      </c>
      <c r="Y9" s="890">
        <v>7.8823793103448292</v>
      </c>
    </row>
    <row r="10" spans="2:25" x14ac:dyDescent="0.75">
      <c r="B10" s="43" t="s">
        <v>312</v>
      </c>
      <c r="C10" s="43" t="s">
        <v>313</v>
      </c>
      <c r="D10" s="132" t="s">
        <v>1074</v>
      </c>
      <c r="E10" s="132" t="s">
        <v>558</v>
      </c>
      <c r="F10" s="132" t="str">
        <f t="shared" si="0"/>
        <v>LMIC</v>
      </c>
      <c r="G10" s="646">
        <f>INDEX('WB HCW &amp; Beds'!$C$558:$BO$821,MATCH($C10,'WB HCW &amp; Beds'!$C$558:$C$821,0),MATCH("Latest value",'WB HCW &amp; Beds'!$C$557:$BO$557,0))</f>
        <v>1.1998</v>
      </c>
      <c r="H10" s="647">
        <f>INDEX('WB HCW &amp; Beds'!$C$558:$BO$821,MATCH($C10,'WB HCW &amp; Beds'!$C$558:$C$821,0),MATCH("Latest year",'WB HCW &amp; Beds'!$C$557:$BO$557,0))</f>
        <v>2016</v>
      </c>
      <c r="I10" s="651">
        <f>INDEX('WB HCW &amp; Beds'!$C$286:$BP$561,MATCH($C10,'WB HCW &amp; Beds'!$C$286:$C$561,0),MATCH("Value",'WB HCW &amp; Beds'!$C$286:$BP$286,0))</f>
        <v>0.4</v>
      </c>
      <c r="J10" s="647" t="str">
        <f>'WB HCW &amp; Beds'!BO290</f>
        <v>No reported value</v>
      </c>
      <c r="K10" s="653">
        <f>'WB HCW &amp; Beds'!BN18</f>
        <v>3.5998000000000001</v>
      </c>
      <c r="L10" s="654">
        <f>'WB HCW &amp; Beds'!BO18</f>
        <v>2016</v>
      </c>
      <c r="M10" s="720">
        <f>IFERROR(IFERROR(INDEX('WHO GHO Data'!$AB$8:$AB$201,MATCH('HCW + Staff Summary'!$C10,'WHO GHO Data'!$C$8:$C$201,0)),INDEX('WHO GHO Data'!$AE$9:$AE$13,MATCH('HCW + Staff Summary'!$E10,'WHO GHO Data'!$AD$9:$AD$13,0))),"")</f>
        <v>0.21980423949700909</v>
      </c>
      <c r="O10" s="29">
        <f>INDEX('WB Population Data'!$D$6:$D$269,MATCH($B10,'WB Population Data'!$B$6:$B$269,0))</f>
        <v>2867000</v>
      </c>
      <c r="P10" s="30">
        <f t="shared" si="1"/>
        <v>3439.8265999999999</v>
      </c>
      <c r="Q10" s="29">
        <f t="shared" si="2"/>
        <v>1146.8</v>
      </c>
      <c r="R10" s="29">
        <f>IFERROR(IFERROR(INDEX('WHO GHO Data'!$S$8:$S$201,MATCH($C10,'WHO GHO Data'!$C$8:$C$201,0)),($O10/1000*$K10)),IFERROR($O10/1000*VLOOKUP(E10,$W$9:$Y$12,3,0),0))</f>
        <v>10450.245393022386</v>
      </c>
      <c r="S10" s="30">
        <f>IFERROR(IFERROR(INDEX('WHO GHO Data'!$U$8:$U$201,MATCH($C10,'WHO GHO Data'!$C$8:$C$201,0)),INDEX('WHO GHO Data'!$AE$9:$AE$13,MATCH($E10,'WHO GHO Data'!$AD$9:$AD$13,0))*'HCW + Staff Summary'!$O10/1000),"")</f>
        <v>630.17875463792507</v>
      </c>
      <c r="W10" s="830" t="s">
        <v>453</v>
      </c>
      <c r="X10" s="890">
        <v>0.21615862068965513</v>
      </c>
      <c r="Y10" s="890">
        <v>0.81855517241379327</v>
      </c>
    </row>
    <row r="11" spans="2:25" x14ac:dyDescent="0.75">
      <c r="B11" s="43" t="s">
        <v>316</v>
      </c>
      <c r="C11" s="43" t="s">
        <v>1</v>
      </c>
      <c r="D11" s="132" t="s">
        <v>1074</v>
      </c>
      <c r="E11" s="132" t="s">
        <v>411</v>
      </c>
      <c r="F11" s="132" t="str">
        <f t="shared" si="0"/>
        <v>Not LMIC</v>
      </c>
      <c r="G11" s="646">
        <f>INDEX('WB HCW &amp; Beds'!$C$558:$BO$821,MATCH($C11,'WB HCW &amp; Beds'!$C$558:$C$821,0),MATCH("Latest value",'WB HCW &amp; Beds'!$C$557:$BO$557,0))</f>
        <v>3.3332999999999999</v>
      </c>
      <c r="H11" s="647">
        <f>INDEX('WB HCW &amp; Beds'!$C$558:$BO$821,MATCH($C11,'WB HCW &amp; Beds'!$C$558:$C$821,0),MATCH("Latest year",'WB HCW &amp; Beds'!$C$557:$BO$557,0))</f>
        <v>2003</v>
      </c>
      <c r="I11" s="651">
        <f>INDEX('WB HCW &amp; Beds'!$C$286:$BP$561,MATCH($C11,'WB HCW &amp; Beds'!$C$286:$C$561,0),MATCH("Value",'WB HCW &amp; Beds'!$C$286:$BP$286,0))</f>
        <v>0.4</v>
      </c>
      <c r="J11" s="647" t="str">
        <f>'WB HCW &amp; Beds'!BO291</f>
        <v>No reported value</v>
      </c>
      <c r="K11" s="653">
        <f>'WB HCW &amp; Beds'!BN19</f>
        <v>4.0128000000000004</v>
      </c>
      <c r="L11" s="654">
        <f>'WB HCW &amp; Beds'!BO19</f>
        <v>2015</v>
      </c>
      <c r="M11" s="720">
        <f>IFERROR(IFERROR(INDEX('WHO GHO Data'!$AB$8:$AB$201,MATCH('HCW + Staff Summary'!$C11,'WHO GHO Data'!$C$8:$C$201,0)),INDEX('WHO GHO Data'!$AE$9:$AE$13,MATCH('HCW + Staff Summary'!$E11,'WHO GHO Data'!$AD$9:$AD$13,0))),"")</f>
        <v>0.54650004528486062</v>
      </c>
      <c r="O11" s="29">
        <f>INDEX('WB Population Data'!$D$6:$D$269,MATCH($B11,'WB Population Data'!$B$6:$B$269,0))</f>
        <v>77000</v>
      </c>
      <c r="P11" s="30">
        <f t="shared" si="1"/>
        <v>256.66410000000002</v>
      </c>
      <c r="Q11" s="29">
        <f t="shared" si="2"/>
        <v>30.8</v>
      </c>
      <c r="R11" s="29">
        <f>IFERROR(IFERROR(INDEX('WHO GHO Data'!$S$8:$S$201,MATCH($C11,'WHO GHO Data'!$C$8:$C$201,0)),($O11/1000*$K11)),IFERROR($O11/1000*VLOOKUP(E11,$W$9:$Y$12,3,0),0))</f>
        <v>282.12718647533188</v>
      </c>
      <c r="S11" s="30">
        <f>IFERROR(IFERROR(INDEX('WHO GHO Data'!$U$8:$U$201,MATCH($C11,'WHO GHO Data'!$C$8:$C$201,0)),INDEX('WHO GHO Data'!$AE$9:$AE$13,MATCH($E11,'WHO GHO Data'!$AD$9:$AD$13,0))*'HCW + Staff Summary'!$O11/1000),"")</f>
        <v>42.080503486934269</v>
      </c>
      <c r="W11" s="830" t="s">
        <v>455</v>
      </c>
      <c r="X11" s="890">
        <v>0.73241999999999996</v>
      </c>
      <c r="Y11" s="890">
        <v>1.9844090909090908</v>
      </c>
    </row>
    <row r="12" spans="2:25" x14ac:dyDescent="0.75">
      <c r="B12" s="43" t="s">
        <v>319</v>
      </c>
      <c r="C12" s="43" t="s">
        <v>320</v>
      </c>
      <c r="D12" s="132" t="s">
        <v>1124</v>
      </c>
      <c r="E12" s="132" t="s">
        <v>750</v>
      </c>
      <c r="F12" s="132" t="str">
        <f t="shared" si="0"/>
        <v>Not LMIC</v>
      </c>
      <c r="G12" s="646">
        <f>INDEX('WB HCW &amp; Beds'!$C$558:$BO$821,MATCH($C12,'WB HCW &amp; Beds'!$C$558:$C$821,0),MATCH("Latest value",'WB HCW &amp; Beds'!$C$557:$BO$557,0))</f>
        <v>1.0973025743985347</v>
      </c>
      <c r="H12" s="647">
        <f>INDEX('WB HCW &amp; Beds'!$C$558:$BO$821,MATCH($C12,'WB HCW &amp; Beds'!$C$558:$C$821,0),MATCH("Latest year",'WB HCW &amp; Beds'!$C$557:$BO$557,0))</f>
        <v>2015</v>
      </c>
      <c r="I12" s="651">
        <f>INDEX('WB HCW &amp; Beds'!$C$286:$BP$561,MATCH($C12,'WB HCW &amp; Beds'!$C$286:$C$561,0),MATCH("Value",'WB HCW &amp; Beds'!$C$286:$BP$286,0))</f>
        <v>0.4</v>
      </c>
      <c r="J12" s="647" t="str">
        <f>'WB HCW &amp; Beds'!BO292</f>
        <v>No reported value</v>
      </c>
      <c r="K12" s="653">
        <f>'WB HCW &amp; Beds'!BN20</f>
        <v>2.0922347500097929</v>
      </c>
      <c r="L12" s="654">
        <f>'WB HCW &amp; Beds'!BO20</f>
        <v>2015</v>
      </c>
      <c r="M12" s="720" t="str">
        <f>IFERROR(IFERROR(INDEX('WHO GHO Data'!$AB$8:$AB$201,MATCH('HCW + Staff Summary'!$C12,'WHO GHO Data'!$C$8:$C$201,0)),INDEX('WHO GHO Data'!$AE$9:$AE$13,MATCH('HCW + Staff Summary'!$E12,'WHO GHO Data'!$AD$9:$AD$13,0))),"")</f>
        <v/>
      </c>
      <c r="O12" s="29">
        <f>INDEX('WB Population Data'!$D$6:$D$269,MATCH($B12,'WB Population Data'!$B$6:$B$269,0))</f>
        <v>436091000</v>
      </c>
      <c r="P12" s="30">
        <f t="shared" si="1"/>
        <v>0</v>
      </c>
      <c r="Q12" s="29">
        <f t="shared" si="2"/>
        <v>174436.40000000002</v>
      </c>
      <c r="R12" s="29">
        <f>IFERROR(IFERROR(INDEX('WHO GHO Data'!$S$8:$S$201,MATCH($C12,'WHO GHO Data'!$C$8:$C$201,0)),($O12/1000*$K12)),IFERROR($O12/1000*VLOOKUP(E12,$W$9:$Y$12,3,0),0))</f>
        <v>912404.74436652055</v>
      </c>
      <c r="S12" s="30" t="str">
        <f>IFERROR(IFERROR(INDEX('WHO GHO Data'!$U$8:$U$201,MATCH($C12,'WHO GHO Data'!$C$8:$C$201,0)),INDEX('WHO GHO Data'!$AE$9:$AE$13,MATCH($E12,'WHO GHO Data'!$AD$9:$AD$13,0))*'HCW + Staff Summary'!$O12/1000),"")</f>
        <v/>
      </c>
      <c r="W12" s="830" t="s">
        <v>558</v>
      </c>
      <c r="X12" s="890">
        <v>1.8105474576271183</v>
      </c>
      <c r="Y12" s="890">
        <v>3.6945155172413795</v>
      </c>
    </row>
    <row r="13" spans="2:25" x14ac:dyDescent="0.75">
      <c r="B13" s="43" t="s">
        <v>555</v>
      </c>
      <c r="C13" s="43" t="s">
        <v>2</v>
      </c>
      <c r="D13" s="132" t="s">
        <v>1072</v>
      </c>
      <c r="E13" s="132" t="s">
        <v>411</v>
      </c>
      <c r="F13" s="132" t="str">
        <f t="shared" si="0"/>
        <v>Not LMIC</v>
      </c>
      <c r="G13" s="646">
        <f>INDEX('WB HCW &amp; Beds'!$C$558:$BO$821,MATCH($C13,'WB HCW &amp; Beds'!$C$558:$C$821,0),MATCH("Latest value",'WB HCW &amp; Beds'!$C$557:$BO$557,0))</f>
        <v>2.3944000000000001</v>
      </c>
      <c r="H13" s="647">
        <f>INDEX('WB HCW &amp; Beds'!$C$558:$BO$821,MATCH($C13,'WB HCW &amp; Beds'!$C$558:$C$821,0),MATCH("Latest year",'WB HCW &amp; Beds'!$C$557:$BO$557,0))</f>
        <v>2016</v>
      </c>
      <c r="I13" s="651">
        <f>INDEX('WB HCW &amp; Beds'!$C$286:$BP$561,MATCH($C13,'WB HCW &amp; Beds'!$C$286:$C$561,0),MATCH("Value",'WB HCW &amp; Beds'!$C$286:$BP$286,0))</f>
        <v>0.4</v>
      </c>
      <c r="J13" s="647" t="str">
        <f>'WB HCW &amp; Beds'!BO293</f>
        <v>No reported value</v>
      </c>
      <c r="K13" s="653">
        <f>'WB HCW &amp; Beds'!BN21</f>
        <v>5.5857000000000001</v>
      </c>
      <c r="L13" s="654">
        <f>'WB HCW &amp; Beds'!BO21</f>
        <v>2016</v>
      </c>
      <c r="M13" s="720">
        <f>IFERROR(IFERROR(INDEX('WHO GHO Data'!$AB$8:$AB$201,MATCH('HCW + Staff Summary'!$C13,'WHO GHO Data'!$C$8:$C$201,0)),INDEX('WHO GHO Data'!$AE$9:$AE$13,MATCH('HCW + Staff Summary'!$E13,'WHO GHO Data'!$AD$9:$AD$13,0))),"")</f>
        <v>0.54650004528486062</v>
      </c>
      <c r="O13" s="29">
        <f>INDEX('WB Population Data'!$D$6:$D$269,MATCH($B13,'WB Population Data'!$B$6:$B$269,0))</f>
        <v>9890000</v>
      </c>
      <c r="P13" s="30">
        <f t="shared" si="1"/>
        <v>23680.616000000002</v>
      </c>
      <c r="Q13" s="29">
        <f t="shared" si="2"/>
        <v>3956</v>
      </c>
      <c r="R13" s="29">
        <f>IFERROR(IFERROR(INDEX('WHO GHO Data'!$S$8:$S$201,MATCH($C13,'WHO GHO Data'!$C$8:$C$201,0)),($O13/1000*$K13)),IFERROR($O13/1000*VLOOKUP(E13,$W$9:$Y$12,3,0),0))</f>
        <v>56177.720974303425</v>
      </c>
      <c r="S13" s="30">
        <f>IFERROR(IFERROR(INDEX('WHO GHO Data'!$U$8:$U$201,MATCH($C13,'WHO GHO Data'!$C$8:$C$201,0)),INDEX('WHO GHO Data'!$AE$9:$AE$13,MATCH($E13,'WHO GHO Data'!$AD$9:$AD$13,0))*'HCW + Staff Summary'!$O13/1000),"")</f>
        <v>5404.8854478672711</v>
      </c>
      <c r="X13" s="890"/>
    </row>
    <row r="14" spans="2:25" x14ac:dyDescent="0.75">
      <c r="B14" s="43" t="s">
        <v>321</v>
      </c>
      <c r="C14" s="43" t="s">
        <v>322</v>
      </c>
      <c r="D14" s="132" t="s">
        <v>1075</v>
      </c>
      <c r="E14" s="132" t="s">
        <v>558</v>
      </c>
      <c r="F14" s="132" t="str">
        <f t="shared" si="0"/>
        <v>LMIC</v>
      </c>
      <c r="G14" s="646">
        <f>INDEX('WB HCW &amp; Beds'!$C$558:$BO$821,MATCH($C14,'WB HCW &amp; Beds'!$C$558:$C$821,0),MATCH("Latest value",'WB HCW &amp; Beds'!$C$557:$BO$557,0))</f>
        <v>3.96</v>
      </c>
      <c r="H14" s="647">
        <f>INDEX('WB HCW &amp; Beds'!$C$558:$BO$821,MATCH($C14,'WB HCW &amp; Beds'!$C$558:$C$821,0),MATCH("Latest year",'WB HCW &amp; Beds'!$C$557:$BO$557,0))</f>
        <v>2017</v>
      </c>
      <c r="I14" s="651">
        <f>INDEX('WB HCW &amp; Beds'!$C$286:$BP$561,MATCH($C14,'WB HCW &amp; Beds'!$C$286:$C$561,0),MATCH("Value",'WB HCW &amp; Beds'!$C$286:$BP$286,0))</f>
        <v>0.4</v>
      </c>
      <c r="J14" s="647" t="str">
        <f>'WB HCW &amp; Beds'!BO294</f>
        <v>No reported value</v>
      </c>
      <c r="K14" s="653">
        <f>'WB HCW &amp; Beds'!BN22</f>
        <v>2.58</v>
      </c>
      <c r="L14" s="654">
        <f>'WB HCW &amp; Beds'!BO22</f>
        <v>2017</v>
      </c>
      <c r="M14" s="720">
        <f>IFERROR(IFERROR(INDEX('WHO GHO Data'!$AB$8:$AB$201,MATCH('HCW + Staff Summary'!$C14,'WHO GHO Data'!$C$8:$C$201,0)),INDEX('WHO GHO Data'!$AE$9:$AE$13,MATCH('HCW + Staff Summary'!$E14,'WHO GHO Data'!$AD$9:$AD$13,0))),"")</f>
        <v>0.51270694884182677</v>
      </c>
      <c r="O14" s="29">
        <f>INDEX('WB Population Data'!$D$6:$D$269,MATCH($B14,'WB Population Data'!$B$6:$B$269,0))</f>
        <v>45303000</v>
      </c>
      <c r="P14" s="30">
        <f t="shared" si="1"/>
        <v>179399.88</v>
      </c>
      <c r="Q14" s="29">
        <f t="shared" si="2"/>
        <v>18121.2</v>
      </c>
      <c r="R14" s="29">
        <f>IFERROR(IFERROR(INDEX('WHO GHO Data'!$S$8:$S$201,MATCH($C14,'WHO GHO Data'!$C$8:$C$201,0)),($O14/1000*$K14)),IFERROR($O14/1000*VLOOKUP(E14,$W$9:$Y$12,3,0),0))</f>
        <v>117881.11276932601</v>
      </c>
      <c r="S14" s="30">
        <f>IFERROR(IFERROR(INDEX('WHO GHO Data'!$U$8:$U$201,MATCH($C14,'WHO GHO Data'!$C$8:$C$201,0)),INDEX('WHO GHO Data'!$AE$9:$AE$13,MATCH($E14,'WHO GHO Data'!$AD$9:$AD$13,0))*'HCW + Staff Summary'!$O14/1000),"")</f>
        <v>23227.162903381279</v>
      </c>
    </row>
    <row r="15" spans="2:25" x14ac:dyDescent="0.75">
      <c r="B15" s="43" t="s">
        <v>234</v>
      </c>
      <c r="C15" s="43" t="s">
        <v>3</v>
      </c>
      <c r="D15" s="132" t="s">
        <v>1074</v>
      </c>
      <c r="E15" s="132" t="s">
        <v>558</v>
      </c>
      <c r="F15" s="132" t="str">
        <f t="shared" si="0"/>
        <v>LMIC</v>
      </c>
      <c r="G15" s="646">
        <f>INDEX('WB HCW &amp; Beds'!$C$558:$BO$821,MATCH($C15,'WB HCW &amp; Beds'!$C$558:$C$821,0),MATCH("Latest value",'WB HCW &amp; Beds'!$C$557:$BO$557,0))</f>
        <v>2.899</v>
      </c>
      <c r="H15" s="647">
        <f>INDEX('WB HCW &amp; Beds'!$C$558:$BO$821,MATCH($C15,'WB HCW &amp; Beds'!$C$558:$C$821,0),MATCH("Latest year",'WB HCW &amp; Beds'!$C$557:$BO$557,0))</f>
        <v>2014</v>
      </c>
      <c r="I15" s="651">
        <f>INDEX('WB HCW &amp; Beds'!$C$286:$BP$561,MATCH($C15,'WB HCW &amp; Beds'!$C$286:$C$561,0),MATCH("Value",'WB HCW &amp; Beds'!$C$286:$BP$286,0))</f>
        <v>0.4</v>
      </c>
      <c r="J15" s="647" t="str">
        <f>'WB HCW &amp; Beds'!BO295</f>
        <v>No reported value</v>
      </c>
      <c r="K15" s="653">
        <f>'WB HCW &amp; Beds'!BN23</f>
        <v>5.6093999999999999</v>
      </c>
      <c r="L15" s="654">
        <f>'WB HCW &amp; Beds'!BO23</f>
        <v>2014</v>
      </c>
      <c r="M15" s="720">
        <f>IFERROR(IFERROR(INDEX('WHO GHO Data'!$AB$8:$AB$201,MATCH('HCW + Staff Summary'!$C15,'WHO GHO Data'!$C$8:$C$201,0)),INDEX('WHO GHO Data'!$AE$9:$AE$13,MATCH('HCW + Staff Summary'!$E15,'WHO GHO Data'!$AD$9:$AD$13,0))),"")</f>
        <v>0.21980423949700909</v>
      </c>
      <c r="O15" s="29">
        <f>INDEX('WB Population Data'!$D$6:$D$269,MATCH($B15,'WB Population Data'!$B$6:$B$269,0))</f>
        <v>2963000</v>
      </c>
      <c r="P15" s="30">
        <f t="shared" si="1"/>
        <v>8589.7369999999992</v>
      </c>
      <c r="Q15" s="29">
        <f t="shared" si="2"/>
        <v>1185.2</v>
      </c>
      <c r="R15" s="29">
        <f>IFERROR(IFERROR(INDEX('WHO GHO Data'!$S$8:$S$201,MATCH($C15,'WHO GHO Data'!$C$8:$C$201,0)),($O15/1000*$K15)),IFERROR($O15/1000*VLOOKUP(E15,$W$9:$Y$12,3,0),0))</f>
        <v>16983.428161348224</v>
      </c>
      <c r="S15" s="30">
        <f>IFERROR(IFERROR(INDEX('WHO GHO Data'!$U$8:$U$201,MATCH($C15,'WHO GHO Data'!$C$8:$C$201,0)),INDEX('WHO GHO Data'!$AE$9:$AE$13,MATCH($E15,'WHO GHO Data'!$AD$9:$AD$13,0))*'HCW + Staff Summary'!$O15/1000),"")</f>
        <v>651.27996162963791</v>
      </c>
    </row>
    <row r="16" spans="2:25" x14ac:dyDescent="0.75">
      <c r="B16" s="43" t="s">
        <v>315</v>
      </c>
      <c r="C16" s="43" t="s">
        <v>193</v>
      </c>
      <c r="D16" s="132" t="s">
        <v>1124</v>
      </c>
      <c r="E16" s="132" t="s">
        <v>558</v>
      </c>
      <c r="F16" s="132" t="str">
        <f t="shared" si="0"/>
        <v>LMIC</v>
      </c>
      <c r="G16" s="646">
        <f>INDEX('WB HCW &amp; Beds'!$C$558:$BO$821,MATCH($C16,'WB HCW &amp; Beds'!$C$558:$C$821,0),MATCH("Latest value",'WB HCW &amp; Beds'!$C$557:$BO$557,0))</f>
        <v>0.78100000000000003</v>
      </c>
      <c r="H16" s="647">
        <f>INDEX('WB HCW &amp; Beds'!$C$558:$BO$821,MATCH($C16,'WB HCW &amp; Beds'!$C$558:$C$821,0),MATCH("Latest year",'WB HCW &amp; Beds'!$C$557:$BO$557,0))</f>
        <v>1999</v>
      </c>
      <c r="I16" s="651">
        <f>INDEX('WB HCW &amp; Beds'!$C$286:$BP$561,MATCH($C16,'WB HCW &amp; Beds'!$C$286:$C$561,0),MATCH("Value",'WB HCW &amp; Beds'!$C$286:$BP$286,0))</f>
        <v>0.4</v>
      </c>
      <c r="J16" s="647" t="str">
        <f>'WB HCW &amp; Beds'!BO296</f>
        <v>No reported value</v>
      </c>
      <c r="K16" s="653" t="str">
        <f>'WB HCW &amp; Beds'!BN24</f>
        <v>No reported value</v>
      </c>
      <c r="L16" s="654" t="str">
        <f>'WB HCW &amp; Beds'!BO24</f>
        <v>No reported value</v>
      </c>
      <c r="M16" s="720">
        <f>IFERROR(IFERROR(INDEX('WHO GHO Data'!$AB$8:$AB$201,MATCH('HCW + Staff Summary'!$C16,'WHO GHO Data'!$C$8:$C$201,0)),INDEX('WHO GHO Data'!$AE$9:$AE$13,MATCH('HCW + Staff Summary'!$E16,'WHO GHO Data'!$AD$9:$AD$13,0))),"")</f>
        <v>0.21980423949700909</v>
      </c>
      <c r="O16" s="29">
        <f>INDEX('WB Population Data'!$D$6:$D$269,MATCH($B16,'WB Population Data'!$B$6:$B$269,0))</f>
        <v>55000</v>
      </c>
      <c r="P16" s="30">
        <f t="shared" si="1"/>
        <v>42.954999999999998</v>
      </c>
      <c r="Q16" s="29">
        <f t="shared" si="2"/>
        <v>22</v>
      </c>
      <c r="R16" s="29">
        <f>IFERROR(IFERROR(INDEX('WHO GHO Data'!$S$8:$S$201,MATCH($C16,'WHO GHO Data'!$C$8:$C$201,0)),($O16/1000*$K16)),IFERROR($O16/1000*VLOOKUP(E16,$W$9:$Y$12,3,0),0))</f>
        <v>203.19835344827587</v>
      </c>
      <c r="S16" s="30">
        <f>IFERROR(IFERROR(INDEX('WHO GHO Data'!$U$8:$U$201,MATCH($C16,'WHO GHO Data'!$C$8:$C$201,0)),INDEX('WHO GHO Data'!$AE$9:$AE$13,MATCH($E16,'WHO GHO Data'!$AD$9:$AD$13,0))*'HCW + Staff Summary'!$O16/1000),"")</f>
        <v>12.089233172335501</v>
      </c>
    </row>
    <row r="17" spans="2:19" x14ac:dyDescent="0.75">
      <c r="B17" s="43" t="s">
        <v>317</v>
      </c>
      <c r="C17" s="43" t="s">
        <v>318</v>
      </c>
      <c r="D17" s="132" t="s">
        <v>1075</v>
      </c>
      <c r="E17" s="132" t="s">
        <v>411</v>
      </c>
      <c r="F17" s="132" t="str">
        <f t="shared" si="0"/>
        <v>Not LMIC</v>
      </c>
      <c r="G17" s="646">
        <f>INDEX('WB HCW &amp; Beds'!$C$558:$BO$821,MATCH($C17,'WB HCW &amp; Beds'!$C$558:$C$821,0),MATCH("Latest value",'WB HCW &amp; Beds'!$C$557:$BO$557,0))</f>
        <v>2.7646999999999999</v>
      </c>
      <c r="H17" s="647">
        <f>INDEX('WB HCW &amp; Beds'!$C$558:$BO$821,MATCH($C17,'WB HCW &amp; Beds'!$C$558:$C$821,0),MATCH("Latest year",'WB HCW &amp; Beds'!$C$557:$BO$557,0))</f>
        <v>2017</v>
      </c>
      <c r="I17" s="651">
        <f>INDEX('WB HCW &amp; Beds'!$C$286:$BP$561,MATCH($C17,'WB HCW &amp; Beds'!$C$286:$C$561,0),MATCH("Value",'WB HCW &amp; Beds'!$C$286:$BP$286,0))</f>
        <v>0.4</v>
      </c>
      <c r="J17" s="647" t="str">
        <f>'WB HCW &amp; Beds'!BO297</f>
        <v>No reported value</v>
      </c>
      <c r="K17" s="653">
        <f>'WB HCW &amp; Beds'!BN25</f>
        <v>3.1175999999999999</v>
      </c>
      <c r="L17" s="654">
        <f>'WB HCW &amp; Beds'!BO25</f>
        <v>2017</v>
      </c>
      <c r="M17" s="720">
        <f>IFERROR(IFERROR(INDEX('WHO GHO Data'!$AB$8:$AB$201,MATCH('HCW + Staff Summary'!$C17,'WHO GHO Data'!$C$8:$C$201,0)),INDEX('WHO GHO Data'!$AE$9:$AE$13,MATCH('HCW + Staff Summary'!$E17,'WHO GHO Data'!$AD$9:$AD$13,0))),"")</f>
        <v>9.3099268830073884E-2</v>
      </c>
      <c r="O17" s="29">
        <f>INDEX('WB Population Data'!$D$6:$D$269,MATCH($B17,'WB Population Data'!$B$6:$B$269,0))</f>
        <v>98000</v>
      </c>
      <c r="P17" s="30">
        <f t="shared" si="1"/>
        <v>270.94060000000002</v>
      </c>
      <c r="Q17" s="29">
        <f t="shared" si="2"/>
        <v>39.200000000000003</v>
      </c>
      <c r="R17" s="29">
        <f>IFERROR(IFERROR(INDEX('WHO GHO Data'!$S$8:$S$201,MATCH($C17,'WHO GHO Data'!$C$8:$C$201,0)),($O17/1000*$K17)),IFERROR($O17/1000*VLOOKUP(E17,$W$9:$Y$12,3,0),0))</f>
        <v>443.88570417664329</v>
      </c>
      <c r="S17" s="30">
        <f>IFERROR(IFERROR(INDEX('WHO GHO Data'!$U$8:$U$201,MATCH($C17,'WHO GHO Data'!$C$8:$C$201,0)),INDEX('WHO GHO Data'!$AE$9:$AE$13,MATCH($E17,'WHO GHO Data'!$AD$9:$AD$13,0))*'HCW + Staff Summary'!$O17/1000),"")</f>
        <v>9.1237283453472404</v>
      </c>
    </row>
    <row r="18" spans="2:19" x14ac:dyDescent="0.75">
      <c r="B18" s="43" t="s">
        <v>325</v>
      </c>
      <c r="C18" s="43" t="s">
        <v>4</v>
      </c>
      <c r="D18" s="132" t="s">
        <v>1076</v>
      </c>
      <c r="E18" s="132" t="s">
        <v>411</v>
      </c>
      <c r="F18" s="132" t="str">
        <f t="shared" si="0"/>
        <v>Not LMIC</v>
      </c>
      <c r="G18" s="646">
        <f>INDEX('WB HCW &amp; Beds'!$C$558:$BO$821,MATCH($C18,'WB HCW &amp; Beds'!$C$558:$C$821,0),MATCH("Latest value",'WB HCW &amp; Beds'!$C$557:$BO$557,0))</f>
        <v>3.5874000000000001</v>
      </c>
      <c r="H18" s="647">
        <f>INDEX('WB HCW &amp; Beds'!$C$558:$BO$821,MATCH($C18,'WB HCW &amp; Beds'!$C$558:$C$821,0),MATCH("Latest year",'WB HCW &amp; Beds'!$C$557:$BO$557,0))</f>
        <v>2016</v>
      </c>
      <c r="I18" s="651">
        <f>INDEX('WB HCW &amp; Beds'!$C$286:$BP$561,MATCH($C18,'WB HCW &amp; Beds'!$C$286:$C$561,0),MATCH("Value",'WB HCW &amp; Beds'!$C$286:$BP$286,0))</f>
        <v>4.9000000000000002E-2</v>
      </c>
      <c r="J18" s="647">
        <f>'WB HCW &amp; Beds'!BO298</f>
        <v>2006</v>
      </c>
      <c r="K18" s="653">
        <f>'WB HCW &amp; Beds'!BN26</f>
        <v>12.661199999999999</v>
      </c>
      <c r="L18" s="654">
        <f>'WB HCW &amp; Beds'!BO26</f>
        <v>2016</v>
      </c>
      <c r="M18" s="720">
        <f>IFERROR(IFERROR(INDEX('WHO GHO Data'!$AB$8:$AB$201,MATCH('HCW + Staff Summary'!$C18,'WHO GHO Data'!$C$8:$C$201,0)),INDEX('WHO GHO Data'!$AE$9:$AE$13,MATCH('HCW + Staff Summary'!$E18,'WHO GHO Data'!$AD$9:$AD$13,0))),"")</f>
        <v>0.54650004528486062</v>
      </c>
      <c r="O18" s="29">
        <f>INDEX('WB Population Data'!$D$6:$D$269,MATCH($B18,'WB Population Data'!$B$6:$B$269,0))</f>
        <v>25608000</v>
      </c>
      <c r="P18" s="30">
        <f t="shared" si="1"/>
        <v>91866.139200000005</v>
      </c>
      <c r="Q18" s="29">
        <f t="shared" si="2"/>
        <v>1254.7920000000001</v>
      </c>
      <c r="R18" s="29">
        <f>IFERROR(IFERROR(INDEX('WHO GHO Data'!$S$8:$S$201,MATCH($C18,'WHO GHO Data'!$C$8:$C$201,0)),($O18/1000*$K18)),IFERROR($O18/1000*VLOOKUP(E18,$W$9:$Y$12,3,0),0))</f>
        <v>300981.2765240306</v>
      </c>
      <c r="S18" s="30">
        <f>IFERROR(IFERROR(INDEX('WHO GHO Data'!$U$8:$U$201,MATCH($C18,'WHO GHO Data'!$C$8:$C$201,0)),INDEX('WHO GHO Data'!$AE$9:$AE$13,MATCH($E18,'WHO GHO Data'!$AD$9:$AD$13,0))*'HCW + Staff Summary'!$O18/1000),"")</f>
        <v>13994.773159654711</v>
      </c>
    </row>
    <row r="19" spans="2:19" x14ac:dyDescent="0.75">
      <c r="B19" s="43" t="s">
        <v>326</v>
      </c>
      <c r="C19" s="43" t="s">
        <v>5</v>
      </c>
      <c r="D19" s="132" t="s">
        <v>1074</v>
      </c>
      <c r="E19" s="132" t="s">
        <v>411</v>
      </c>
      <c r="F19" s="132" t="str">
        <f t="shared" si="0"/>
        <v>Not LMIC</v>
      </c>
      <c r="G19" s="646">
        <f>INDEX('WB HCW &amp; Beds'!$C$558:$BO$821,MATCH($C19,'WB HCW &amp; Beds'!$C$558:$C$821,0),MATCH("Latest value",'WB HCW &amp; Beds'!$C$557:$BO$557,0))</f>
        <v>5.1440999999999999</v>
      </c>
      <c r="H19" s="647">
        <f>INDEX('WB HCW &amp; Beds'!$C$558:$BO$821,MATCH($C19,'WB HCW &amp; Beds'!$C$558:$C$821,0),MATCH("Latest year",'WB HCW &amp; Beds'!$C$557:$BO$557,0))</f>
        <v>2016</v>
      </c>
      <c r="I19" s="651">
        <f>INDEX('WB HCW &amp; Beds'!$C$286:$BP$561,MATCH($C19,'WB HCW &amp; Beds'!$C$286:$C$561,0),MATCH("Value",'WB HCW &amp; Beds'!$C$286:$BP$286,0))</f>
        <v>0.4</v>
      </c>
      <c r="J19" s="647" t="str">
        <f>'WB HCW &amp; Beds'!BO299</f>
        <v>No reported value</v>
      </c>
      <c r="K19" s="653">
        <f>'WB HCW &amp; Beds'!BN27</f>
        <v>8.1777999999999995</v>
      </c>
      <c r="L19" s="654">
        <f>'WB HCW &amp; Beds'!BO27</f>
        <v>2016</v>
      </c>
      <c r="M19" s="720">
        <f>IFERROR(IFERROR(INDEX('WHO GHO Data'!$AB$8:$AB$201,MATCH('HCW + Staff Summary'!$C19,'WHO GHO Data'!$C$8:$C$201,0)),INDEX('WHO GHO Data'!$AE$9:$AE$13,MATCH('HCW + Staff Summary'!$E19,'WHO GHO Data'!$AD$9:$AD$13,0))),"")</f>
        <v>0.54650004528486062</v>
      </c>
      <c r="O19" s="29">
        <f>INDEX('WB Population Data'!$D$6:$D$269,MATCH($B19,'WB Population Data'!$B$6:$B$269,0))</f>
        <v>8883000</v>
      </c>
      <c r="P19" s="30">
        <f t="shared" si="1"/>
        <v>45695.040300000001</v>
      </c>
      <c r="Q19" s="29">
        <f t="shared" si="2"/>
        <v>3553.2000000000003</v>
      </c>
      <c r="R19" s="29">
        <f>IFERROR(IFERROR(INDEX('WHO GHO Data'!$S$8:$S$201,MATCH($C19,'WHO GHO Data'!$C$8:$C$201,0)),($O19/1000*$K19)),IFERROR($O19/1000*VLOOKUP(E19,$W$9:$Y$12,3,0),0))</f>
        <v>61808.871536214734</v>
      </c>
      <c r="S19" s="30">
        <f>IFERROR(IFERROR(INDEX('WHO GHO Data'!$U$8:$U$201,MATCH($C19,'WHO GHO Data'!$C$8:$C$201,0)),INDEX('WHO GHO Data'!$AE$9:$AE$13,MATCH($E19,'WHO GHO Data'!$AD$9:$AD$13,0))*'HCW + Staff Summary'!$O19/1000),"")</f>
        <v>4854.5599022654178</v>
      </c>
    </row>
    <row r="20" spans="2:19" x14ac:dyDescent="0.75">
      <c r="B20" s="43" t="s">
        <v>235</v>
      </c>
      <c r="C20" s="43" t="s">
        <v>6</v>
      </c>
      <c r="D20" s="132" t="s">
        <v>1074</v>
      </c>
      <c r="E20" s="132" t="s">
        <v>558</v>
      </c>
      <c r="F20" s="132" t="str">
        <f t="shared" si="0"/>
        <v>LMIC</v>
      </c>
      <c r="G20" s="646">
        <f>INDEX('WB HCW &amp; Beds'!$C$558:$BO$821,MATCH($C20,'WB HCW &amp; Beds'!$C$558:$C$821,0),MATCH("Latest value",'WB HCW &amp; Beds'!$C$557:$BO$557,0))</f>
        <v>3.4466000000000001</v>
      </c>
      <c r="H20" s="647">
        <f>INDEX('WB HCW &amp; Beds'!$C$558:$BO$821,MATCH($C20,'WB HCW &amp; Beds'!$C$558:$C$821,0),MATCH("Latest year",'WB HCW &amp; Beds'!$C$557:$BO$557,0))</f>
        <v>2014</v>
      </c>
      <c r="I20" s="651">
        <f>INDEX('WB HCW &amp; Beds'!$C$286:$BP$561,MATCH($C20,'WB HCW &amp; Beds'!$C$286:$C$561,0),MATCH("Value",'WB HCW &amp; Beds'!$C$286:$BP$286,0))</f>
        <v>0.4</v>
      </c>
      <c r="J20" s="647" t="str">
        <f>'WB HCW &amp; Beds'!BO300</f>
        <v>No reported value</v>
      </c>
      <c r="K20" s="653">
        <f>'WB HCW &amp; Beds'!BN28</f>
        <v>6.9621000000000004</v>
      </c>
      <c r="L20" s="654">
        <f>'WB HCW &amp; Beds'!BO28</f>
        <v>2014</v>
      </c>
      <c r="M20" s="720">
        <f>IFERROR(IFERROR(INDEX('WHO GHO Data'!$AB$8:$AB$201,MATCH('HCW + Staff Summary'!$C20,'WHO GHO Data'!$C$8:$C$201,0)),INDEX('WHO GHO Data'!$AE$9:$AE$13,MATCH('HCW + Staff Summary'!$E20,'WHO GHO Data'!$AD$9:$AD$13,0))),"")</f>
        <v>0.21980423949700909</v>
      </c>
      <c r="O20" s="29">
        <f>INDEX('WB Population Data'!$D$6:$D$269,MATCH($B20,'WB Population Data'!$B$6:$B$269,0))</f>
        <v>10115000</v>
      </c>
      <c r="P20" s="30">
        <f t="shared" si="1"/>
        <v>34862.359000000004</v>
      </c>
      <c r="Q20" s="29">
        <f t="shared" si="2"/>
        <v>4046</v>
      </c>
      <c r="R20" s="29">
        <f>IFERROR(IFERROR(INDEX('WHO GHO Data'!$S$8:$S$201,MATCH($C20,'WHO GHO Data'!$C$8:$C$201,0)),($O20/1000*$K20)),IFERROR($O20/1000*VLOOKUP(E20,$W$9:$Y$12,3,0),0))</f>
        <v>59907.837696712682</v>
      </c>
      <c r="S20" s="30">
        <f>IFERROR(IFERROR(INDEX('WHO GHO Data'!$U$8:$U$201,MATCH($C20,'WHO GHO Data'!$C$8:$C$201,0)),INDEX('WHO GHO Data'!$AE$9:$AE$13,MATCH($E20,'WHO GHO Data'!$AD$9:$AD$13,0))*'HCW + Staff Summary'!$O20/1000),"")</f>
        <v>2223.3198825122467</v>
      </c>
    </row>
    <row r="21" spans="2:19" x14ac:dyDescent="0.75">
      <c r="B21" s="43" t="s">
        <v>186</v>
      </c>
      <c r="C21" s="43" t="s">
        <v>7</v>
      </c>
      <c r="D21" s="132" t="s">
        <v>1073</v>
      </c>
      <c r="E21" s="132" t="s">
        <v>453</v>
      </c>
      <c r="F21" s="132" t="str">
        <f t="shared" si="0"/>
        <v>LMIC</v>
      </c>
      <c r="G21" s="646">
        <f>INDEX('WB HCW &amp; Beds'!$C$558:$BO$821,MATCH($C21,'WB HCW &amp; Beds'!$C$558:$C$821,0),MATCH("Latest value",'WB HCW &amp; Beds'!$C$557:$BO$557,0))</f>
        <v>0.05</v>
      </c>
      <c r="H21" s="647">
        <f>INDEX('WB HCW &amp; Beds'!$C$558:$BO$821,MATCH($C21,'WB HCW &amp; Beds'!$C$558:$C$821,0),MATCH("Latest year",'WB HCW &amp; Beds'!$C$557:$BO$557,0))</f>
        <v>2016</v>
      </c>
      <c r="I21" s="651">
        <f>INDEX('WB HCW &amp; Beds'!$C$286:$BP$561,MATCH($C21,'WB HCW &amp; Beds'!$C$286:$C$561,0),MATCH("Value",'WB HCW &amp; Beds'!$C$286:$BP$286,0))</f>
        <v>7.1999999999999995E-2</v>
      </c>
      <c r="J21" s="647">
        <f>'WB HCW &amp; Beds'!BO301</f>
        <v>2004</v>
      </c>
      <c r="K21" s="653">
        <f>'WB HCW &amp; Beds'!BN29</f>
        <v>0.68</v>
      </c>
      <c r="L21" s="654">
        <f>'WB HCW &amp; Beds'!BO29</f>
        <v>2016</v>
      </c>
      <c r="M21" s="720">
        <f>IFERROR(IFERROR(INDEX('WHO GHO Data'!$AB$8:$AB$201,MATCH('HCW + Staff Summary'!$C21,'WHO GHO Data'!$C$8:$C$201,0)),INDEX('WHO GHO Data'!$AE$9:$AE$13,MATCH('HCW + Staff Summary'!$E21,'WHO GHO Data'!$AD$9:$AD$13,0))),"")</f>
        <v>9.9074783046353046E-2</v>
      </c>
      <c r="O21" s="29">
        <f>INDEX('WB Population Data'!$D$6:$D$269,MATCH($B21,'WB Population Data'!$B$6:$B$269,0))</f>
        <v>11891000</v>
      </c>
      <c r="P21" s="30">
        <f t="shared" si="1"/>
        <v>594.55000000000007</v>
      </c>
      <c r="Q21" s="29">
        <f t="shared" si="2"/>
        <v>856.15199999999993</v>
      </c>
      <c r="R21" s="29">
        <f>IFERROR(IFERROR(INDEX('WHO GHO Data'!$S$8:$S$201,MATCH($C21,'WHO GHO Data'!$C$8:$C$201,0)),($O21/1000*$K21)),IFERROR($O21/1000*VLOOKUP(E21,$W$9:$Y$12,3,0),0))</f>
        <v>9959.4866563347186</v>
      </c>
      <c r="S21" s="30">
        <f>IFERROR(IFERROR(INDEX('WHO GHO Data'!$U$8:$U$201,MATCH($C21,'WHO GHO Data'!$C$8:$C$201,0)),INDEX('WHO GHO Data'!$AE$9:$AE$13,MATCH($E21,'WHO GHO Data'!$AD$9:$AD$13,0))*'HCW + Staff Summary'!$O21/1000),"")</f>
        <v>1178.098245204184</v>
      </c>
    </row>
    <row r="22" spans="2:19" x14ac:dyDescent="0.75">
      <c r="B22" s="43" t="s">
        <v>332</v>
      </c>
      <c r="C22" s="43" t="s">
        <v>8</v>
      </c>
      <c r="D22" s="132" t="s">
        <v>1074</v>
      </c>
      <c r="E22" s="132" t="s">
        <v>411</v>
      </c>
      <c r="F22" s="132" t="str">
        <f t="shared" si="0"/>
        <v>Not LMIC</v>
      </c>
      <c r="G22" s="646">
        <f>INDEX('WB HCW &amp; Beds'!$C$558:$BO$821,MATCH($C22,'WB HCW &amp; Beds'!$C$558:$C$821,0),MATCH("Latest value",'WB HCW &amp; Beds'!$C$557:$BO$557,0))</f>
        <v>3.3233999999999999</v>
      </c>
      <c r="H22" s="647">
        <f>INDEX('WB HCW &amp; Beds'!$C$558:$BO$821,MATCH($C22,'WB HCW &amp; Beds'!$C$558:$C$821,0),MATCH("Latest year",'WB HCW &amp; Beds'!$C$557:$BO$557,0))</f>
        <v>2016</v>
      </c>
      <c r="I22" s="651">
        <f>INDEX('WB HCW &amp; Beds'!$C$286:$BP$561,MATCH($C22,'WB HCW &amp; Beds'!$C$286:$C$561,0),MATCH("Value",'WB HCW &amp; Beds'!$C$286:$BP$286,0))</f>
        <v>0.4</v>
      </c>
      <c r="J22" s="647" t="str">
        <f>'WB HCW &amp; Beds'!BO302</f>
        <v>No reported value</v>
      </c>
      <c r="K22" s="653">
        <f>'WB HCW &amp; Beds'!BN30</f>
        <v>11.101100000000001</v>
      </c>
      <c r="L22" s="654">
        <f>'WB HCW &amp; Beds'!BO30</f>
        <v>2016</v>
      </c>
      <c r="M22" s="720">
        <f>IFERROR(IFERROR(INDEX('WHO GHO Data'!$AB$8:$AB$201,MATCH('HCW + Staff Summary'!$C22,'WHO GHO Data'!$C$8:$C$201,0)),INDEX('WHO GHO Data'!$AE$9:$AE$13,MATCH('HCW + Staff Summary'!$E22,'WHO GHO Data'!$AD$9:$AD$13,0))),"")</f>
        <v>0.54650004528486062</v>
      </c>
      <c r="O22" s="29">
        <f>INDEX('WB Population Data'!$D$6:$D$269,MATCH($B22,'WB Population Data'!$B$6:$B$269,0))</f>
        <v>11538000</v>
      </c>
      <c r="P22" s="30">
        <f t="shared" si="1"/>
        <v>38345.389199999998</v>
      </c>
      <c r="Q22" s="29">
        <f t="shared" si="2"/>
        <v>4615.2</v>
      </c>
      <c r="R22" s="29">
        <f>IFERROR(IFERROR(INDEX('WHO GHO Data'!$S$8:$S$201,MATCH($C22,'WHO GHO Data'!$C$8:$C$201,0)),($O22/1000*$K22)),IFERROR($O22/1000*VLOOKUP(E22,$W$9:$Y$12,3,0),0))</f>
        <v>212470.48954201333</v>
      </c>
      <c r="S22" s="30">
        <f>IFERROR(IFERROR(INDEX('WHO GHO Data'!$U$8:$U$201,MATCH($C22,'WHO GHO Data'!$C$8:$C$201,0)),INDEX('WHO GHO Data'!$AE$9:$AE$13,MATCH($E22,'WHO GHO Data'!$AD$9:$AD$13,0))*'HCW + Staff Summary'!$O22/1000),"")</f>
        <v>6305.5175224967215</v>
      </c>
    </row>
    <row r="23" spans="2:19" x14ac:dyDescent="0.75">
      <c r="B23" s="43" t="s">
        <v>183</v>
      </c>
      <c r="C23" s="43" t="s">
        <v>9</v>
      </c>
      <c r="D23" s="132" t="s">
        <v>1073</v>
      </c>
      <c r="E23" s="132" t="s">
        <v>453</v>
      </c>
      <c r="F23" s="132" t="str">
        <f t="shared" si="0"/>
        <v>LMIC</v>
      </c>
      <c r="G23" s="646">
        <f>INDEX('WB HCW &amp; Beds'!$C$558:$BO$821,MATCH($C23,'WB HCW &amp; Beds'!$C$558:$C$821,0),MATCH("Latest value",'WB HCW &amp; Beds'!$C$557:$BO$557,0))</f>
        <v>0.15720000000000001</v>
      </c>
      <c r="H23" s="647">
        <f>INDEX('WB HCW &amp; Beds'!$C$558:$BO$821,MATCH($C23,'WB HCW &amp; Beds'!$C$558:$C$821,0),MATCH("Latest year",'WB HCW &amp; Beds'!$C$557:$BO$557,0))</f>
        <v>2016</v>
      </c>
      <c r="I23" s="651">
        <f>INDEX('WB HCW &amp; Beds'!$C$286:$BP$561,MATCH($C23,'WB HCW &amp; Beds'!$C$286:$C$561,0),MATCH("Value",'WB HCW &amp; Beds'!$C$286:$BP$286,0))</f>
        <v>0.4</v>
      </c>
      <c r="J23" s="647" t="str">
        <f>'WB HCW &amp; Beds'!BO303</f>
        <v>No reported value</v>
      </c>
      <c r="K23" s="653">
        <f>'WB HCW &amp; Beds'!BN31</f>
        <v>0.61450000000000005</v>
      </c>
      <c r="L23" s="654">
        <f>'WB HCW &amp; Beds'!BO31</f>
        <v>2016</v>
      </c>
      <c r="M23" s="720">
        <f>IFERROR(IFERROR(INDEX('WHO GHO Data'!$AB$8:$AB$201,MATCH('HCW + Staff Summary'!$C23,'WHO GHO Data'!$C$8:$C$201,0)),INDEX('WHO GHO Data'!$AE$9:$AE$13,MATCH('HCW + Staff Summary'!$E23,'WHO GHO Data'!$AD$9:$AD$13,0))),"")</f>
        <v>5.8185520692527491E-2</v>
      </c>
      <c r="O23" s="29">
        <f>INDEX('WB Population Data'!$D$6:$D$269,MATCH($B23,'WB Population Data'!$B$6:$B$269,0))</f>
        <v>12123000</v>
      </c>
      <c r="P23" s="30">
        <f t="shared" si="1"/>
        <v>1905.7356</v>
      </c>
      <c r="Q23" s="29">
        <f t="shared" si="2"/>
        <v>4849.2</v>
      </c>
      <c r="R23" s="29">
        <f>IFERROR(IFERROR(INDEX('WHO GHO Data'!$S$8:$S$201,MATCH($C23,'WHO GHO Data'!$C$8:$C$201,0)),($O23/1000*$K23)),IFERROR($O23/1000*VLOOKUP(E23,$W$9:$Y$12,3,0),0))</f>
        <v>3600.8327240752869</v>
      </c>
      <c r="S23" s="30">
        <f>IFERROR(IFERROR(INDEX('WHO GHO Data'!$U$8:$U$201,MATCH($C23,'WHO GHO Data'!$C$8:$C$201,0)),INDEX('WHO GHO Data'!$AE$9:$AE$13,MATCH($E23,'WHO GHO Data'!$AD$9:$AD$13,0))*'HCW + Staff Summary'!$O23/1000),"")</f>
        <v>705.38306735551078</v>
      </c>
    </row>
    <row r="24" spans="2:19" x14ac:dyDescent="0.75">
      <c r="B24" s="43" t="s">
        <v>185</v>
      </c>
      <c r="C24" s="43" t="s">
        <v>10</v>
      </c>
      <c r="D24" s="132" t="s">
        <v>1073</v>
      </c>
      <c r="E24" s="132" t="s">
        <v>453</v>
      </c>
      <c r="F24" s="132" t="str">
        <f t="shared" si="0"/>
        <v>LMIC</v>
      </c>
      <c r="G24" s="646">
        <f>INDEX('WB HCW &amp; Beds'!$C$558:$BO$821,MATCH($C24,'WB HCW &amp; Beds'!$C$558:$C$821,0),MATCH("Latest value",'WB HCW &amp; Beds'!$C$557:$BO$557,0))</f>
        <v>0.06</v>
      </c>
      <c r="H24" s="647">
        <f>INDEX('WB HCW &amp; Beds'!$C$558:$BO$821,MATCH($C24,'WB HCW &amp; Beds'!$C$558:$C$821,0),MATCH("Latest year",'WB HCW &amp; Beds'!$C$557:$BO$557,0))</f>
        <v>2016</v>
      </c>
      <c r="I24" s="651">
        <f>INDEX('WB HCW &amp; Beds'!$C$286:$BP$561,MATCH($C24,'WB HCW &amp; Beds'!$C$286:$C$561,0),MATCH("Value",'WB HCW &amp; Beds'!$C$286:$BP$286,0))</f>
        <v>0.127</v>
      </c>
      <c r="J24" s="647">
        <f>'WB HCW &amp; Beds'!BO304</f>
        <v>2012</v>
      </c>
      <c r="K24" s="653">
        <f>'WB HCW &amp; Beds'!BN32</f>
        <v>0.5696</v>
      </c>
      <c r="L24" s="654">
        <f>'WB HCW &amp; Beds'!BO32</f>
        <v>2016</v>
      </c>
      <c r="M24" s="720">
        <f>IFERROR(IFERROR(INDEX('WHO GHO Data'!$AB$8:$AB$201,MATCH('HCW + Staff Summary'!$C24,'WHO GHO Data'!$C$8:$C$201,0)),INDEX('WHO GHO Data'!$AE$9:$AE$13,MATCH('HCW + Staff Summary'!$E24,'WHO GHO Data'!$AD$9:$AD$13,0))),"")</f>
        <v>3.645050990438771E-2</v>
      </c>
      <c r="O24" s="29">
        <f>INDEX('WB Population Data'!$D$6:$D$269,MATCH($B24,'WB Population Data'!$B$6:$B$269,0))</f>
        <v>20903000</v>
      </c>
      <c r="P24" s="30">
        <f t="shared" si="1"/>
        <v>1254.18</v>
      </c>
      <c r="Q24" s="29">
        <f t="shared" si="2"/>
        <v>2654.681</v>
      </c>
      <c r="R24" s="29">
        <f>IFERROR(IFERROR(INDEX('WHO GHO Data'!$S$8:$S$201,MATCH($C24,'WHO GHO Data'!$C$8:$C$201,0)),($O24/1000*$K24)),IFERROR($O24/1000*VLOOKUP(E24,$W$9:$Y$12,3,0),0))</f>
        <v>11310.062787585086</v>
      </c>
      <c r="S24" s="30">
        <f>IFERROR(IFERROR(INDEX('WHO GHO Data'!$U$8:$U$201,MATCH($C24,'WHO GHO Data'!$C$8:$C$201,0)),INDEX('WHO GHO Data'!$AE$9:$AE$13,MATCH($E24,'WHO GHO Data'!$AD$9:$AD$13,0))*'HCW + Staff Summary'!$O24/1000),"")</f>
        <v>761.92500853141621</v>
      </c>
    </row>
    <row r="25" spans="2:19" x14ac:dyDescent="0.75">
      <c r="B25" s="43" t="s">
        <v>240</v>
      </c>
      <c r="C25" s="43" t="s">
        <v>11</v>
      </c>
      <c r="D25" s="132" t="s">
        <v>1077</v>
      </c>
      <c r="E25" s="132" t="s">
        <v>455</v>
      </c>
      <c r="F25" s="132" t="str">
        <f t="shared" si="0"/>
        <v>LMIC</v>
      </c>
      <c r="G25" s="646">
        <f>INDEX('WB HCW &amp; Beds'!$C$558:$BO$821,MATCH($C25,'WB HCW &amp; Beds'!$C$558:$C$821,0),MATCH("Latest value",'WB HCW &amp; Beds'!$C$557:$BO$557,0))</f>
        <v>0.52680000000000005</v>
      </c>
      <c r="H25" s="647">
        <f>INDEX('WB HCW &amp; Beds'!$C$558:$BO$821,MATCH($C25,'WB HCW &amp; Beds'!$C$558:$C$821,0),MATCH("Latest year",'WB HCW &amp; Beds'!$C$557:$BO$557,0))</f>
        <v>2017</v>
      </c>
      <c r="I25" s="651">
        <f>INDEX('WB HCW &amp; Beds'!$C$286:$BP$561,MATCH($C25,'WB HCW &amp; Beds'!$C$286:$C$561,0),MATCH("Value",'WB HCW &amp; Beds'!$C$286:$BP$286,0))</f>
        <v>0.47599999999999998</v>
      </c>
      <c r="J25" s="647">
        <f>'WB HCW &amp; Beds'!BO305</f>
        <v>2012</v>
      </c>
      <c r="K25" s="653">
        <f>'WB HCW &amp; Beds'!BN33</f>
        <v>0.30669999999999997</v>
      </c>
      <c r="L25" s="654">
        <f>'WB HCW &amp; Beds'!BO33</f>
        <v>2017</v>
      </c>
      <c r="M25" s="720">
        <f>IFERROR(IFERROR(INDEX('WHO GHO Data'!$AB$8:$AB$201,MATCH('HCW + Staff Summary'!$C25,'WHO GHO Data'!$C$8:$C$201,0)),INDEX('WHO GHO Data'!$AE$9:$AE$13,MATCH('HCW + Staff Summary'!$E25,'WHO GHO Data'!$AD$9:$AD$13,0))),"")</f>
        <v>0.16209831093802451</v>
      </c>
      <c r="O25" s="29">
        <f>INDEX('WB Population Data'!$D$6:$D$269,MATCH($B25,'WB Population Data'!$B$6:$B$269,0))</f>
        <v>164689000</v>
      </c>
      <c r="P25" s="30">
        <f t="shared" si="1"/>
        <v>86758.165200000003</v>
      </c>
      <c r="Q25" s="29">
        <f t="shared" si="2"/>
        <v>78391.963999999993</v>
      </c>
      <c r="R25" s="29">
        <f>IFERROR(IFERROR(INDEX('WHO GHO Data'!$S$8:$S$201,MATCH($C25,'WHO GHO Data'!$C$8:$C$201,0)),($O25/1000*$K25)),IFERROR($O25/1000*VLOOKUP(E25,$W$9:$Y$12,3,0),0))</f>
        <v>58469.963372618484</v>
      </c>
      <c r="S25" s="30">
        <f>IFERROR(IFERROR(INDEX('WHO GHO Data'!$U$8:$U$201,MATCH($C25,'WHO GHO Data'!$C$8:$C$201,0)),INDEX('WHO GHO Data'!$AE$9:$AE$13,MATCH($E25,'WHO GHO Data'!$AD$9:$AD$13,0))*'HCW + Staff Summary'!$O25/1000),"")</f>
        <v>26695.80873007232</v>
      </c>
    </row>
    <row r="26" spans="2:19" x14ac:dyDescent="0.75">
      <c r="B26" s="43" t="s">
        <v>341</v>
      </c>
      <c r="C26" s="43" t="s">
        <v>12</v>
      </c>
      <c r="D26" s="132" t="s">
        <v>1074</v>
      </c>
      <c r="E26" s="132" t="s">
        <v>558</v>
      </c>
      <c r="F26" s="132" t="str">
        <f t="shared" si="0"/>
        <v>LMIC</v>
      </c>
      <c r="G26" s="646">
        <f>INDEX('WB HCW &amp; Beds'!$C$558:$BO$821,MATCH($C26,'WB HCW &amp; Beds'!$C$558:$C$821,0),MATCH("Latest value",'WB HCW &amp; Beds'!$C$557:$BO$557,0))</f>
        <v>3.9878999999999998</v>
      </c>
      <c r="H26" s="647">
        <f>INDEX('WB HCW &amp; Beds'!$C$558:$BO$821,MATCH($C26,'WB HCW &amp; Beds'!$C$558:$C$821,0),MATCH("Latest year",'WB HCW &amp; Beds'!$C$557:$BO$557,0))</f>
        <v>2014</v>
      </c>
      <c r="I26" s="651">
        <f>INDEX('WB HCW &amp; Beds'!$C$286:$BP$561,MATCH($C26,'WB HCW &amp; Beds'!$C$286:$C$561,0),MATCH("Value",'WB HCW &amp; Beds'!$C$286:$BP$286,0))</f>
        <v>0.4</v>
      </c>
      <c r="J26" s="647" t="str">
        <f>'WB HCW &amp; Beds'!BO306</f>
        <v>No reported value</v>
      </c>
      <c r="K26" s="653">
        <f>'WB HCW &amp; Beds'!BN34</f>
        <v>5.3029000000000002</v>
      </c>
      <c r="L26" s="654">
        <f>'WB HCW &amp; Beds'!BO34</f>
        <v>2014</v>
      </c>
      <c r="M26" s="720">
        <f>IFERROR(IFERROR(INDEX('WHO GHO Data'!$AB$8:$AB$201,MATCH('HCW + Staff Summary'!$C26,'WHO GHO Data'!$C$8:$C$201,0)),INDEX('WHO GHO Data'!$AE$9:$AE$13,MATCH('HCW + Staff Summary'!$E26,'WHO GHO Data'!$AD$9:$AD$13,0))),"")</f>
        <v>0.21980423949700909</v>
      </c>
      <c r="O26" s="29">
        <f>INDEX('WB Population Data'!$D$6:$D$269,MATCH($B26,'WB Population Data'!$B$6:$B$269,0))</f>
        <v>6916000</v>
      </c>
      <c r="P26" s="30">
        <f t="shared" si="1"/>
        <v>27580.3164</v>
      </c>
      <c r="Q26" s="29">
        <f t="shared" si="2"/>
        <v>2766.4</v>
      </c>
      <c r="R26" s="29">
        <f>IFERROR(IFERROR(INDEX('WHO GHO Data'!$S$8:$S$201,MATCH($C26,'WHO GHO Data'!$C$8:$C$201,0)),($O26/1000*$K26)),IFERROR($O26/1000*VLOOKUP(E26,$W$9:$Y$12,3,0),0))</f>
        <v>30352.461169817703</v>
      </c>
      <c r="S26" s="30">
        <f>IFERROR(IFERROR(INDEX('WHO GHO Data'!$U$8:$U$201,MATCH($C26,'WHO GHO Data'!$C$8:$C$201,0)),INDEX('WHO GHO Data'!$AE$9:$AE$13,MATCH($E26,'WHO GHO Data'!$AD$9:$AD$13,0))*'HCW + Staff Summary'!$O26/1000),"")</f>
        <v>1520.1661203613148</v>
      </c>
    </row>
    <row r="27" spans="2:19" x14ac:dyDescent="0.75">
      <c r="B27" s="43" t="s">
        <v>328</v>
      </c>
      <c r="C27" s="43" t="s">
        <v>13</v>
      </c>
      <c r="D27" s="132" t="s">
        <v>1072</v>
      </c>
      <c r="E27" s="132" t="s">
        <v>411</v>
      </c>
      <c r="F27" s="132" t="str">
        <f t="shared" si="0"/>
        <v>Not LMIC</v>
      </c>
      <c r="G27" s="646">
        <f>INDEX('WB HCW &amp; Beds'!$C$558:$BO$821,MATCH($C27,'WB HCW &amp; Beds'!$C$558:$C$821,0),MATCH("Latest value",'WB HCW &amp; Beds'!$C$557:$BO$557,0))</f>
        <v>0.92569999999999997</v>
      </c>
      <c r="H27" s="647">
        <f>INDEX('WB HCW &amp; Beds'!$C$558:$BO$821,MATCH($C27,'WB HCW &amp; Beds'!$C$558:$C$821,0),MATCH("Latest year",'WB HCW &amp; Beds'!$C$557:$BO$557,0))</f>
        <v>2015</v>
      </c>
      <c r="I27" s="651">
        <f>INDEX('WB HCW &amp; Beds'!$C$286:$BP$561,MATCH($C27,'WB HCW &amp; Beds'!$C$286:$C$561,0),MATCH("Value",'WB HCW &amp; Beds'!$C$286:$BP$286,0))</f>
        <v>0.4</v>
      </c>
      <c r="J27" s="647" t="str">
        <f>'WB HCW &amp; Beds'!BO307</f>
        <v>No reported value</v>
      </c>
      <c r="K27" s="653">
        <f>'WB HCW &amp; Beds'!BN35</f>
        <v>2.4944000000000002</v>
      </c>
      <c r="L27" s="654">
        <f>'WB HCW &amp; Beds'!BO35</f>
        <v>2015</v>
      </c>
      <c r="M27" s="720">
        <f>IFERROR(IFERROR(INDEX('WHO GHO Data'!$AB$8:$AB$201,MATCH('HCW + Staff Summary'!$C27,'WHO GHO Data'!$C$8:$C$201,0)),INDEX('WHO GHO Data'!$AE$9:$AE$13,MATCH('HCW + Staff Summary'!$E27,'WHO GHO Data'!$AD$9:$AD$13,0))),"")</f>
        <v>0.20622643560182297</v>
      </c>
      <c r="O27" s="29">
        <f>INDEX('WB Population Data'!$D$6:$D$269,MATCH($B27,'WB Population Data'!$B$6:$B$269,0))</f>
        <v>1702000</v>
      </c>
      <c r="P27" s="30">
        <f t="shared" si="1"/>
        <v>1575.5413999999998</v>
      </c>
      <c r="Q27" s="29">
        <f t="shared" si="2"/>
        <v>680.80000000000007</v>
      </c>
      <c r="R27" s="29">
        <f>IFERROR(IFERROR(INDEX('WHO GHO Data'!$S$8:$S$201,MATCH($C27,'WHO GHO Data'!$C$8:$C$201,0)),($O27/1000*$K27)),IFERROR($O27/1000*VLOOKUP(E27,$W$9:$Y$12,3,0),0))</f>
        <v>4071.5697633739119</v>
      </c>
      <c r="S27" s="30">
        <f>IFERROR(IFERROR(INDEX('WHO GHO Data'!$U$8:$U$201,MATCH($C27,'WHO GHO Data'!$C$8:$C$201,0)),INDEX('WHO GHO Data'!$AE$9:$AE$13,MATCH($E27,'WHO GHO Data'!$AD$9:$AD$13,0))*'HCW + Staff Summary'!$O27/1000),"")</f>
        <v>350.99739339430272</v>
      </c>
    </row>
    <row r="28" spans="2:19" x14ac:dyDescent="0.75">
      <c r="B28" s="43" t="s">
        <v>327</v>
      </c>
      <c r="C28" s="43" t="s">
        <v>14</v>
      </c>
      <c r="D28" s="132" t="s">
        <v>1075</v>
      </c>
      <c r="E28" s="132" t="s">
        <v>411</v>
      </c>
      <c r="F28" s="132" t="str">
        <f t="shared" si="0"/>
        <v>Not LMIC</v>
      </c>
      <c r="G28" s="646">
        <f>INDEX('WB HCW &amp; Beds'!$C$558:$BO$821,MATCH($C28,'WB HCW &amp; Beds'!$C$558:$C$821,0),MATCH("Latest value",'WB HCW &amp; Beds'!$C$557:$BO$557,0))</f>
        <v>1.9373</v>
      </c>
      <c r="H28" s="647">
        <f>INDEX('WB HCW &amp; Beds'!$C$558:$BO$821,MATCH($C28,'WB HCW &amp; Beds'!$C$558:$C$821,0),MATCH("Latest year",'WB HCW &amp; Beds'!$C$557:$BO$557,0))</f>
        <v>2017</v>
      </c>
      <c r="I28" s="651">
        <f>INDEX('WB HCW &amp; Beds'!$C$286:$BP$561,MATCH($C28,'WB HCW &amp; Beds'!$C$286:$C$561,0),MATCH("Value",'WB HCW &amp; Beds'!$C$286:$BP$286,0))</f>
        <v>0.4</v>
      </c>
      <c r="J28" s="647" t="str">
        <f>'WB HCW &amp; Beds'!BO308</f>
        <v>No reported value</v>
      </c>
      <c r="K28" s="653">
        <f>'WB HCW &amp; Beds'!BN36</f>
        <v>3.1385999999999998</v>
      </c>
      <c r="L28" s="654">
        <f>'WB HCW &amp; Beds'!BO36</f>
        <v>2017</v>
      </c>
      <c r="M28" s="720">
        <f>IFERROR(IFERROR(INDEX('WHO GHO Data'!$AB$8:$AB$201,MATCH('HCW + Staff Summary'!$C28,'WHO GHO Data'!$C$8:$C$201,0)),INDEX('WHO GHO Data'!$AE$9:$AE$13,MATCH('HCW + Staff Summary'!$E28,'WHO GHO Data'!$AD$9:$AD$13,0))),"")</f>
        <v>0.28895134455143695</v>
      </c>
      <c r="O28" s="29">
        <f>INDEX('WB Population Data'!$D$6:$D$269,MATCH($B28,'WB Population Data'!$B$6:$B$269,0))</f>
        <v>393000</v>
      </c>
      <c r="P28" s="30">
        <f t="shared" si="1"/>
        <v>761.35890000000006</v>
      </c>
      <c r="Q28" s="29">
        <f t="shared" si="2"/>
        <v>157.20000000000002</v>
      </c>
      <c r="R28" s="29">
        <f>IFERROR(IFERROR(INDEX('WHO GHO Data'!$S$8:$S$201,MATCH($C28,'WHO GHO Data'!$C$8:$C$201,0)),($O28/1000*$K28)),IFERROR($O28/1000*VLOOKUP(E28,$W$9:$Y$12,3,0),0))</f>
        <v>1795.7450332284252</v>
      </c>
      <c r="S28" s="30">
        <f>IFERROR(IFERROR(INDEX('WHO GHO Data'!$U$8:$U$201,MATCH($C28,'WHO GHO Data'!$C$8:$C$201,0)),INDEX('WHO GHO Data'!$AE$9:$AE$13,MATCH($E28,'WHO GHO Data'!$AD$9:$AD$13,0))*'HCW + Staff Summary'!$O28/1000),"")</f>
        <v>113.55787840871471</v>
      </c>
    </row>
    <row r="29" spans="2:19" x14ac:dyDescent="0.75">
      <c r="B29" s="43" t="s">
        <v>336</v>
      </c>
      <c r="C29" s="43" t="s">
        <v>15</v>
      </c>
      <c r="D29" s="132" t="s">
        <v>1074</v>
      </c>
      <c r="E29" s="132" t="s">
        <v>558</v>
      </c>
      <c r="F29" s="132" t="str">
        <f t="shared" si="0"/>
        <v>LMIC</v>
      </c>
      <c r="G29" s="646">
        <f>INDEX('WB HCW &amp; Beds'!$C$558:$BO$821,MATCH($C29,'WB HCW &amp; Beds'!$C$558:$C$821,0),MATCH("Latest value",'WB HCW &amp; Beds'!$C$557:$BO$557,0))</f>
        <v>2.0003000000000002</v>
      </c>
      <c r="H29" s="647">
        <f>INDEX('WB HCW &amp; Beds'!$C$558:$BO$821,MATCH($C29,'WB HCW &amp; Beds'!$C$558:$C$821,0),MATCH("Latest year",'WB HCW &amp; Beds'!$C$557:$BO$557,0))</f>
        <v>2013</v>
      </c>
      <c r="I29" s="651">
        <f>INDEX('WB HCW &amp; Beds'!$C$286:$BP$561,MATCH($C29,'WB HCW &amp; Beds'!$C$286:$C$561,0),MATCH("Value",'WB HCW &amp; Beds'!$C$286:$BP$286,0))</f>
        <v>0.4</v>
      </c>
      <c r="J29" s="647" t="str">
        <f>'WB HCW &amp; Beds'!BO309</f>
        <v>No reported value</v>
      </c>
      <c r="K29" s="653">
        <f>'WB HCW &amp; Beds'!BN37</f>
        <v>6.2998000000000003</v>
      </c>
      <c r="L29" s="654">
        <f>'WB HCW &amp; Beds'!BO37</f>
        <v>2014</v>
      </c>
      <c r="M29" s="720">
        <f>IFERROR(IFERROR(INDEX('WHO GHO Data'!$AB$8:$AB$201,MATCH('HCW + Staff Summary'!$C29,'WHO GHO Data'!$C$8:$C$201,0)),INDEX('WHO GHO Data'!$AE$9:$AE$13,MATCH('HCW + Staff Summary'!$E29,'WHO GHO Data'!$AD$9:$AD$13,0))),"")</f>
        <v>0.21980423949700909</v>
      </c>
      <c r="O29" s="29">
        <f>INDEX('WB Population Data'!$D$6:$D$269,MATCH($B29,'WB Population Data'!$B$6:$B$269,0))</f>
        <v>3281000</v>
      </c>
      <c r="P29" s="30">
        <f t="shared" si="1"/>
        <v>6562.984300000001</v>
      </c>
      <c r="Q29" s="29">
        <f t="shared" si="2"/>
        <v>1312.4</v>
      </c>
      <c r="R29" s="29">
        <f>IFERROR(IFERROR(INDEX('WHO GHO Data'!$S$8:$S$201,MATCH($C29,'WHO GHO Data'!$C$8:$C$201,0)),($O29/1000*$K29)),IFERROR($O29/1000*VLOOKUP(E29,$W$9:$Y$12,3,0),0))</f>
        <v>18574.409241033653</v>
      </c>
      <c r="S29" s="30">
        <f>IFERROR(IFERROR(INDEX('WHO GHO Data'!$U$8:$U$201,MATCH($C29,'WHO GHO Data'!$C$8:$C$201,0)),INDEX('WHO GHO Data'!$AE$9:$AE$13,MATCH($E29,'WHO GHO Data'!$AD$9:$AD$13,0))*'HCW + Staff Summary'!$O29/1000),"")</f>
        <v>721.17770978968679</v>
      </c>
    </row>
    <row r="30" spans="2:19" x14ac:dyDescent="0.75">
      <c r="B30" s="43" t="s">
        <v>331</v>
      </c>
      <c r="C30" s="43" t="s">
        <v>16</v>
      </c>
      <c r="D30" s="132" t="s">
        <v>1074</v>
      </c>
      <c r="E30" s="132" t="s">
        <v>558</v>
      </c>
      <c r="F30" s="132" t="str">
        <f t="shared" si="0"/>
        <v>LMIC</v>
      </c>
      <c r="G30" s="646">
        <f>INDEX('WB HCW &amp; Beds'!$C$558:$BO$821,MATCH($C30,'WB HCW &amp; Beds'!$C$558:$C$821,0),MATCH("Latest value",'WB HCW &amp; Beds'!$C$557:$BO$557,0))</f>
        <v>4.0772000000000004</v>
      </c>
      <c r="H30" s="647">
        <f>INDEX('WB HCW &amp; Beds'!$C$558:$BO$821,MATCH($C30,'WB HCW &amp; Beds'!$C$558:$C$821,0),MATCH("Latest year",'WB HCW &amp; Beds'!$C$557:$BO$557,0))</f>
        <v>2014</v>
      </c>
      <c r="I30" s="651">
        <f>INDEX('WB HCW &amp; Beds'!$C$286:$BP$561,MATCH($C30,'WB HCW &amp; Beds'!$C$286:$C$561,0),MATCH("Value",'WB HCW &amp; Beds'!$C$286:$BP$286,0))</f>
        <v>0.4</v>
      </c>
      <c r="J30" s="647" t="str">
        <f>'WB HCW &amp; Beds'!BO310</f>
        <v>No reported value</v>
      </c>
      <c r="K30" s="653">
        <f>'WB HCW &amp; Beds'!BN38</f>
        <v>11.4383</v>
      </c>
      <c r="L30" s="654">
        <f>'WB HCW &amp; Beds'!BO38</f>
        <v>2014</v>
      </c>
      <c r="M30" s="720">
        <f>IFERROR(IFERROR(INDEX('WHO GHO Data'!$AB$8:$AB$201,MATCH('HCW + Staff Summary'!$C30,'WHO GHO Data'!$C$8:$C$201,0)),INDEX('WHO GHO Data'!$AE$9:$AE$13,MATCH('HCW + Staff Summary'!$E30,'WHO GHO Data'!$AD$9:$AD$13,0))),"")</f>
        <v>0.21980423949700909</v>
      </c>
      <c r="O30" s="29">
        <f>INDEX('WB Population Data'!$D$6:$D$269,MATCH($B30,'WB Population Data'!$B$6:$B$269,0))</f>
        <v>9448000</v>
      </c>
      <c r="P30" s="30">
        <f t="shared" si="1"/>
        <v>38521.385600000001</v>
      </c>
      <c r="Q30" s="29">
        <f t="shared" si="2"/>
        <v>3779.2000000000003</v>
      </c>
      <c r="R30" s="29">
        <f>IFERROR(IFERROR(INDEX('WHO GHO Data'!$S$8:$S$201,MATCH($C30,'WHO GHO Data'!$C$8:$C$201,0)),($O30/1000*$K30)),IFERROR($O30/1000*VLOOKUP(E30,$W$9:$Y$12,3,0),0))</f>
        <v>99077.48208502437</v>
      </c>
      <c r="S30" s="30">
        <f>IFERROR(IFERROR(INDEX('WHO GHO Data'!$U$8:$U$201,MATCH($C30,'WHO GHO Data'!$C$8:$C$201,0)),INDEX('WHO GHO Data'!$AE$9:$AE$13,MATCH($E30,'WHO GHO Data'!$AD$9:$AD$13,0))*'HCW + Staff Summary'!$O30/1000),"")</f>
        <v>2076.7104547677418</v>
      </c>
    </row>
    <row r="31" spans="2:19" x14ac:dyDescent="0.75">
      <c r="B31" s="43" t="s">
        <v>333</v>
      </c>
      <c r="C31" s="43" t="s">
        <v>17</v>
      </c>
      <c r="D31" s="132" t="s">
        <v>1075</v>
      </c>
      <c r="E31" s="132" t="s">
        <v>558</v>
      </c>
      <c r="F31" s="132" t="str">
        <f t="shared" si="0"/>
        <v>LMIC</v>
      </c>
      <c r="G31" s="646">
        <f>INDEX('WB HCW &amp; Beds'!$C$558:$BO$821,MATCH($C31,'WB HCW &amp; Beds'!$C$558:$C$821,0),MATCH("Latest value",'WB HCW &amp; Beds'!$C$557:$BO$557,0))</f>
        <v>1.1262000000000001</v>
      </c>
      <c r="H31" s="647">
        <f>INDEX('WB HCW &amp; Beds'!$C$558:$BO$821,MATCH($C31,'WB HCW &amp; Beds'!$C$558:$C$821,0),MATCH("Latest year",'WB HCW &amp; Beds'!$C$557:$BO$557,0))</f>
        <v>2017</v>
      </c>
      <c r="I31" s="651">
        <f>INDEX('WB HCW &amp; Beds'!$C$286:$BP$561,MATCH($C31,'WB HCW &amp; Beds'!$C$286:$C$561,0),MATCH("Value",'WB HCW &amp; Beds'!$C$286:$BP$286,0))</f>
        <v>0.503</v>
      </c>
      <c r="J31" s="647">
        <f>'WB HCW &amp; Beds'!BO311</f>
        <v>2009</v>
      </c>
      <c r="K31" s="653">
        <f>'WB HCW &amp; Beds'!BN39</f>
        <v>1.6947000000000001</v>
      </c>
      <c r="L31" s="654">
        <f>'WB HCW &amp; Beds'!BO39</f>
        <v>2017</v>
      </c>
      <c r="M31" s="720">
        <f>IFERROR(IFERROR(INDEX('WHO GHO Data'!$AB$8:$AB$201,MATCH('HCW + Staff Summary'!$C31,'WHO GHO Data'!$C$8:$C$201,0)),INDEX('WHO GHO Data'!$AE$9:$AE$13,MATCH('HCW + Staff Summary'!$E31,'WHO GHO Data'!$AD$9:$AD$13,0))),"")</f>
        <v>0.21980423949700909</v>
      </c>
      <c r="O31" s="29">
        <f>INDEX('WB Population Data'!$D$6:$D$269,MATCH($B31,'WB Population Data'!$B$6:$B$269,0))</f>
        <v>398000</v>
      </c>
      <c r="P31" s="30">
        <f t="shared" si="1"/>
        <v>448.22760000000005</v>
      </c>
      <c r="Q31" s="29">
        <f t="shared" si="2"/>
        <v>200.19399999999999</v>
      </c>
      <c r="R31" s="29">
        <f>IFERROR(IFERROR(INDEX('WHO GHO Data'!$S$8:$S$201,MATCH($C31,'WHO GHO Data'!$C$8:$C$201,0)),($O31/1000*$K31)),IFERROR($O31/1000*VLOOKUP(E31,$W$9:$Y$12,3,0),0))</f>
        <v>934.19263592623224</v>
      </c>
      <c r="S31" s="30">
        <f>IFERROR(IFERROR(INDEX('WHO GHO Data'!$U$8:$U$201,MATCH($C31,'WHO GHO Data'!$C$8:$C$201,0)),INDEX('WHO GHO Data'!$AE$9:$AE$13,MATCH($E31,'WHO GHO Data'!$AD$9:$AD$13,0))*'HCW + Staff Summary'!$O31/1000),"")</f>
        <v>87.482087319809608</v>
      </c>
    </row>
    <row r="32" spans="2:19" x14ac:dyDescent="0.75">
      <c r="B32" s="43" t="s">
        <v>334</v>
      </c>
      <c r="C32" s="43" t="s">
        <v>335</v>
      </c>
      <c r="D32" s="132" t="s">
        <v>1124</v>
      </c>
      <c r="E32" s="132" t="s">
        <v>411</v>
      </c>
      <c r="F32" s="132" t="str">
        <f t="shared" si="0"/>
        <v>Not LMIC</v>
      </c>
      <c r="G32" s="646">
        <f>INDEX('WB HCW &amp; Beds'!$C$558:$BO$821,MATCH($C32,'WB HCW &amp; Beds'!$C$558:$C$821,0),MATCH("Latest value",'WB HCW &amp; Beds'!$C$557:$BO$557,0))</f>
        <v>1.766</v>
      </c>
      <c r="H32" s="647">
        <f>INDEX('WB HCW &amp; Beds'!$C$558:$BO$821,MATCH($C32,'WB HCW &amp; Beds'!$C$558:$C$821,0),MATCH("Latest year",'WB HCW &amp; Beds'!$C$557:$BO$557,0))</f>
        <v>1997</v>
      </c>
      <c r="I32" s="651">
        <f>INDEX('WB HCW &amp; Beds'!$C$286:$BP$561,MATCH($C32,'WB HCW &amp; Beds'!$C$286:$C$561,0),MATCH("Value",'WB HCW &amp; Beds'!$C$286:$BP$286,0))</f>
        <v>0.4</v>
      </c>
      <c r="J32" s="647" t="str">
        <f>'WB HCW &amp; Beds'!BO312</f>
        <v>No reported value</v>
      </c>
      <c r="K32" s="653" t="str">
        <f>'WB HCW &amp; Beds'!BN40</f>
        <v>No reported value</v>
      </c>
      <c r="L32" s="654" t="str">
        <f>'WB HCW &amp; Beds'!BO40</f>
        <v>No reported value</v>
      </c>
      <c r="M32" s="720">
        <f>IFERROR(IFERROR(INDEX('WHO GHO Data'!$AB$8:$AB$201,MATCH('HCW + Staff Summary'!$C32,'WHO GHO Data'!$C$8:$C$201,0)),INDEX('WHO GHO Data'!$AE$9:$AE$13,MATCH('HCW + Staff Summary'!$E32,'WHO GHO Data'!$AD$9:$AD$13,0))),"")</f>
        <v>0.54650004528486062</v>
      </c>
      <c r="O32" s="29">
        <f>INDEX('WB Population Data'!$D$6:$D$269,MATCH($B32,'WB Population Data'!$B$6:$B$269,0))</f>
        <v>71750</v>
      </c>
      <c r="P32" s="30">
        <f t="shared" si="1"/>
        <v>126.7105</v>
      </c>
      <c r="Q32" s="29">
        <f t="shared" si="2"/>
        <v>28.700000000000003</v>
      </c>
      <c r="R32" s="29">
        <f>IFERROR(IFERROR(INDEX('WHO GHO Data'!$S$8:$S$201,MATCH($C32,'WHO GHO Data'!$C$8:$C$201,0)),($O32/1000*$K32)),IFERROR($O32/1000*VLOOKUP(E32,$W$9:$Y$12,3,0),0))</f>
        <v>565.56071551724153</v>
      </c>
      <c r="S32" s="30">
        <f>IFERROR(IFERROR(INDEX('WHO GHO Data'!$U$8:$U$201,MATCH($C32,'WHO GHO Data'!$C$8:$C$201,0)),INDEX('WHO GHO Data'!$AE$9:$AE$13,MATCH($E32,'WHO GHO Data'!$AD$9:$AD$13,0))*'HCW + Staff Summary'!$O32/1000),"")</f>
        <v>39.211378249188748</v>
      </c>
    </row>
    <row r="33" spans="2:19" x14ac:dyDescent="0.75">
      <c r="B33" s="43" t="s">
        <v>219</v>
      </c>
      <c r="C33" s="43" t="s">
        <v>18</v>
      </c>
      <c r="D33" s="132" t="s">
        <v>1075</v>
      </c>
      <c r="E33" s="132" t="s">
        <v>455</v>
      </c>
      <c r="F33" s="132" t="str">
        <f t="shared" si="0"/>
        <v>LMIC</v>
      </c>
      <c r="G33" s="646">
        <f>INDEX('WB HCW &amp; Beds'!$C$558:$BO$821,MATCH($C33,'WB HCW &amp; Beds'!$C$558:$C$821,0),MATCH("Latest value",'WB HCW &amp; Beds'!$C$557:$BO$557,0))</f>
        <v>1.6111</v>
      </c>
      <c r="H33" s="647">
        <f>INDEX('WB HCW &amp; Beds'!$C$558:$BO$821,MATCH($C33,'WB HCW &amp; Beds'!$C$558:$C$821,0),MATCH("Latest year",'WB HCW &amp; Beds'!$C$557:$BO$557,0))</f>
        <v>2016</v>
      </c>
      <c r="I33" s="651">
        <f>INDEX('WB HCW &amp; Beds'!$C$286:$BP$561,MATCH($C33,'WB HCW &amp; Beds'!$C$286:$C$561,0),MATCH("Value",'WB HCW &amp; Beds'!$C$286:$BP$286,0))</f>
        <v>0.11799999999999999</v>
      </c>
      <c r="J33" s="647">
        <f>'WB HCW &amp; Beds'!BO313</f>
        <v>2001</v>
      </c>
      <c r="K33" s="653">
        <f>'WB HCW &amp; Beds'!BN41</f>
        <v>0.73570000000000002</v>
      </c>
      <c r="L33" s="654">
        <f>'WB HCW &amp; Beds'!BO41</f>
        <v>2016</v>
      </c>
      <c r="M33" s="720">
        <f>IFERROR(IFERROR(INDEX('WHO GHO Data'!$AB$8:$AB$201,MATCH('HCW + Staff Summary'!$C33,'WHO GHO Data'!$C$8:$C$201,0)),INDEX('WHO GHO Data'!$AE$9:$AE$13,MATCH('HCW + Staff Summary'!$E33,'WHO GHO Data'!$AD$9:$AD$13,0))),"")</f>
        <v>5.4960226032448746E-2</v>
      </c>
      <c r="O33" s="29">
        <f>INDEX('WB Population Data'!$D$6:$D$269,MATCH($B33,'WB Population Data'!$B$6:$B$269,0))</f>
        <v>11673000</v>
      </c>
      <c r="P33" s="30">
        <f t="shared" si="1"/>
        <v>18806.370299999999</v>
      </c>
      <c r="Q33" s="29">
        <f t="shared" si="2"/>
        <v>1377.414</v>
      </c>
      <c r="R33" s="29">
        <f>IFERROR(IFERROR(INDEX('WHO GHO Data'!$S$8:$S$201,MATCH($C33,'WHO GHO Data'!$C$8:$C$201,0)),($O33/1000*$K33)),IFERROR($O33/1000*VLOOKUP(E33,$W$9:$Y$12,3,0),0))</f>
        <v>18236.245747250869</v>
      </c>
      <c r="S33" s="30">
        <f>IFERROR(IFERROR(INDEX('WHO GHO Data'!$U$8:$U$201,MATCH($C33,'WHO GHO Data'!$C$8:$C$201,0)),INDEX('WHO GHO Data'!$AE$9:$AE$13,MATCH($E33,'WHO GHO Data'!$AD$9:$AD$13,0))*'HCW + Staff Summary'!$O33/1000),"")</f>
        <v>641.55071847677425</v>
      </c>
    </row>
    <row r="34" spans="2:19" x14ac:dyDescent="0.75">
      <c r="B34" s="43" t="s">
        <v>337</v>
      </c>
      <c r="C34" s="43" t="s">
        <v>19</v>
      </c>
      <c r="D34" s="132" t="s">
        <v>1075</v>
      </c>
      <c r="E34" s="132" t="s">
        <v>558</v>
      </c>
      <c r="F34" s="132" t="str">
        <f t="shared" si="0"/>
        <v>LMIC</v>
      </c>
      <c r="G34" s="646">
        <f>INDEX('WB HCW &amp; Beds'!$C$558:$BO$821,MATCH($C34,'WB HCW &amp; Beds'!$C$558:$C$821,0),MATCH("Latest value",'WB HCW &amp; Beds'!$C$557:$BO$557,0))</f>
        <v>2.1499000000000001</v>
      </c>
      <c r="H34" s="647">
        <f>INDEX('WB HCW &amp; Beds'!$C$558:$BO$821,MATCH($C34,'WB HCW &amp; Beds'!$C$558:$C$821,0),MATCH("Latest year",'WB HCW &amp; Beds'!$C$557:$BO$557,0))</f>
        <v>2018</v>
      </c>
      <c r="I34" s="651">
        <f>INDEX('WB HCW &amp; Beds'!$C$286:$BP$561,MATCH($C34,'WB HCW &amp; Beds'!$C$286:$C$561,0),MATCH("Value",'WB HCW &amp; Beds'!$C$286:$BP$286,0))</f>
        <v>0.4</v>
      </c>
      <c r="J34" s="647" t="str">
        <f>'WB HCW &amp; Beds'!BO314</f>
        <v>No reported value</v>
      </c>
      <c r="K34" s="653">
        <f>'WB HCW &amp; Beds'!BN42</f>
        <v>9.7082999999999995</v>
      </c>
      <c r="L34" s="654">
        <f>'WB HCW &amp; Beds'!BO42</f>
        <v>2018</v>
      </c>
      <c r="M34" s="720">
        <f>IFERROR(IFERROR(INDEX('WHO GHO Data'!$AB$8:$AB$201,MATCH('HCW + Staff Summary'!$C34,'WHO GHO Data'!$C$8:$C$201,0)),INDEX('WHO GHO Data'!$AE$9:$AE$13,MATCH('HCW + Staff Summary'!$E34,'WHO GHO Data'!$AD$9:$AD$13,0))),"")</f>
        <v>0.21091298855025833</v>
      </c>
      <c r="O34" s="29">
        <f>INDEX('WB Population Data'!$D$6:$D$269,MATCH($B34,'WB Population Data'!$B$6:$B$269,0))</f>
        <v>212559000</v>
      </c>
      <c r="P34" s="30">
        <f t="shared" si="1"/>
        <v>456980.59410000005</v>
      </c>
      <c r="Q34" s="29">
        <f t="shared" si="2"/>
        <v>85023.6</v>
      </c>
      <c r="R34" s="29">
        <f>IFERROR(IFERROR(INDEX('WHO GHO Data'!$S$8:$S$201,MATCH($C34,'WHO GHO Data'!$C$8:$C$201,0)),($O34/1000*$K34)),IFERROR($O34/1000*VLOOKUP(E34,$W$9:$Y$12,3,0),0))</f>
        <v>2154604.5002949005</v>
      </c>
      <c r="S34" s="30">
        <f>IFERROR(IFERROR(INDEX('WHO GHO Data'!$U$8:$U$201,MATCH($C34,'WHO GHO Data'!$C$8:$C$201,0)),INDEX('WHO GHO Data'!$AE$9:$AE$13,MATCH($E34,'WHO GHO Data'!$AD$9:$AD$13,0))*'HCW + Staff Summary'!$O34/1000),"")</f>
        <v>44831.453933254365</v>
      </c>
    </row>
    <row r="35" spans="2:19" x14ac:dyDescent="0.75">
      <c r="B35" s="43" t="s">
        <v>329</v>
      </c>
      <c r="C35" s="43" t="s">
        <v>330</v>
      </c>
      <c r="D35" s="132" t="s">
        <v>1075</v>
      </c>
      <c r="E35" s="132" t="s">
        <v>411</v>
      </c>
      <c r="F35" s="132" t="str">
        <f t="shared" si="0"/>
        <v>Not LMIC</v>
      </c>
      <c r="G35" s="646">
        <f>INDEX('WB HCW &amp; Beds'!$C$558:$BO$821,MATCH($C35,'WB HCW &amp; Beds'!$C$558:$C$821,0),MATCH("Latest value",'WB HCW &amp; Beds'!$C$557:$BO$557,0))</f>
        <v>2.4885999999999999</v>
      </c>
      <c r="H35" s="647">
        <f>INDEX('WB HCW &amp; Beds'!$C$558:$BO$821,MATCH($C35,'WB HCW &amp; Beds'!$C$558:$C$821,0),MATCH("Latest year",'WB HCW &amp; Beds'!$C$557:$BO$557,0))</f>
        <v>2017</v>
      </c>
      <c r="I35" s="651">
        <f>INDEX('WB HCW &amp; Beds'!$C$286:$BP$561,MATCH($C35,'WB HCW &amp; Beds'!$C$286:$C$561,0),MATCH("Value",'WB HCW &amp; Beds'!$C$286:$BP$286,0))</f>
        <v>0.4</v>
      </c>
      <c r="J35" s="647" t="str">
        <f>'WB HCW &amp; Beds'!BO315</f>
        <v>No reported value</v>
      </c>
      <c r="K35" s="653">
        <f>'WB HCW &amp; Beds'!BN43</f>
        <v>6.0273000000000003</v>
      </c>
      <c r="L35" s="654">
        <f>'WB HCW &amp; Beds'!BO43</f>
        <v>2017</v>
      </c>
      <c r="M35" s="720">
        <f>IFERROR(IFERROR(INDEX('WHO GHO Data'!$AB$8:$AB$201,MATCH('HCW + Staff Summary'!$C35,'WHO GHO Data'!$C$8:$C$201,0)),INDEX('WHO GHO Data'!$AE$9:$AE$13,MATCH('HCW + Staff Summary'!$E35,'WHO GHO Data'!$AD$9:$AD$13,0))),"")</f>
        <v>7.1423643307032218E-3</v>
      </c>
      <c r="O35" s="29">
        <f>INDEX('WB Population Data'!$D$6:$D$269,MATCH($B35,'WB Population Data'!$B$6:$B$269,0))</f>
        <v>287000</v>
      </c>
      <c r="P35" s="30">
        <f t="shared" si="1"/>
        <v>714.22820000000002</v>
      </c>
      <c r="Q35" s="29">
        <f t="shared" si="2"/>
        <v>114.80000000000001</v>
      </c>
      <c r="R35" s="29">
        <f>IFERROR(IFERROR(INDEX('WHO GHO Data'!$S$8:$S$201,MATCH($C35,'WHO GHO Data'!$C$8:$C$201,0)),($O35/1000*$K35)),IFERROR($O35/1000*VLOOKUP(E35,$W$9:$Y$12,3,0),0))</f>
        <v>879.88405335471452</v>
      </c>
      <c r="S35" s="30">
        <f>IFERROR(IFERROR(INDEX('WHO GHO Data'!$U$8:$U$201,MATCH($C35,'WHO GHO Data'!$C$8:$C$201,0)),INDEX('WHO GHO Data'!$AE$9:$AE$13,MATCH($E35,'WHO GHO Data'!$AD$9:$AD$13,0))*'HCW + Staff Summary'!$O35/1000),"")</f>
        <v>2.0498585629118247</v>
      </c>
    </row>
    <row r="36" spans="2:19" x14ac:dyDescent="0.75">
      <c r="B36" s="43" t="s">
        <v>340</v>
      </c>
      <c r="C36" s="43" t="s">
        <v>20</v>
      </c>
      <c r="D36" s="132" t="s">
        <v>1076</v>
      </c>
      <c r="E36" s="132" t="s">
        <v>411</v>
      </c>
      <c r="F36" s="132" t="str">
        <f t="shared" si="0"/>
        <v>Not LMIC</v>
      </c>
      <c r="G36" s="646">
        <f>INDEX('WB HCW &amp; Beds'!$C$558:$BO$821,MATCH($C36,'WB HCW &amp; Beds'!$C$558:$C$821,0),MATCH("Latest value",'WB HCW &amp; Beds'!$C$557:$BO$557,0))</f>
        <v>1.7701</v>
      </c>
      <c r="H36" s="647">
        <f>INDEX('WB HCW &amp; Beds'!$C$558:$BO$821,MATCH($C36,'WB HCW &amp; Beds'!$C$558:$C$821,0),MATCH("Latest year",'WB HCW &amp; Beds'!$C$557:$BO$557,0))</f>
        <v>2015</v>
      </c>
      <c r="I36" s="651">
        <f>INDEX('WB HCW &amp; Beds'!$C$286:$BP$561,MATCH($C36,'WB HCW &amp; Beds'!$C$286:$C$561,0),MATCH("Value",'WB HCW &amp; Beds'!$C$286:$BP$286,0))</f>
        <v>0.4</v>
      </c>
      <c r="J36" s="647" t="str">
        <f>'WB HCW &amp; Beds'!BO316</f>
        <v>No reported value</v>
      </c>
      <c r="K36" s="653">
        <f>'WB HCW &amp; Beds'!BN44</f>
        <v>6.6012000000000004</v>
      </c>
      <c r="L36" s="654">
        <f>'WB HCW &amp; Beds'!BO44</f>
        <v>2015</v>
      </c>
      <c r="M36" s="720">
        <f>IFERROR(IFERROR(INDEX('WHO GHO Data'!$AB$8:$AB$201,MATCH('HCW + Staff Summary'!$C36,'WHO GHO Data'!$C$8:$C$201,0)),INDEX('WHO GHO Data'!$AE$9:$AE$13,MATCH('HCW + Staff Summary'!$E36,'WHO GHO Data'!$AD$9:$AD$13,0))),"")</f>
        <v>0.33968953552613512</v>
      </c>
      <c r="O36" s="29">
        <f>INDEX('WB Population Data'!$D$6:$D$269,MATCH($B36,'WB Population Data'!$B$6:$B$269,0))</f>
        <v>437000</v>
      </c>
      <c r="P36" s="30">
        <f t="shared" si="1"/>
        <v>773.53369999999995</v>
      </c>
      <c r="Q36" s="29">
        <f t="shared" si="2"/>
        <v>174.8</v>
      </c>
      <c r="R36" s="29">
        <f>IFERROR(IFERROR(INDEX('WHO GHO Data'!$S$8:$S$201,MATCH($C36,'WHO GHO Data'!$C$8:$C$201,0)),($O36/1000*$K36)),IFERROR($O36/1000*VLOOKUP(E36,$W$9:$Y$12,3,0),0))</f>
        <v>2589.9700915995677</v>
      </c>
      <c r="S36" s="30">
        <f>IFERROR(IFERROR(INDEX('WHO GHO Data'!$U$8:$U$201,MATCH($C36,'WHO GHO Data'!$C$8:$C$201,0)),INDEX('WHO GHO Data'!$AE$9:$AE$13,MATCH($E36,'WHO GHO Data'!$AD$9:$AD$13,0))*'HCW + Staff Summary'!$O36/1000),"")</f>
        <v>148.44432702492105</v>
      </c>
    </row>
    <row r="37" spans="2:19" x14ac:dyDescent="0.75">
      <c r="B37" s="43" t="s">
        <v>241</v>
      </c>
      <c r="C37" s="43" t="s">
        <v>21</v>
      </c>
      <c r="D37" s="132" t="s">
        <v>1077</v>
      </c>
      <c r="E37" s="132" t="s">
        <v>455</v>
      </c>
      <c r="F37" s="132" t="str">
        <f t="shared" si="0"/>
        <v>LMIC</v>
      </c>
      <c r="G37" s="646">
        <f>INDEX('WB HCW &amp; Beds'!$C$558:$BO$821,MATCH($C37,'WB HCW &amp; Beds'!$C$558:$C$821,0),MATCH("Latest value",'WB HCW &amp; Beds'!$C$557:$BO$557,0))</f>
        <v>0.3715</v>
      </c>
      <c r="H37" s="647">
        <f>INDEX('WB HCW &amp; Beds'!$C$558:$BO$821,MATCH($C37,'WB HCW &amp; Beds'!$C$558:$C$821,0),MATCH("Latest year",'WB HCW &amp; Beds'!$C$557:$BO$557,0))</f>
        <v>2017</v>
      </c>
      <c r="I37" s="651">
        <f>INDEX('WB HCW &amp; Beds'!$C$286:$BP$561,MATCH($C37,'WB HCW &amp; Beds'!$C$286:$C$561,0),MATCH("Value",'WB HCW &amp; Beds'!$C$286:$BP$286,0))</f>
        <v>6.9000000000000006E-2</v>
      </c>
      <c r="J37" s="647">
        <f>'WB HCW &amp; Beds'!BO317</f>
        <v>2016</v>
      </c>
      <c r="K37" s="653">
        <f>'WB HCW &amp; Beds'!BN45</f>
        <v>1.5094000000000001</v>
      </c>
      <c r="L37" s="654">
        <f>'WB HCW &amp; Beds'!BO45</f>
        <v>2017</v>
      </c>
      <c r="M37" s="720">
        <f>IFERROR(IFERROR(INDEX('WHO GHO Data'!$AB$8:$AB$201,MATCH('HCW + Staff Summary'!$C37,'WHO GHO Data'!$C$8:$C$201,0)),INDEX('WHO GHO Data'!$AE$9:$AE$13,MATCH('HCW + Staff Summary'!$E37,'WHO GHO Data'!$AD$9:$AD$13,0))),"")</f>
        <v>0.504175029351698</v>
      </c>
      <c r="O37" s="29">
        <f>INDEX('WB Population Data'!$D$6:$D$269,MATCH($B37,'WB Population Data'!$B$6:$B$269,0))</f>
        <v>772000</v>
      </c>
      <c r="P37" s="30">
        <f t="shared" si="1"/>
        <v>286.798</v>
      </c>
      <c r="Q37" s="29">
        <f t="shared" si="2"/>
        <v>53.268000000000008</v>
      </c>
      <c r="R37" s="29">
        <f>IFERROR(IFERROR(INDEX('WHO GHO Data'!$S$8:$S$201,MATCH($C37,'WHO GHO Data'!$C$8:$C$201,0)),($O37/1000*$K37)),IFERROR($O37/1000*VLOOKUP(E37,$W$9:$Y$12,3,0),0))</f>
        <v>1430.9071114614123</v>
      </c>
      <c r="S37" s="30">
        <f>IFERROR(IFERROR(INDEX('WHO GHO Data'!$U$8:$U$201,MATCH($C37,'WHO GHO Data'!$C$8:$C$201,0)),INDEX('WHO GHO Data'!$AE$9:$AE$13,MATCH($E37,'WHO GHO Data'!$AD$9:$AD$13,0))*'HCW + Staff Summary'!$O37/1000),"")</f>
        <v>389.22312265951086</v>
      </c>
    </row>
    <row r="38" spans="2:19" x14ac:dyDescent="0.75">
      <c r="B38" s="43" t="s">
        <v>184</v>
      </c>
      <c r="C38" s="43" t="s">
        <v>22</v>
      </c>
      <c r="D38" s="132" t="s">
        <v>1073</v>
      </c>
      <c r="E38" s="132" t="s">
        <v>558</v>
      </c>
      <c r="F38" s="132" t="str">
        <f t="shared" si="0"/>
        <v>LMIC</v>
      </c>
      <c r="G38" s="646">
        <f>INDEX('WB HCW &amp; Beds'!$C$558:$BO$821,MATCH($C38,'WB HCW &amp; Beds'!$C$558:$C$821,0),MATCH("Latest value",'WB HCW &amp; Beds'!$C$557:$BO$557,0))</f>
        <v>0.36880000000000002</v>
      </c>
      <c r="H38" s="647">
        <f>INDEX('WB HCW &amp; Beds'!$C$558:$BO$821,MATCH($C38,'WB HCW &amp; Beds'!$C$558:$C$821,0),MATCH("Latest year",'WB HCW &amp; Beds'!$C$557:$BO$557,0))</f>
        <v>2016</v>
      </c>
      <c r="I38" s="651">
        <f>INDEX('WB HCW &amp; Beds'!$C$286:$BP$561,MATCH($C38,'WB HCW &amp; Beds'!$C$286:$C$561,0),MATCH("Value",'WB HCW &amp; Beds'!$C$286:$BP$286,0))</f>
        <v>8.3000000000000004E-2</v>
      </c>
      <c r="J38" s="647">
        <f>'WB HCW &amp; Beds'!BO318</f>
        <v>2009</v>
      </c>
      <c r="K38" s="653">
        <f>'WB HCW &amp; Beds'!BN46</f>
        <v>3.3003999999999998</v>
      </c>
      <c r="L38" s="654">
        <f>'WB HCW &amp; Beds'!BO46</f>
        <v>2016</v>
      </c>
      <c r="M38" s="720">
        <f>IFERROR(IFERROR(INDEX('WHO GHO Data'!$AB$8:$AB$201,MATCH('HCW + Staff Summary'!$C38,'WHO GHO Data'!$C$8:$C$201,0)),INDEX('WHO GHO Data'!$AE$9:$AE$13,MATCH('HCW + Staff Summary'!$E38,'WHO GHO Data'!$AD$9:$AD$13,0))),"")</f>
        <v>0.16358577401676239</v>
      </c>
      <c r="O38" s="29">
        <f>INDEX('WB Population Data'!$D$6:$D$269,MATCH($B38,'WB Population Data'!$B$6:$B$269,0))</f>
        <v>2352000</v>
      </c>
      <c r="P38" s="30">
        <f t="shared" si="1"/>
        <v>867.41759999999999</v>
      </c>
      <c r="Q38" s="29">
        <f t="shared" si="2"/>
        <v>195.21600000000001</v>
      </c>
      <c r="R38" s="29">
        <f>IFERROR(IFERROR(INDEX('WHO GHO Data'!$S$8:$S$201,MATCH($C38,'WHO GHO Data'!$C$8:$C$201,0)),($O38/1000*$K38)),IFERROR($O38/1000*VLOOKUP(E38,$W$9:$Y$12,3,0),0))</f>
        <v>12615.568566790897</v>
      </c>
      <c r="S38" s="30">
        <f>IFERROR(IFERROR(INDEX('WHO GHO Data'!$U$8:$U$201,MATCH($C38,'WHO GHO Data'!$C$8:$C$201,0)),INDEX('WHO GHO Data'!$AE$9:$AE$13,MATCH($E38,'WHO GHO Data'!$AD$9:$AD$13,0))*'HCW + Staff Summary'!$O38/1000),"")</f>
        <v>384.75374048742515</v>
      </c>
    </row>
    <row r="39" spans="2:19" x14ac:dyDescent="0.75">
      <c r="B39" s="43" t="s">
        <v>188</v>
      </c>
      <c r="C39" s="43" t="s">
        <v>173</v>
      </c>
      <c r="D39" s="132" t="s">
        <v>1073</v>
      </c>
      <c r="E39" s="132" t="s">
        <v>453</v>
      </c>
      <c r="F39" s="132" t="str">
        <f t="shared" si="0"/>
        <v>LMIC</v>
      </c>
      <c r="G39" s="646">
        <f>INDEX('WB HCW &amp; Beds'!$C$558:$BO$821,MATCH($C39,'WB HCW &amp; Beds'!$C$558:$C$821,0),MATCH("Latest value",'WB HCW &amp; Beds'!$C$557:$BO$557,0))</f>
        <v>6.2899999999999998E-2</v>
      </c>
      <c r="H39" s="647">
        <f>INDEX('WB HCW &amp; Beds'!$C$558:$BO$821,MATCH($C39,'WB HCW &amp; Beds'!$C$558:$C$821,0),MATCH("Latest year",'WB HCW &amp; Beds'!$C$557:$BO$557,0))</f>
        <v>2015</v>
      </c>
      <c r="I39" s="651">
        <f>INDEX('WB HCW &amp; Beds'!$C$286:$BP$561,MATCH($C39,'WB HCW &amp; Beds'!$C$286:$C$561,0),MATCH("Value",'WB HCW &amp; Beds'!$C$286:$BP$286,0))</f>
        <v>0.39300000000000002</v>
      </c>
      <c r="J39" s="647">
        <f>'WB HCW &amp; Beds'!BO319</f>
        <v>2009</v>
      </c>
      <c r="K39" s="653">
        <f>'WB HCW &amp; Beds'!BN47</f>
        <v>0.2039</v>
      </c>
      <c r="L39" s="654">
        <f>'WB HCW &amp; Beds'!BO47</f>
        <v>2015</v>
      </c>
      <c r="M39" s="720">
        <f>IFERROR(IFERROR(INDEX('WHO GHO Data'!$AB$8:$AB$201,MATCH('HCW + Staff Summary'!$C39,'WHO GHO Data'!$C$8:$C$201,0)),INDEX('WHO GHO Data'!$AE$9:$AE$13,MATCH('HCW + Staff Summary'!$E39,'WHO GHO Data'!$AD$9:$AD$13,0))),"")</f>
        <v>9.1981441605558968E-3</v>
      </c>
      <c r="O39" s="29">
        <f>INDEX('WB Population Data'!$D$6:$D$269,MATCH($B39,'WB Population Data'!$B$6:$B$269,0))</f>
        <v>4830000</v>
      </c>
      <c r="P39" s="30">
        <f t="shared" si="1"/>
        <v>303.80700000000002</v>
      </c>
      <c r="Q39" s="29">
        <f t="shared" si="2"/>
        <v>1898.19</v>
      </c>
      <c r="R39" s="29">
        <f>IFERROR(IFERROR(INDEX('WHO GHO Data'!$S$8:$S$201,MATCH($C39,'WHO GHO Data'!$C$8:$C$201,0)),($O39/1000*$K39)),IFERROR($O39/1000*VLOOKUP(E39,$W$9:$Y$12,3,0),0))</f>
        <v>337.73603075350144</v>
      </c>
      <c r="S39" s="30">
        <f>IFERROR(IFERROR(INDEX('WHO GHO Data'!$U$8:$U$201,MATCH($C39,'WHO GHO Data'!$C$8:$C$201,0)),INDEX('WHO GHO Data'!$AE$9:$AE$13,MATCH($E39,'WHO GHO Data'!$AD$9:$AD$13,0))*'HCW + Staff Summary'!$O39/1000),"")</f>
        <v>44.427036295484982</v>
      </c>
    </row>
    <row r="40" spans="2:19" x14ac:dyDescent="0.75">
      <c r="B40" s="43" t="s">
        <v>343</v>
      </c>
      <c r="C40" s="43" t="s">
        <v>159</v>
      </c>
      <c r="D40" s="132" t="s">
        <v>1075</v>
      </c>
      <c r="E40" s="132" t="s">
        <v>411</v>
      </c>
      <c r="F40" s="132" t="str">
        <f t="shared" si="0"/>
        <v>Not LMIC</v>
      </c>
      <c r="G40" s="646">
        <f>INDEX('WB HCW &amp; Beds'!$C$558:$BO$821,MATCH($C40,'WB HCW &amp; Beds'!$C$558:$C$821,0),MATCH("Latest value",'WB HCW &amp; Beds'!$C$557:$BO$557,0))</f>
        <v>2.6101999999999999</v>
      </c>
      <c r="H40" s="647">
        <f>INDEX('WB HCW &amp; Beds'!$C$558:$BO$821,MATCH($C40,'WB HCW &amp; Beds'!$C$558:$C$821,0),MATCH("Latest year",'WB HCW &amp; Beds'!$C$557:$BO$557,0))</f>
        <v>2017</v>
      </c>
      <c r="I40" s="651">
        <f>INDEX('WB HCW &amp; Beds'!$C$286:$BP$561,MATCH($C40,'WB HCW &amp; Beds'!$C$286:$C$561,0),MATCH("Value",'WB HCW &amp; Beds'!$C$286:$BP$286,0))</f>
        <v>0.4</v>
      </c>
      <c r="J40" s="647" t="str">
        <f>'WB HCW &amp; Beds'!BO320</f>
        <v>No reported value</v>
      </c>
      <c r="K40" s="653">
        <f>'WB HCW &amp; Beds'!BN48</f>
        <v>9.9055999999999997</v>
      </c>
      <c r="L40" s="654">
        <f>'WB HCW &amp; Beds'!BO48</f>
        <v>2016</v>
      </c>
      <c r="M40" s="720">
        <f>IFERROR(IFERROR(INDEX('WHO GHO Data'!$AB$8:$AB$201,MATCH('HCW + Staff Summary'!$C40,'WHO GHO Data'!$C$8:$C$201,0)),INDEX('WHO GHO Data'!$AE$9:$AE$13,MATCH('HCW + Staff Summary'!$E40,'WHO GHO Data'!$AD$9:$AD$13,0))),"")</f>
        <v>0.54650004528486062</v>
      </c>
      <c r="O40" s="29">
        <f>INDEX('WB Population Data'!$D$6:$D$269,MATCH($B40,'WB Population Data'!$B$6:$B$269,0))</f>
        <v>37684000</v>
      </c>
      <c r="P40" s="30">
        <f t="shared" si="1"/>
        <v>98362.776799999992</v>
      </c>
      <c r="Q40" s="29">
        <f t="shared" si="2"/>
        <v>15073.6</v>
      </c>
      <c r="R40" s="29">
        <f>IFERROR(IFERROR(INDEX('WHO GHO Data'!$S$8:$S$201,MATCH($C40,'WHO GHO Data'!$C$8:$C$201,0)),($O40/1000*$K40)),IFERROR($O40/1000*VLOOKUP(E40,$W$9:$Y$12,3,0),0))</f>
        <v>376788.20375949919</v>
      </c>
      <c r="S40" s="30">
        <f>IFERROR(IFERROR(INDEX('WHO GHO Data'!$U$8:$U$201,MATCH($C40,'WHO GHO Data'!$C$8:$C$201,0)),INDEX('WHO GHO Data'!$AE$9:$AE$13,MATCH($E40,'WHO GHO Data'!$AD$9:$AD$13,0))*'HCW + Staff Summary'!$O40/1000),"")</f>
        <v>20594.307706514686</v>
      </c>
    </row>
    <row r="41" spans="2:19" x14ac:dyDescent="0.75">
      <c r="B41" s="43" t="s">
        <v>348</v>
      </c>
      <c r="C41" s="43" t="s">
        <v>349</v>
      </c>
      <c r="D41" s="132" t="s">
        <v>1124</v>
      </c>
      <c r="E41" s="132" t="s">
        <v>750</v>
      </c>
      <c r="F41" s="132" t="str">
        <f t="shared" si="0"/>
        <v>Not LMIC</v>
      </c>
      <c r="G41" s="646">
        <f>INDEX('WB HCW &amp; Beds'!$C$558:$BO$821,MATCH($C41,'WB HCW &amp; Beds'!$C$558:$C$821,0),MATCH("Latest value",'WB HCW &amp; Beds'!$C$557:$BO$557,0))</f>
        <v>2.8807160689176738</v>
      </c>
      <c r="H41" s="647">
        <f>INDEX('WB HCW &amp; Beds'!$C$558:$BO$821,MATCH($C41,'WB HCW &amp; Beds'!$C$558:$C$821,0),MATCH("Latest year",'WB HCW &amp; Beds'!$C$557:$BO$557,0))</f>
        <v>2015</v>
      </c>
      <c r="I41" s="651">
        <f>INDEX('WB HCW &amp; Beds'!$C$286:$BP$561,MATCH($C41,'WB HCW &amp; Beds'!$C$286:$C$561,0),MATCH("Value",'WB HCW &amp; Beds'!$C$286:$BP$286,0))</f>
        <v>0.4</v>
      </c>
      <c r="J41" s="647" t="str">
        <f>'WB HCW &amp; Beds'!BO321</f>
        <v>No reported value</v>
      </c>
      <c r="K41" s="653">
        <f>'WB HCW &amp; Beds'!BN49</f>
        <v>6.538384862419675</v>
      </c>
      <c r="L41" s="654">
        <f>'WB HCW &amp; Beds'!BO49</f>
        <v>2015</v>
      </c>
      <c r="M41" s="720" t="str">
        <f>IFERROR(IFERROR(INDEX('WHO GHO Data'!$AB$8:$AB$201,MATCH('HCW + Staff Summary'!$C41,'WHO GHO Data'!$C$8:$C$201,0)),INDEX('WHO GHO Data'!$AE$9:$AE$13,MATCH('HCW + Staff Summary'!$E41,'WHO GHO Data'!$AD$9:$AD$13,0))),"")</f>
        <v/>
      </c>
      <c r="O41" s="29">
        <f>INDEX('WB Population Data'!$D$6:$D$269,MATCH($B41,'WB Population Data'!$B$6:$B$269,0))</f>
        <v>101847000</v>
      </c>
      <c r="P41" s="30">
        <f t="shared" si="1"/>
        <v>0</v>
      </c>
      <c r="Q41" s="29">
        <f t="shared" si="2"/>
        <v>40738.800000000003</v>
      </c>
      <c r="R41" s="29">
        <f>IFERROR(IFERROR(INDEX('WHO GHO Data'!$S$8:$S$201,MATCH($C41,'WHO GHO Data'!$C$8:$C$201,0)),($O41/1000*$K41)),IFERROR($O41/1000*VLOOKUP(E41,$W$9:$Y$12,3,0),0))</f>
        <v>665914.88308285666</v>
      </c>
      <c r="S41" s="30" t="str">
        <f>IFERROR(IFERROR(INDEX('WHO GHO Data'!$U$8:$U$201,MATCH($C41,'WHO GHO Data'!$C$8:$C$201,0)),INDEX('WHO GHO Data'!$AE$9:$AE$13,MATCH($E41,'WHO GHO Data'!$AD$9:$AD$13,0))*'HCW + Staff Summary'!$O41/1000),"")</f>
        <v/>
      </c>
    </row>
    <row r="42" spans="2:19" x14ac:dyDescent="0.75">
      <c r="B42" s="43" t="s">
        <v>545</v>
      </c>
      <c r="C42" s="43" t="s">
        <v>23</v>
      </c>
      <c r="D42" s="132" t="s">
        <v>1074</v>
      </c>
      <c r="E42" s="132" t="s">
        <v>411</v>
      </c>
      <c r="F42" s="132" t="str">
        <f t="shared" si="0"/>
        <v>Not LMIC</v>
      </c>
      <c r="G42" s="646">
        <f>INDEX('WB HCW &amp; Beds'!$C$558:$BO$821,MATCH($C42,'WB HCW &amp; Beds'!$C$558:$C$821,0),MATCH("Latest value",'WB HCW &amp; Beds'!$C$557:$BO$557,0))</f>
        <v>4.2363</v>
      </c>
      <c r="H42" s="647">
        <f>INDEX('WB HCW &amp; Beds'!$C$558:$BO$821,MATCH($C42,'WB HCW &amp; Beds'!$C$558:$C$821,0),MATCH("Latest year",'WB HCW &amp; Beds'!$C$557:$BO$557,0))</f>
        <v>2016</v>
      </c>
      <c r="I42" s="651">
        <f>INDEX('WB HCW &amp; Beds'!$C$286:$BP$561,MATCH($C42,'WB HCW &amp; Beds'!$C$286:$C$561,0),MATCH("Value",'WB HCW &amp; Beds'!$C$286:$BP$286,0))</f>
        <v>0.4</v>
      </c>
      <c r="J42" s="647" t="str">
        <f>'WB HCW &amp; Beds'!BO322</f>
        <v>No reported value</v>
      </c>
      <c r="K42" s="653">
        <f>'WB HCW &amp; Beds'!BN50</f>
        <v>17.282800000000002</v>
      </c>
      <c r="L42" s="654">
        <f>'WB HCW &amp; Beds'!BO50</f>
        <v>2016</v>
      </c>
      <c r="M42" s="720">
        <f>IFERROR(IFERROR(INDEX('WHO GHO Data'!$AB$8:$AB$201,MATCH('HCW + Staff Summary'!$C42,'WHO GHO Data'!$C$8:$C$201,0)),INDEX('WHO GHO Data'!$AE$9:$AE$13,MATCH('HCW + Staff Summary'!$E42,'WHO GHO Data'!$AD$9:$AD$13,0))),"")</f>
        <v>0.54650004528486062</v>
      </c>
      <c r="O42" s="29">
        <f>INDEX('WB Population Data'!$D$6:$D$269,MATCH($B42,'WB Population Data'!$B$6:$B$269,0))</f>
        <v>8641000</v>
      </c>
      <c r="P42" s="30">
        <f t="shared" si="1"/>
        <v>36605.868300000002</v>
      </c>
      <c r="Q42" s="29">
        <f t="shared" si="2"/>
        <v>3456.4</v>
      </c>
      <c r="R42" s="29">
        <f>IFERROR(IFERROR(INDEX('WHO GHO Data'!$S$8:$S$201,MATCH($C42,'WHO GHO Data'!$C$8:$C$201,0)),($O42/1000*$K42)),IFERROR($O42/1000*VLOOKUP(E42,$W$9:$Y$12,3,0),0))</f>
        <v>150144.26850396799</v>
      </c>
      <c r="S42" s="30">
        <f>IFERROR(IFERROR(INDEX('WHO GHO Data'!$U$8:$U$201,MATCH($C42,'WHO GHO Data'!$C$8:$C$201,0)),INDEX('WHO GHO Data'!$AE$9:$AE$13,MATCH($E42,'WHO GHO Data'!$AD$9:$AD$13,0))*'HCW + Staff Summary'!$O42/1000),"")</f>
        <v>4722.3068913064808</v>
      </c>
    </row>
    <row r="43" spans="2:19" x14ac:dyDescent="0.75">
      <c r="B43" s="43" t="s">
        <v>350</v>
      </c>
      <c r="C43" s="43" t="s">
        <v>351</v>
      </c>
      <c r="D43" s="132" t="s">
        <v>1124</v>
      </c>
      <c r="E43" s="132" t="s">
        <v>411</v>
      </c>
      <c r="F43" s="132" t="str">
        <f t="shared" si="0"/>
        <v>Not LMIC</v>
      </c>
      <c r="G43" s="646">
        <f>INDEX('WB HCW &amp; Beds'!$C$558:$BO$821,MATCH($C43,'WB HCW &amp; Beds'!$C$558:$C$821,0),MATCH("Latest value",'WB HCW &amp; Beds'!$C$557:$BO$557,0))</f>
        <v>1.522</v>
      </c>
      <c r="H43" s="647">
        <f>INDEX('WB HCW &amp; Beds'!$C$558:$BO$821,MATCH($C43,'WB HCW &amp; Beds'!$C$558:$C$821,0),MATCH("Latest year",'WB HCW &amp; Beds'!$C$557:$BO$557,0))</f>
        <v>1981</v>
      </c>
      <c r="I43" s="651">
        <f>INDEX('WB HCW &amp; Beds'!$C$286:$BP$561,MATCH($C43,'WB HCW &amp; Beds'!$C$286:$C$561,0),MATCH("Value",'WB HCW &amp; Beds'!$C$286:$BP$286,0))</f>
        <v>0.4</v>
      </c>
      <c r="J43" s="647" t="str">
        <f>'WB HCW &amp; Beds'!BO323</f>
        <v>No reported value</v>
      </c>
      <c r="K43" s="653" t="str">
        <f>'WB HCW &amp; Beds'!BN51</f>
        <v>No reported value</v>
      </c>
      <c r="L43" s="654" t="str">
        <f>'WB HCW &amp; Beds'!BO51</f>
        <v>No reported value</v>
      </c>
      <c r="M43" s="720">
        <f>IFERROR(IFERROR(INDEX('WHO GHO Data'!$AB$8:$AB$201,MATCH('HCW + Staff Summary'!$C43,'WHO GHO Data'!$C$8:$C$201,0)),INDEX('WHO GHO Data'!$AE$9:$AE$13,MATCH('HCW + Staff Summary'!$E43,'WHO GHO Data'!$AD$9:$AD$13,0))),"")</f>
        <v>0.54650004528486062</v>
      </c>
      <c r="O43" s="29">
        <f>INDEX('WB Population Data'!$D$6:$D$269,MATCH($B43,'WB Population Data'!$B$6:$B$269,0))</f>
        <v>174000</v>
      </c>
      <c r="P43" s="30">
        <f t="shared" si="1"/>
        <v>264.82800000000003</v>
      </c>
      <c r="Q43" s="29">
        <f t="shared" si="2"/>
        <v>69.600000000000009</v>
      </c>
      <c r="R43" s="29">
        <f>IFERROR(IFERROR(INDEX('WHO GHO Data'!$S$8:$S$201,MATCH($C43,'WHO GHO Data'!$C$8:$C$201,0)),($O43/1000*$K43)),IFERROR($O43/1000*VLOOKUP(E43,$W$9:$Y$12,3,0),0))</f>
        <v>1371.5340000000003</v>
      </c>
      <c r="S43" s="30">
        <f>IFERROR(IFERROR(INDEX('WHO GHO Data'!$U$8:$U$201,MATCH($C43,'WHO GHO Data'!$C$8:$C$201,0)),INDEX('WHO GHO Data'!$AE$9:$AE$13,MATCH($E43,'WHO GHO Data'!$AD$9:$AD$13,0))*'HCW + Staff Summary'!$O43/1000),"")</f>
        <v>95.091007879565751</v>
      </c>
    </row>
    <row r="44" spans="2:19" x14ac:dyDescent="0.75">
      <c r="B44" s="43" t="s">
        <v>220</v>
      </c>
      <c r="C44" s="43" t="s">
        <v>24</v>
      </c>
      <c r="D44" s="132" t="s">
        <v>1075</v>
      </c>
      <c r="E44" s="132" t="s">
        <v>411</v>
      </c>
      <c r="F44" s="132" t="str">
        <f t="shared" si="0"/>
        <v>Not LMIC</v>
      </c>
      <c r="G44" s="646">
        <f>INDEX('WB HCW &amp; Beds'!$C$558:$BO$821,MATCH($C44,'WB HCW &amp; Beds'!$C$558:$C$821,0),MATCH("Latest value",'WB HCW &amp; Beds'!$C$557:$BO$557,0))</f>
        <v>1.08</v>
      </c>
      <c r="H44" s="647">
        <f>INDEX('WB HCW &amp; Beds'!$C$558:$BO$821,MATCH($C44,'WB HCW &amp; Beds'!$C$558:$C$821,0),MATCH("Latest year",'WB HCW &amp; Beds'!$C$557:$BO$557,0))</f>
        <v>1995</v>
      </c>
      <c r="I44" s="651">
        <f>INDEX('WB HCW &amp; Beds'!$C$286:$BP$561,MATCH($C44,'WB HCW &amp; Beds'!$C$286:$C$561,0),MATCH("Value",'WB HCW &amp; Beds'!$C$286:$BP$286,0))</f>
        <v>2.1000000000000001E-2</v>
      </c>
      <c r="J44" s="647">
        <f>'WB HCW &amp; Beds'!BO324</f>
        <v>1992</v>
      </c>
      <c r="K44" s="653">
        <f>'WB HCW &amp; Beds'!BN52</f>
        <v>0.86</v>
      </c>
      <c r="L44" s="654">
        <f>'WB HCW &amp; Beds'!BO52</f>
        <v>2016</v>
      </c>
      <c r="M44" s="720">
        <f>IFERROR(IFERROR(INDEX('WHO GHO Data'!$AB$8:$AB$201,MATCH('HCW + Staff Summary'!$C44,'WHO GHO Data'!$C$8:$C$201,0)),INDEX('WHO GHO Data'!$AE$9:$AE$13,MATCH('HCW + Staff Summary'!$E44,'WHO GHO Data'!$AD$9:$AD$13,0))),"")</f>
        <v>1.7441175230037051E-3</v>
      </c>
      <c r="O44" s="29">
        <f>INDEX('WB Population Data'!$D$6:$D$269,MATCH($B44,'WB Population Data'!$B$6:$B$269,0))</f>
        <v>19116000</v>
      </c>
      <c r="P44" s="30">
        <f t="shared" si="1"/>
        <v>20645.280000000002</v>
      </c>
      <c r="Q44" s="29">
        <f t="shared" si="2"/>
        <v>401.43600000000004</v>
      </c>
      <c r="R44" s="29">
        <f>IFERROR(IFERROR(INDEX('WHO GHO Data'!$S$8:$S$201,MATCH($C44,'WHO GHO Data'!$C$8:$C$201,0)),($O44/1000*$K44)),IFERROR($O44/1000*VLOOKUP(E44,$W$9:$Y$12,3,0),0))</f>
        <v>242499.39864735951</v>
      </c>
      <c r="S44" s="30">
        <f>IFERROR(IFERROR(INDEX('WHO GHO Data'!$U$8:$U$201,MATCH($C44,'WHO GHO Data'!$C$8:$C$201,0)),INDEX('WHO GHO Data'!$AE$9:$AE$13,MATCH($E44,'WHO GHO Data'!$AD$9:$AD$13,0))*'HCW + Staff Summary'!$O44/1000),"")</f>
        <v>33.340550569738824</v>
      </c>
    </row>
    <row r="45" spans="2:19" x14ac:dyDescent="0.75">
      <c r="B45" s="43" t="s">
        <v>352</v>
      </c>
      <c r="C45" s="43" t="s">
        <v>25</v>
      </c>
      <c r="D45" s="132" t="s">
        <v>1076</v>
      </c>
      <c r="E45" s="132" t="s">
        <v>558</v>
      </c>
      <c r="F45" s="132" t="str">
        <f t="shared" si="0"/>
        <v>LMIC</v>
      </c>
      <c r="G45" s="646">
        <f>INDEX('WB HCW &amp; Beds'!$C$558:$BO$821,MATCH($C45,'WB HCW &amp; Beds'!$C$558:$C$821,0),MATCH("Latest value",'WB HCW &amp; Beds'!$C$557:$BO$557,0))</f>
        <v>1.7855000000000001</v>
      </c>
      <c r="H45" s="647">
        <f>INDEX('WB HCW &amp; Beds'!$C$558:$BO$821,MATCH($C45,'WB HCW &amp; Beds'!$C$558:$C$821,0),MATCH("Latest year",'WB HCW &amp; Beds'!$C$557:$BO$557,0))</f>
        <v>2015</v>
      </c>
      <c r="I45" s="651">
        <f>INDEX('WB HCW &amp; Beds'!$C$286:$BP$561,MATCH($C45,'WB HCW &amp; Beds'!$C$286:$C$561,0),MATCH("Value",'WB HCW &amp; Beds'!$C$286:$BP$286,0))</f>
        <v>0.83099999999999996</v>
      </c>
      <c r="J45" s="647">
        <f>'WB HCW &amp; Beds'!BO325</f>
        <v>2011</v>
      </c>
      <c r="K45" s="653">
        <f>'WB HCW &amp; Beds'!BN53</f>
        <v>2.3073000000000001</v>
      </c>
      <c r="L45" s="654">
        <f>'WB HCW &amp; Beds'!BO53</f>
        <v>2015</v>
      </c>
      <c r="M45" s="720">
        <f>IFERROR(IFERROR(INDEX('WHO GHO Data'!$AB$8:$AB$201,MATCH('HCW + Staff Summary'!$C45,'WHO GHO Data'!$C$8:$C$201,0)),INDEX('WHO GHO Data'!$AE$9:$AE$13,MATCH('HCW + Staff Summary'!$E45,'WHO GHO Data'!$AD$9:$AD$13,0))),"")</f>
        <v>0.17319075886705185</v>
      </c>
      <c r="O45" s="29">
        <f>INDEX('WB Population Data'!$D$6:$D$269,MATCH($B45,'WB Population Data'!$B$6:$B$269,0))</f>
        <v>1401379000</v>
      </c>
      <c r="P45" s="30">
        <f t="shared" si="1"/>
        <v>2502162.2045</v>
      </c>
      <c r="Q45" s="29">
        <f t="shared" si="2"/>
        <v>1164545.949</v>
      </c>
      <c r="R45" s="29">
        <f>IFERROR(IFERROR(INDEX('WHO GHO Data'!$S$8:$S$201,MATCH($C45,'WHO GHO Data'!$C$8:$C$201,0)),($O45/1000*$K45)),IFERROR($O45/1000*VLOOKUP(E45,$W$9:$Y$12,3,0),0))</f>
        <v>3863002.8796391767</v>
      </c>
      <c r="S45" s="30">
        <f>IFERROR(IFERROR(INDEX('WHO GHO Data'!$U$8:$U$201,MATCH($C45,'WHO GHO Data'!$C$8:$C$201,0)),INDEX('WHO GHO Data'!$AE$9:$AE$13,MATCH($E45,'WHO GHO Data'!$AD$9:$AD$13,0))*'HCW + Staff Summary'!$O45/1000),"")</f>
        <v>242705.89247035026</v>
      </c>
    </row>
    <row r="46" spans="2:19" x14ac:dyDescent="0.75">
      <c r="B46" s="43" t="s">
        <v>358</v>
      </c>
      <c r="C46" s="43" t="s">
        <v>26</v>
      </c>
      <c r="D46" s="132" t="s">
        <v>1073</v>
      </c>
      <c r="E46" s="132" t="s">
        <v>455</v>
      </c>
      <c r="F46" s="132" t="str">
        <f t="shared" si="0"/>
        <v>LMIC</v>
      </c>
      <c r="G46" s="646">
        <f>INDEX('WB HCW &amp; Beds'!$C$558:$BO$821,MATCH($C46,'WB HCW &amp; Beds'!$C$558:$C$821,0),MATCH("Latest value",'WB HCW &amp; Beds'!$C$557:$BO$557,0))</f>
        <v>0.2326</v>
      </c>
      <c r="H46" s="647">
        <f>INDEX('WB HCW &amp; Beds'!$C$558:$BO$821,MATCH($C46,'WB HCW &amp; Beds'!$C$558:$C$821,0),MATCH("Latest year",'WB HCW &amp; Beds'!$C$557:$BO$557,0))</f>
        <v>2014</v>
      </c>
      <c r="I46" s="651">
        <f>INDEX('WB HCW &amp; Beds'!$C$286:$BP$561,MATCH($C46,'WB HCW &amp; Beds'!$C$286:$C$561,0),MATCH("Value",'WB HCW &amp; Beds'!$C$286:$BP$286,0))</f>
        <v>0.4</v>
      </c>
      <c r="J46" s="647" t="str">
        <f>'WB HCW &amp; Beds'!BO326</f>
        <v>No reported value</v>
      </c>
      <c r="K46" s="653">
        <f>'WB HCW &amp; Beds'!BN54</f>
        <v>0.85170000000000001</v>
      </c>
      <c r="L46" s="654">
        <f>'WB HCW &amp; Beds'!BO54</f>
        <v>2014</v>
      </c>
      <c r="M46" s="720">
        <f>IFERROR(IFERROR(INDEX('WHO GHO Data'!$AB$8:$AB$201,MATCH('HCW + Staff Summary'!$C46,'WHO GHO Data'!$C$8:$C$201,0)),INDEX('WHO GHO Data'!$AE$9:$AE$13,MATCH('HCW + Staff Summary'!$E46,'WHO GHO Data'!$AD$9:$AD$13,0))),"")</f>
        <v>0.17531237331759159</v>
      </c>
      <c r="O46" s="29">
        <f>INDEX('WB Population Data'!$D$6:$D$269,MATCH($B46,'WB Population Data'!$B$6:$B$269,0))</f>
        <v>26378000</v>
      </c>
      <c r="P46" s="30">
        <f t="shared" si="1"/>
        <v>6135.5227999999997</v>
      </c>
      <c r="Q46" s="29">
        <f t="shared" si="2"/>
        <v>10551.2</v>
      </c>
      <c r="R46" s="29">
        <f>IFERROR(IFERROR(INDEX('WHO GHO Data'!$S$8:$S$201,MATCH($C46,'WHO GHO Data'!$C$8:$C$201,0)),($O46/1000*$K46)),IFERROR($O46/1000*VLOOKUP(E46,$W$9:$Y$12,3,0),0))</f>
        <v>15940.75628381822</v>
      </c>
      <c r="S46" s="30">
        <f>IFERROR(IFERROR(INDEX('WHO GHO Data'!$U$8:$U$201,MATCH($C46,'WHO GHO Data'!$C$8:$C$201,0)),INDEX('WHO GHO Data'!$AE$9:$AE$13,MATCH($E46,'WHO GHO Data'!$AD$9:$AD$13,0))*'HCW + Staff Summary'!$O46/1000),"")</f>
        <v>4624.3897833714309</v>
      </c>
    </row>
    <row r="47" spans="2:19" x14ac:dyDescent="0.75">
      <c r="B47" s="43" t="s">
        <v>187</v>
      </c>
      <c r="C47" s="43" t="s">
        <v>27</v>
      </c>
      <c r="D47" s="132" t="s">
        <v>1073</v>
      </c>
      <c r="E47" s="132" t="s">
        <v>455</v>
      </c>
      <c r="F47" s="132" t="str">
        <f t="shared" si="0"/>
        <v>LMIC</v>
      </c>
      <c r="G47" s="646">
        <f>INDEX('WB HCW &amp; Beds'!$C$558:$BO$821,MATCH($C47,'WB HCW &amp; Beds'!$C$558:$C$821,0),MATCH("Latest value",'WB HCW &amp; Beds'!$C$557:$BO$557,0))</f>
        <v>8.9800000000000005E-2</v>
      </c>
      <c r="H47" s="647">
        <f>INDEX('WB HCW &amp; Beds'!$C$558:$BO$821,MATCH($C47,'WB HCW &amp; Beds'!$C$558:$C$821,0),MATCH("Latest year",'WB HCW &amp; Beds'!$C$557:$BO$557,0))</f>
        <v>2011</v>
      </c>
      <c r="I47" s="651">
        <f>INDEX('WB HCW &amp; Beds'!$C$286:$BP$561,MATCH($C47,'WB HCW &amp; Beds'!$C$286:$C$561,0),MATCH("Value",'WB HCW &amp; Beds'!$C$286:$BP$286,0))</f>
        <v>0.4</v>
      </c>
      <c r="J47" s="647" t="str">
        <f>'WB HCW &amp; Beds'!BO327</f>
        <v>No reported value</v>
      </c>
      <c r="K47" s="653">
        <f>'WB HCW &amp; Beds'!BN55</f>
        <v>0.93369999999999997</v>
      </c>
      <c r="L47" s="654">
        <f>'WB HCW &amp; Beds'!BO55</f>
        <v>2011</v>
      </c>
      <c r="M47" s="720">
        <f>IFERROR(IFERROR(INDEX('WHO GHO Data'!$AB$8:$AB$201,MATCH('HCW + Staff Summary'!$C47,'WHO GHO Data'!$C$8:$C$201,0)),INDEX('WHO GHO Data'!$AE$9:$AE$13,MATCH('HCW + Staff Summary'!$E47,'WHO GHO Data'!$AD$9:$AD$13,0))),"")</f>
        <v>0.1027821727484072</v>
      </c>
      <c r="O47" s="29">
        <f>INDEX('WB Population Data'!$D$6:$D$269,MATCH($B47,'WB Population Data'!$B$6:$B$269,0))</f>
        <v>26546000</v>
      </c>
      <c r="P47" s="30">
        <f t="shared" si="1"/>
        <v>2383.8308000000002</v>
      </c>
      <c r="Q47" s="29">
        <f t="shared" si="2"/>
        <v>10618.400000000001</v>
      </c>
      <c r="R47" s="29">
        <f>IFERROR(IFERROR(INDEX('WHO GHO Data'!$S$8:$S$201,MATCH($C47,'WHO GHO Data'!$C$8:$C$201,0)),($O47/1000*$K47)),IFERROR($O47/1000*VLOOKUP(E47,$W$9:$Y$12,3,0),0))</f>
        <v>24002.982626072975</v>
      </c>
      <c r="S47" s="30">
        <f>IFERROR(IFERROR(INDEX('WHO GHO Data'!$U$8:$U$201,MATCH($C47,'WHO GHO Data'!$C$8:$C$201,0)),INDEX('WHO GHO Data'!$AE$9:$AE$13,MATCH($E47,'WHO GHO Data'!$AD$9:$AD$13,0))*'HCW + Staff Summary'!$O47/1000),"")</f>
        <v>2728.4555577792175</v>
      </c>
    </row>
    <row r="48" spans="2:19" x14ac:dyDescent="0.75">
      <c r="B48" s="43" t="s">
        <v>355</v>
      </c>
      <c r="C48" s="43" t="s">
        <v>28</v>
      </c>
      <c r="D48" s="132" t="s">
        <v>1073</v>
      </c>
      <c r="E48" s="132" t="s">
        <v>453</v>
      </c>
      <c r="F48" s="132" t="str">
        <f t="shared" si="0"/>
        <v>LMIC</v>
      </c>
      <c r="G48" s="646">
        <f>INDEX('WB HCW &amp; Beds'!$C$558:$BO$821,MATCH($C48,'WB HCW &amp; Beds'!$C$558:$C$821,0),MATCH("Latest value",'WB HCW &amp; Beds'!$C$557:$BO$557,0))</f>
        <v>0.09</v>
      </c>
      <c r="H48" s="647">
        <f>INDEX('WB HCW &amp; Beds'!$C$558:$BO$821,MATCH($C48,'WB HCW &amp; Beds'!$C$558:$C$821,0),MATCH("Latest year",'WB HCW &amp; Beds'!$C$557:$BO$557,0))</f>
        <v>2013</v>
      </c>
      <c r="I48" s="651">
        <f>INDEX('WB HCW &amp; Beds'!$C$286:$BP$561,MATCH($C48,'WB HCW &amp; Beds'!$C$286:$C$561,0),MATCH("Value",'WB HCW &amp; Beds'!$C$286:$BP$286,0))</f>
        <v>0.4</v>
      </c>
      <c r="J48" s="647" t="str">
        <f>'WB HCW &amp; Beds'!BO328</f>
        <v>No reported value</v>
      </c>
      <c r="K48" s="653">
        <f>'WB HCW &amp; Beds'!BN56</f>
        <v>0.47</v>
      </c>
      <c r="L48" s="654">
        <f>'WB HCW &amp; Beds'!BO56</f>
        <v>2013</v>
      </c>
      <c r="M48" s="720">
        <f>IFERROR(IFERROR(INDEX('WHO GHO Data'!$AB$8:$AB$201,MATCH('HCW + Staff Summary'!$C48,'WHO GHO Data'!$C$8:$C$201,0)),INDEX('WHO GHO Data'!$AE$9:$AE$13,MATCH('HCW + Staff Summary'!$E48,'WHO GHO Data'!$AD$9:$AD$13,0))),"")</f>
        <v>9.849709954994014E-2</v>
      </c>
      <c r="O48" s="29">
        <f>INDEX('WB Population Data'!$D$6:$D$269,MATCH($B48,'WB Population Data'!$B$6:$B$269,0))</f>
        <v>89561000</v>
      </c>
      <c r="P48" s="30">
        <f t="shared" si="1"/>
        <v>8060.49</v>
      </c>
      <c r="Q48" s="29">
        <f t="shared" si="2"/>
        <v>35824.400000000001</v>
      </c>
      <c r="R48" s="29">
        <f>IFERROR(IFERROR(INDEX('WHO GHO Data'!$S$8:$S$201,MATCH($C48,'WHO GHO Data'!$C$8:$C$201,0)),($O48/1000*$K48)),IFERROR($O48/1000*VLOOKUP(E48,$W$9:$Y$12,3,0),0))</f>
        <v>42093.67</v>
      </c>
      <c r="S48" s="30">
        <f>IFERROR(IFERROR(INDEX('WHO GHO Data'!$U$8:$U$201,MATCH($C48,'WHO GHO Data'!$C$8:$C$201,0)),INDEX('WHO GHO Data'!$AE$9:$AE$13,MATCH($E48,'WHO GHO Data'!$AD$9:$AD$13,0))*'HCW + Staff Summary'!$O48/1000),"")</f>
        <v>8821.4987327921899</v>
      </c>
    </row>
    <row r="49" spans="2:19" x14ac:dyDescent="0.75">
      <c r="B49" s="43" t="s">
        <v>356</v>
      </c>
      <c r="C49" s="43" t="s">
        <v>29</v>
      </c>
      <c r="D49" s="132" t="s">
        <v>1073</v>
      </c>
      <c r="E49" s="132" t="s">
        <v>455</v>
      </c>
      <c r="F49" s="132" t="str">
        <f t="shared" si="0"/>
        <v>LMIC</v>
      </c>
      <c r="G49" s="646">
        <f>INDEX('WB HCW &amp; Beds'!$C$558:$BO$821,MATCH($C49,'WB HCW &amp; Beds'!$C$558:$C$821,0),MATCH("Latest value",'WB HCW &amp; Beds'!$C$557:$BO$557,0))</f>
        <v>0.1159</v>
      </c>
      <c r="H49" s="647">
        <f>INDEX('WB HCW &amp; Beds'!$C$558:$BO$821,MATCH($C49,'WB HCW &amp; Beds'!$C$558:$C$821,0),MATCH("Latest year",'WB HCW &amp; Beds'!$C$557:$BO$557,0))</f>
        <v>2011</v>
      </c>
      <c r="I49" s="651">
        <f>INDEX('WB HCW &amp; Beds'!$C$286:$BP$561,MATCH($C49,'WB HCW &amp; Beds'!$C$286:$C$561,0),MATCH("Value",'WB HCW &amp; Beds'!$C$286:$BP$286,0))</f>
        <v>0.4</v>
      </c>
      <c r="J49" s="647" t="str">
        <f>'WB HCW &amp; Beds'!BO329</f>
        <v>No reported value</v>
      </c>
      <c r="K49" s="653">
        <f>'WB HCW &amp; Beds'!BN57</f>
        <v>1.7431000000000001</v>
      </c>
      <c r="L49" s="654">
        <f>'WB HCW &amp; Beds'!BO57</f>
        <v>2011</v>
      </c>
      <c r="M49" s="720">
        <f>IFERROR(IFERROR(INDEX('WHO GHO Data'!$AB$8:$AB$201,MATCH('HCW + Staff Summary'!$C49,'WHO GHO Data'!$C$8:$C$201,0)),INDEX('WHO GHO Data'!$AE$9:$AE$13,MATCH('HCW + Staff Summary'!$E49,'WHO GHO Data'!$AD$9:$AD$13,0))),"")</f>
        <v>8.3686338603199489E-2</v>
      </c>
      <c r="O49" s="29">
        <f>INDEX('WB Population Data'!$D$6:$D$269,MATCH($B49,'WB Population Data'!$B$6:$B$269,0))</f>
        <v>5518000</v>
      </c>
      <c r="P49" s="30">
        <f t="shared" si="1"/>
        <v>639.53620000000001</v>
      </c>
      <c r="Q49" s="29">
        <f t="shared" si="2"/>
        <v>2207.2000000000003</v>
      </c>
      <c r="R49" s="29">
        <f>IFERROR(IFERROR(INDEX('WHO GHO Data'!$S$8:$S$201,MATCH($C49,'WHO GHO Data'!$C$8:$C$201,0)),($O49/1000*$K49)),IFERROR($O49/1000*VLOOKUP(E49,$W$9:$Y$12,3,0),0))</f>
        <v>3457.0722622298663</v>
      </c>
      <c r="S49" s="30">
        <f>IFERROR(IFERROR(INDEX('WHO GHO Data'!$U$8:$U$201,MATCH($C49,'WHO GHO Data'!$C$8:$C$201,0)),INDEX('WHO GHO Data'!$AE$9:$AE$13,MATCH($E49,'WHO GHO Data'!$AD$9:$AD$13,0))*'HCW + Staff Summary'!$O49/1000),"")</f>
        <v>461.78121641245474</v>
      </c>
    </row>
    <row r="50" spans="2:19" x14ac:dyDescent="0.75">
      <c r="B50" s="43" t="s">
        <v>353</v>
      </c>
      <c r="C50" s="43" t="s">
        <v>354</v>
      </c>
      <c r="D50" s="132" t="s">
        <v>1075</v>
      </c>
      <c r="E50" s="132" t="s">
        <v>558</v>
      </c>
      <c r="F50" s="132" t="str">
        <f t="shared" si="0"/>
        <v>LMIC</v>
      </c>
      <c r="G50" s="646">
        <f>INDEX('WB HCW &amp; Beds'!$C$558:$BO$821,MATCH($C50,'WB HCW &amp; Beds'!$C$558:$C$821,0),MATCH("Latest value",'WB HCW &amp; Beds'!$C$557:$BO$557,0))</f>
        <v>2.0834999999999999</v>
      </c>
      <c r="H50" s="647">
        <f>INDEX('WB HCW &amp; Beds'!$C$558:$BO$821,MATCH($C50,'WB HCW &amp; Beds'!$C$558:$C$821,0),MATCH("Latest year",'WB HCW &amp; Beds'!$C$557:$BO$557,0))</f>
        <v>2017</v>
      </c>
      <c r="I50" s="651">
        <f>INDEX('WB HCW &amp; Beds'!$C$286:$BP$561,MATCH($C50,'WB HCW &amp; Beds'!$C$286:$C$561,0),MATCH("Value",'WB HCW &amp; Beds'!$C$286:$BP$286,0))</f>
        <v>0.4</v>
      </c>
      <c r="J50" s="647" t="str">
        <f>'WB HCW &amp; Beds'!BO330</f>
        <v>No reported value</v>
      </c>
      <c r="K50" s="653">
        <f>'WB HCW &amp; Beds'!BN58</f>
        <v>1.2626999999999999</v>
      </c>
      <c r="L50" s="654">
        <f>'WB HCW &amp; Beds'!BO58</f>
        <v>2017</v>
      </c>
      <c r="M50" s="720">
        <f>IFERROR(IFERROR(INDEX('WHO GHO Data'!$AB$8:$AB$201,MATCH('HCW + Staff Summary'!$C50,'WHO GHO Data'!$C$8:$C$201,0)),INDEX('WHO GHO Data'!$AE$9:$AE$13,MATCH('HCW + Staff Summary'!$E50,'WHO GHO Data'!$AD$9:$AD$13,0))),"")</f>
        <v>0.21980423949700909</v>
      </c>
      <c r="O50" s="29">
        <f>INDEX('WB Population Data'!$D$6:$D$269,MATCH($B50,'WB Population Data'!$B$6:$B$269,0))</f>
        <v>50883000</v>
      </c>
      <c r="P50" s="30">
        <f t="shared" si="1"/>
        <v>106014.73049999999</v>
      </c>
      <c r="Q50" s="29">
        <f t="shared" si="2"/>
        <v>20353.2</v>
      </c>
      <c r="R50" s="29">
        <f>IFERROR(IFERROR(INDEX('WHO GHO Data'!$S$8:$S$201,MATCH($C50,'WHO GHO Data'!$C$8:$C$201,0)),($O50/1000*$K50)),IFERROR($O50/1000*VLOOKUP(E50,$W$9:$Y$12,3,0),0))</f>
        <v>67840.130616050956</v>
      </c>
      <c r="S50" s="30">
        <f>IFERROR(IFERROR(INDEX('WHO GHO Data'!$U$8:$U$201,MATCH($C50,'WHO GHO Data'!$C$8:$C$201,0)),INDEX('WHO GHO Data'!$AE$9:$AE$13,MATCH($E50,'WHO GHO Data'!$AD$9:$AD$13,0))*'HCW + Staff Summary'!$O50/1000),"")</f>
        <v>11184.299118326313</v>
      </c>
    </row>
    <row r="51" spans="2:19" x14ac:dyDescent="0.75">
      <c r="B51" s="43" t="s">
        <v>190</v>
      </c>
      <c r="C51" s="43" t="s">
        <v>157</v>
      </c>
      <c r="D51" s="132" t="s">
        <v>1073</v>
      </c>
      <c r="E51" s="132" t="s">
        <v>455</v>
      </c>
      <c r="F51" s="132" t="str">
        <f t="shared" si="0"/>
        <v>LMIC</v>
      </c>
      <c r="G51" s="646">
        <f>INDEX('WB HCW &amp; Beds'!$C$558:$BO$821,MATCH($C51,'WB HCW &amp; Beds'!$C$558:$C$821,0),MATCH("Latest value",'WB HCW &amp; Beds'!$C$557:$BO$557,0))</f>
        <v>0.1699</v>
      </c>
      <c r="H51" s="647">
        <f>INDEX('WB HCW &amp; Beds'!$C$558:$BO$821,MATCH($C51,'WB HCW &amp; Beds'!$C$558:$C$821,0),MATCH("Latest year",'WB HCW &amp; Beds'!$C$557:$BO$557,0))</f>
        <v>2012</v>
      </c>
      <c r="I51" s="651">
        <f>INDEX('WB HCW &amp; Beds'!$C$286:$BP$561,MATCH($C51,'WB HCW &amp; Beds'!$C$286:$C$561,0),MATCH("Value",'WB HCW &amp; Beds'!$C$286:$BP$286,0))</f>
        <v>0.4</v>
      </c>
      <c r="J51" s="647" t="str">
        <f>'WB HCW &amp; Beds'!BO331</f>
        <v>No reported value</v>
      </c>
      <c r="K51" s="653">
        <f>'WB HCW &amp; Beds'!BN59</f>
        <v>0.9214</v>
      </c>
      <c r="L51" s="654">
        <f>'WB HCW &amp; Beds'!BO59</f>
        <v>2012</v>
      </c>
      <c r="M51" s="720">
        <f>IFERROR(IFERROR(INDEX('WHO GHO Data'!$AB$8:$AB$201,MATCH('HCW + Staff Summary'!$C51,'WHO GHO Data'!$C$8:$C$201,0)),INDEX('WHO GHO Data'!$AE$9:$AE$13,MATCH('HCW + Staff Summary'!$E51,'WHO GHO Data'!$AD$9:$AD$13,0))),"")</f>
        <v>0.11867229246207345</v>
      </c>
      <c r="O51" s="29">
        <f>INDEX('WB Population Data'!$D$6:$D$269,MATCH($B51,'WB Population Data'!$B$6:$B$269,0))</f>
        <v>870000</v>
      </c>
      <c r="P51" s="30">
        <f t="shared" si="1"/>
        <v>147.81299999999999</v>
      </c>
      <c r="Q51" s="29">
        <f t="shared" si="2"/>
        <v>348</v>
      </c>
      <c r="R51" s="29">
        <f>IFERROR(IFERROR(INDEX('WHO GHO Data'!$S$8:$S$201,MATCH($C51,'WHO GHO Data'!$C$8:$C$201,0)),($O51/1000*$K51)),IFERROR($O51/1000*VLOOKUP(E51,$W$9:$Y$12,3,0),0))</f>
        <v>352.27716785994153</v>
      </c>
      <c r="S51" s="30">
        <f>IFERROR(IFERROR(INDEX('WHO GHO Data'!$U$8:$U$201,MATCH($C51,'WHO GHO Data'!$C$8:$C$201,0)),INDEX('WHO GHO Data'!$AE$9:$AE$13,MATCH($E51,'WHO GHO Data'!$AD$9:$AD$13,0))*'HCW + Staff Summary'!$O51/1000),"")</f>
        <v>103.2448944420039</v>
      </c>
    </row>
    <row r="52" spans="2:19" x14ac:dyDescent="0.75">
      <c r="B52" s="43" t="s">
        <v>342</v>
      </c>
      <c r="C52" s="43" t="s">
        <v>30</v>
      </c>
      <c r="D52" s="132" t="s">
        <v>1073</v>
      </c>
      <c r="E52" s="132" t="s">
        <v>455</v>
      </c>
      <c r="F52" s="132" t="str">
        <f t="shared" si="0"/>
        <v>LMIC</v>
      </c>
      <c r="G52" s="646">
        <f>INDEX('WB HCW &amp; Beds'!$C$558:$BO$821,MATCH($C52,'WB HCW &amp; Beds'!$C$558:$C$821,0),MATCH("Latest value",'WB HCW &amp; Beds'!$C$557:$BO$557,0))</f>
        <v>0.76939999999999997</v>
      </c>
      <c r="H52" s="647">
        <f>INDEX('WB HCW &amp; Beds'!$C$558:$BO$821,MATCH($C52,'WB HCW &amp; Beds'!$C$558:$C$821,0),MATCH("Latest year",'WB HCW &amp; Beds'!$C$557:$BO$557,0))</f>
        <v>2015</v>
      </c>
      <c r="I52" s="651">
        <f>INDEX('WB HCW &amp; Beds'!$C$286:$BP$561,MATCH($C52,'WB HCW &amp; Beds'!$C$286:$C$561,0),MATCH("Value",'WB HCW &amp; Beds'!$C$286:$BP$286,0))</f>
        <v>0.13900000000000001</v>
      </c>
      <c r="J52" s="647">
        <f>'WB HCW &amp; Beds'!BO332</f>
        <v>2004</v>
      </c>
      <c r="K52" s="653">
        <f>'WB HCW &amp; Beds'!BN60</f>
        <v>1.2272000000000001</v>
      </c>
      <c r="L52" s="654">
        <f>'WB HCW &amp; Beds'!BO60</f>
        <v>2015</v>
      </c>
      <c r="M52" s="720">
        <f>IFERROR(IFERROR(INDEX('WHO GHO Data'!$AB$8:$AB$201,MATCH('HCW + Staff Summary'!$C52,'WHO GHO Data'!$C$8:$C$201,0)),INDEX('WHO GHO Data'!$AE$9:$AE$13,MATCH('HCW + Staff Summary'!$E52,'WHO GHO Data'!$AD$9:$AD$13,0))),"")</f>
        <v>0.2757388684331506</v>
      </c>
      <c r="O52" s="29">
        <f>INDEX('WB Population Data'!$D$6:$D$269,MATCH($B52,'WB Population Data'!$B$6:$B$269,0))</f>
        <v>556000</v>
      </c>
      <c r="P52" s="30">
        <f t="shared" si="1"/>
        <v>427.78639999999996</v>
      </c>
      <c r="Q52" s="29">
        <f t="shared" si="2"/>
        <v>77.284000000000006</v>
      </c>
      <c r="R52" s="29">
        <f>IFERROR(IFERROR(INDEX('WHO GHO Data'!$S$8:$S$201,MATCH($C52,'WHO GHO Data'!$C$8:$C$201,0)),($O52/1000*$K52)),IFERROR($O52/1000*VLOOKUP(E52,$W$9:$Y$12,3,0),0))</f>
        <v>723.24245152357878</v>
      </c>
      <c r="S52" s="30">
        <f>IFERROR(IFERROR(INDEX('WHO GHO Data'!$U$8:$U$201,MATCH($C52,'WHO GHO Data'!$C$8:$C$201,0)),INDEX('WHO GHO Data'!$AE$9:$AE$13,MATCH($E52,'WHO GHO Data'!$AD$9:$AD$13,0))*'HCW + Staff Summary'!$O52/1000),"")</f>
        <v>153.31081084883172</v>
      </c>
    </row>
    <row r="53" spans="2:19" x14ac:dyDescent="0.75">
      <c r="B53" s="43" t="s">
        <v>357</v>
      </c>
      <c r="C53" s="43" t="s">
        <v>31</v>
      </c>
      <c r="D53" s="132" t="s">
        <v>1075</v>
      </c>
      <c r="E53" s="132" t="s">
        <v>558</v>
      </c>
      <c r="F53" s="132" t="str">
        <f t="shared" si="0"/>
        <v>LMIC</v>
      </c>
      <c r="G53" s="646">
        <f>INDEX('WB HCW &amp; Beds'!$C$558:$BO$821,MATCH($C53,'WB HCW &amp; Beds'!$C$558:$C$821,0),MATCH("Latest value",'WB HCW &amp; Beds'!$C$557:$BO$557,0))</f>
        <v>1.1496999999999999</v>
      </c>
      <c r="H53" s="647">
        <f>INDEX('WB HCW &amp; Beds'!$C$558:$BO$821,MATCH($C53,'WB HCW &amp; Beds'!$C$558:$C$821,0),MATCH("Latest year",'WB HCW &amp; Beds'!$C$557:$BO$557,0))</f>
        <v>2013</v>
      </c>
      <c r="I53" s="651">
        <f>INDEX('WB HCW &amp; Beds'!$C$286:$BP$561,MATCH($C53,'WB HCW &amp; Beds'!$C$286:$C$561,0),MATCH("Value",'WB HCW &amp; Beds'!$C$286:$BP$286,0))</f>
        <v>0.4</v>
      </c>
      <c r="J53" s="647" t="str">
        <f>'WB HCW &amp; Beds'!BO333</f>
        <v>No reported value</v>
      </c>
      <c r="K53" s="653">
        <f>'WB HCW &amp; Beds'!BN61</f>
        <v>0.79569999999999996</v>
      </c>
      <c r="L53" s="654">
        <f>'WB HCW &amp; Beds'!BO61</f>
        <v>2013</v>
      </c>
      <c r="M53" s="720">
        <f>IFERROR(IFERROR(INDEX('WHO GHO Data'!$AB$8:$AB$201,MATCH('HCW + Staff Summary'!$C53,'WHO GHO Data'!$C$8:$C$201,0)),INDEX('WHO GHO Data'!$AE$9:$AE$13,MATCH('HCW + Staff Summary'!$E53,'WHO GHO Data'!$AD$9:$AD$13,0))),"")</f>
        <v>1.8426688862055883E-3</v>
      </c>
      <c r="O53" s="29">
        <f>INDEX('WB Population Data'!$D$6:$D$269,MATCH($B53,'WB Population Data'!$B$6:$B$269,0))</f>
        <v>5094000</v>
      </c>
      <c r="P53" s="30">
        <f t="shared" si="1"/>
        <v>5856.5717999999997</v>
      </c>
      <c r="Q53" s="29">
        <f t="shared" si="2"/>
        <v>2037.6000000000001</v>
      </c>
      <c r="R53" s="29">
        <f>IFERROR(IFERROR(INDEX('WHO GHO Data'!$S$8:$S$201,MATCH($C53,'WHO GHO Data'!$C$8:$C$201,0)),($O53/1000*$K53)),IFERROR($O53/1000*VLOOKUP(E53,$W$9:$Y$12,3,0),0))</f>
        <v>17432.729369014818</v>
      </c>
      <c r="S53" s="30">
        <f>IFERROR(IFERROR(INDEX('WHO GHO Data'!$U$8:$U$201,MATCH($C53,'WHO GHO Data'!$C$8:$C$201,0)),INDEX('WHO GHO Data'!$AE$9:$AE$13,MATCH($E53,'WHO GHO Data'!$AD$9:$AD$13,0))*'HCW + Staff Summary'!$O53/1000),"")</f>
        <v>9.3865553063312674</v>
      </c>
    </row>
    <row r="54" spans="2:19" x14ac:dyDescent="0.75">
      <c r="B54" s="43" t="s">
        <v>344</v>
      </c>
      <c r="C54" s="43" t="s">
        <v>345</v>
      </c>
      <c r="D54" s="132" t="s">
        <v>1124</v>
      </c>
      <c r="E54" s="132" t="s">
        <v>750</v>
      </c>
      <c r="F54" s="132" t="str">
        <f t="shared" si="0"/>
        <v>Not LMIC</v>
      </c>
      <c r="G54" s="646">
        <f>INDEX('WB HCW &amp; Beds'!$C$558:$BO$821,MATCH($C54,'WB HCW &amp; Beds'!$C$558:$C$821,0),MATCH("Latest value",'WB HCW &amp; Beds'!$C$557:$BO$557,0))</f>
        <v>1.5686275654605542</v>
      </c>
      <c r="H54" s="647">
        <f>INDEX('WB HCW &amp; Beds'!$C$558:$BO$821,MATCH($C54,'WB HCW &amp; Beds'!$C$558:$C$821,0),MATCH("Latest year",'WB HCW &amp; Beds'!$C$557:$BO$557,0))</f>
        <v>2015</v>
      </c>
      <c r="I54" s="651">
        <f>INDEX('WB HCW &amp; Beds'!$C$286:$BP$561,MATCH($C54,'WB HCW &amp; Beds'!$C$286:$C$561,0),MATCH("Value",'WB HCW &amp; Beds'!$C$286:$BP$286,0))</f>
        <v>0.4</v>
      </c>
      <c r="J54" s="647" t="str">
        <f>'WB HCW &amp; Beds'!BO334</f>
        <v>No reported value</v>
      </c>
      <c r="K54" s="653">
        <f>'WB HCW &amp; Beds'!BN62</f>
        <v>2.3199774630542551</v>
      </c>
      <c r="L54" s="654">
        <f>'WB HCW &amp; Beds'!BO62</f>
        <v>2015</v>
      </c>
      <c r="M54" s="720" t="str">
        <f>IFERROR(IFERROR(INDEX('WHO GHO Data'!$AB$8:$AB$201,MATCH('HCW + Staff Summary'!$C54,'WHO GHO Data'!$C$8:$C$201,0)),INDEX('WHO GHO Data'!$AE$9:$AE$13,MATCH('HCW + Staff Summary'!$E54,'WHO GHO Data'!$AD$9:$AD$13,0))),"")</f>
        <v/>
      </c>
      <c r="O54" s="29">
        <f>INDEX('WB Population Data'!$D$6:$D$269,MATCH($B54,'WB Population Data'!$B$6:$B$269,0))</f>
        <v>7443000</v>
      </c>
      <c r="P54" s="30">
        <f t="shared" si="1"/>
        <v>0</v>
      </c>
      <c r="Q54" s="29">
        <f t="shared" si="2"/>
        <v>2977.2000000000003</v>
      </c>
      <c r="R54" s="29">
        <f>IFERROR(IFERROR(INDEX('WHO GHO Data'!$S$8:$S$201,MATCH($C54,'WHO GHO Data'!$C$8:$C$201,0)),($O54/1000*$K54)),IFERROR($O54/1000*VLOOKUP(E54,$W$9:$Y$12,3,0),0))</f>
        <v>17267.592257512821</v>
      </c>
      <c r="S54" s="30" t="str">
        <f>IFERROR(IFERROR(INDEX('WHO GHO Data'!$U$8:$U$201,MATCH($C54,'WHO GHO Data'!$C$8:$C$201,0)),INDEX('WHO GHO Data'!$AE$9:$AE$13,MATCH($E54,'WHO GHO Data'!$AD$9:$AD$13,0))*'HCW + Staff Summary'!$O54/1000),"")</f>
        <v/>
      </c>
    </row>
    <row r="55" spans="2:19" x14ac:dyDescent="0.75">
      <c r="B55" s="43" t="s">
        <v>221</v>
      </c>
      <c r="C55" s="43" t="s">
        <v>161</v>
      </c>
      <c r="D55" s="132" t="s">
        <v>1075</v>
      </c>
      <c r="E55" s="132" t="s">
        <v>558</v>
      </c>
      <c r="F55" s="132" t="str">
        <f t="shared" si="0"/>
        <v>LMIC</v>
      </c>
      <c r="G55" s="646">
        <f>INDEX('WB HCW &amp; Beds'!$C$558:$BO$821,MATCH($C55,'WB HCW &amp; Beds'!$C$558:$C$821,0),MATCH("Latest value",'WB HCW &amp; Beds'!$C$557:$BO$557,0))</f>
        <v>8.19</v>
      </c>
      <c r="H55" s="647">
        <f>INDEX('WB HCW &amp; Beds'!$C$558:$BO$821,MATCH($C55,'WB HCW &amp; Beds'!$C$558:$C$821,0),MATCH("Latest year",'WB HCW &amp; Beds'!$C$557:$BO$557,0))</f>
        <v>2017</v>
      </c>
      <c r="I55" s="651">
        <f>INDEX('WB HCW &amp; Beds'!$C$286:$BP$561,MATCH($C55,'WB HCW &amp; Beds'!$C$286:$C$561,0),MATCH("Value",'WB HCW &amp; Beds'!$C$286:$BP$286,0))</f>
        <v>0.4</v>
      </c>
      <c r="J55" s="647" t="str">
        <f>'WB HCW &amp; Beds'!BO335</f>
        <v>No reported value</v>
      </c>
      <c r="K55" s="653">
        <f>'WB HCW &amp; Beds'!BN63</f>
        <v>7.79</v>
      </c>
      <c r="L55" s="654">
        <f>'WB HCW &amp; Beds'!BO63</f>
        <v>2017</v>
      </c>
      <c r="M55" s="720">
        <f>IFERROR(IFERROR(INDEX('WHO GHO Data'!$AB$8:$AB$201,MATCH('HCW + Staff Summary'!$C55,'WHO GHO Data'!$C$8:$C$201,0)),INDEX('WHO GHO Data'!$AE$9:$AE$13,MATCH('HCW + Staff Summary'!$E55,'WHO GHO Data'!$AD$9:$AD$13,0))),"")</f>
        <v>0.53416200645426726</v>
      </c>
      <c r="O55" s="29">
        <f>INDEX('WB Population Data'!$D$6:$D$269,MATCH($B55,'WB Population Data'!$B$6:$B$269,0))</f>
        <v>11327000</v>
      </c>
      <c r="P55" s="30">
        <f t="shared" si="1"/>
        <v>92768.12999999999</v>
      </c>
      <c r="Q55" s="29">
        <f t="shared" si="2"/>
        <v>4530.8</v>
      </c>
      <c r="R55" s="29">
        <f>IFERROR(IFERROR(INDEX('WHO GHO Data'!$S$8:$S$201,MATCH($C55,'WHO GHO Data'!$C$8:$C$201,0)),($O55/1000*$K55)),IFERROR($O55/1000*VLOOKUP(E55,$W$9:$Y$12,3,0),0))</f>
        <v>85900.107978827553</v>
      </c>
      <c r="S55" s="30">
        <f>IFERROR(IFERROR(INDEX('WHO GHO Data'!$U$8:$U$201,MATCH($C55,'WHO GHO Data'!$C$8:$C$201,0)),INDEX('WHO GHO Data'!$AE$9:$AE$13,MATCH($E55,'WHO GHO Data'!$AD$9:$AD$13,0))*'HCW + Staff Summary'!$O55/1000),"")</f>
        <v>6050.4530471074859</v>
      </c>
    </row>
    <row r="56" spans="2:19" x14ac:dyDescent="0.75">
      <c r="B56" s="43" t="s">
        <v>360</v>
      </c>
      <c r="C56" s="43" t="s">
        <v>361</v>
      </c>
      <c r="D56" s="132" t="s">
        <v>1124</v>
      </c>
      <c r="E56" s="132" t="s">
        <v>411</v>
      </c>
      <c r="F56" s="132" t="str">
        <f t="shared" si="0"/>
        <v>Not LMIC</v>
      </c>
      <c r="G56" s="646" t="str">
        <f>INDEX('WB HCW &amp; Beds'!$C$558:$BO$821,MATCH($C56,'WB HCW &amp; Beds'!$C$558:$C$821,0),MATCH("Latest value",'WB HCW &amp; Beds'!$C$557:$BO$557,0))</f>
        <v>No reported value</v>
      </c>
      <c r="H56" s="647" t="str">
        <f>INDEX('WB HCW &amp; Beds'!$C$558:$BO$821,MATCH($C56,'WB HCW &amp; Beds'!$C$558:$C$821,0),MATCH("Latest year",'WB HCW &amp; Beds'!$C$557:$BO$557,0))</f>
        <v>No reported value</v>
      </c>
      <c r="I56" s="651">
        <f>INDEX('WB HCW &amp; Beds'!$C$286:$BP$561,MATCH($C56,'WB HCW &amp; Beds'!$C$286:$C$561,0),MATCH("Value",'WB HCW &amp; Beds'!$C$286:$BP$286,0))</f>
        <v>0.4</v>
      </c>
      <c r="J56" s="647" t="str">
        <f>'WB HCW &amp; Beds'!BO336</f>
        <v>No reported value</v>
      </c>
      <c r="K56" s="653" t="str">
        <f>'WB HCW &amp; Beds'!BN64</f>
        <v>No reported value</v>
      </c>
      <c r="L56" s="654" t="str">
        <f>'WB HCW &amp; Beds'!BO64</f>
        <v>No reported value</v>
      </c>
      <c r="M56" s="720">
        <f>IFERROR(IFERROR(INDEX('WHO GHO Data'!$AB$8:$AB$201,MATCH('HCW + Staff Summary'!$C56,'WHO GHO Data'!$C$8:$C$201,0)),INDEX('WHO GHO Data'!$AE$9:$AE$13,MATCH('HCW + Staff Summary'!$E56,'WHO GHO Data'!$AD$9:$AD$13,0))),"")</f>
        <v>0.54650004528486062</v>
      </c>
      <c r="O56" s="29">
        <f>INDEX('WB Population Data'!$D$6:$D$269,MATCH($B56,'WB Population Data'!$B$6:$B$269,0))</f>
        <v>162000</v>
      </c>
      <c r="P56" s="30">
        <f t="shared" si="1"/>
        <v>453.88407042253522</v>
      </c>
      <c r="Q56" s="29">
        <f t="shared" si="2"/>
        <v>64.8</v>
      </c>
      <c r="R56" s="29">
        <f>IFERROR(IFERROR(INDEX('WHO GHO Data'!$S$8:$S$201,MATCH($C56,'WHO GHO Data'!$C$8:$C$201,0)),($O56/1000*$K56)),IFERROR($O56/1000*VLOOKUP(E56,$W$9:$Y$12,3,0),0))</f>
        <v>1276.9454482758624</v>
      </c>
      <c r="S56" s="30">
        <f>IFERROR(IFERROR(INDEX('WHO GHO Data'!$U$8:$U$201,MATCH($C56,'WHO GHO Data'!$C$8:$C$201,0)),INDEX('WHO GHO Data'!$AE$9:$AE$13,MATCH($E56,'WHO GHO Data'!$AD$9:$AD$13,0))*'HCW + Staff Summary'!$O56/1000),"")</f>
        <v>88.533007336147421</v>
      </c>
    </row>
    <row r="57" spans="2:19" x14ac:dyDescent="0.75">
      <c r="B57" s="43" t="s">
        <v>346</v>
      </c>
      <c r="C57" s="43" t="s">
        <v>347</v>
      </c>
      <c r="D57" s="132" t="s">
        <v>1124</v>
      </c>
      <c r="E57" s="132" t="s">
        <v>411</v>
      </c>
      <c r="F57" s="132" t="str">
        <f t="shared" si="0"/>
        <v>Not LMIC</v>
      </c>
      <c r="G57" s="646">
        <f>INDEX('WB HCW &amp; Beds'!$C$558:$BO$821,MATCH($C57,'WB HCW &amp; Beds'!$C$558:$C$821,0),MATCH("Latest value",'WB HCW &amp; Beds'!$C$557:$BO$557,0))</f>
        <v>1.9390000000000001</v>
      </c>
      <c r="H57" s="647">
        <f>INDEX('WB HCW &amp; Beds'!$C$558:$BO$821,MATCH($C57,'WB HCW &amp; Beds'!$C$558:$C$821,0),MATCH("Latest year",'WB HCW &amp; Beds'!$C$557:$BO$557,0))</f>
        <v>1997</v>
      </c>
      <c r="I57" s="651">
        <f>INDEX('WB HCW &amp; Beds'!$C$286:$BP$561,MATCH($C57,'WB HCW &amp; Beds'!$C$286:$C$561,0),MATCH("Value",'WB HCW &amp; Beds'!$C$286:$BP$286,0))</f>
        <v>0.4</v>
      </c>
      <c r="J57" s="647" t="str">
        <f>'WB HCW &amp; Beds'!BO337</f>
        <v>No reported value</v>
      </c>
      <c r="K57" s="653" t="str">
        <f>'WB HCW &amp; Beds'!BN65</f>
        <v>No reported value</v>
      </c>
      <c r="L57" s="654" t="str">
        <f>'WB HCW &amp; Beds'!BO65</f>
        <v>No reported value</v>
      </c>
      <c r="M57" s="720">
        <f>IFERROR(IFERROR(INDEX('WHO GHO Data'!$AB$8:$AB$201,MATCH('HCW + Staff Summary'!$C57,'WHO GHO Data'!$C$8:$C$201,0)),INDEX('WHO GHO Data'!$AE$9:$AE$13,MATCH('HCW + Staff Summary'!$E57,'WHO GHO Data'!$AD$9:$AD$13,0))),"")</f>
        <v>0.54650004528486062</v>
      </c>
      <c r="O57" s="29">
        <f>INDEX('WB Population Data'!$D$6:$D$269,MATCH($B57,'WB Population Data'!$B$6:$B$269,0))</f>
        <v>66000</v>
      </c>
      <c r="P57" s="30">
        <f t="shared" si="1"/>
        <v>127.974</v>
      </c>
      <c r="Q57" s="29">
        <f t="shared" si="2"/>
        <v>26.400000000000002</v>
      </c>
      <c r="R57" s="29">
        <f>IFERROR(IFERROR(INDEX('WHO GHO Data'!$S$8:$S$201,MATCH($C57,'WHO GHO Data'!$C$8:$C$201,0)),($O57/1000*$K57)),IFERROR($O57/1000*VLOOKUP(E57,$W$9:$Y$12,3,0),0))</f>
        <v>520.23703448275876</v>
      </c>
      <c r="S57" s="30">
        <f>IFERROR(IFERROR(INDEX('WHO GHO Data'!$U$8:$U$201,MATCH($C57,'WHO GHO Data'!$C$8:$C$201,0)),INDEX('WHO GHO Data'!$AE$9:$AE$13,MATCH($E57,'WHO GHO Data'!$AD$9:$AD$13,0))*'HCW + Staff Summary'!$O57/1000),"")</f>
        <v>36.069002988800797</v>
      </c>
    </row>
    <row r="58" spans="2:19" x14ac:dyDescent="0.75">
      <c r="B58" s="43" t="s">
        <v>362</v>
      </c>
      <c r="C58" s="43" t="s">
        <v>32</v>
      </c>
      <c r="D58" s="132" t="s">
        <v>1074</v>
      </c>
      <c r="E58" s="132" t="s">
        <v>411</v>
      </c>
      <c r="F58" s="132" t="str">
        <f t="shared" si="0"/>
        <v>Not LMIC</v>
      </c>
      <c r="G58" s="646">
        <f>INDEX('WB HCW &amp; Beds'!$C$558:$BO$821,MATCH($C58,'WB HCW &amp; Beds'!$C$558:$C$821,0),MATCH("Latest value",'WB HCW &amp; Beds'!$C$557:$BO$557,0))</f>
        <v>1.9511000000000001</v>
      </c>
      <c r="H58" s="647">
        <f>INDEX('WB HCW &amp; Beds'!$C$558:$BO$821,MATCH($C58,'WB HCW &amp; Beds'!$C$558:$C$821,0),MATCH("Latest year",'WB HCW &amp; Beds'!$C$557:$BO$557,0))</f>
        <v>2016</v>
      </c>
      <c r="I58" s="651">
        <f>INDEX('WB HCW &amp; Beds'!$C$286:$BP$561,MATCH($C58,'WB HCW &amp; Beds'!$C$286:$C$561,0),MATCH("Value",'WB HCW &amp; Beds'!$C$286:$BP$286,0))</f>
        <v>0.4</v>
      </c>
      <c r="J58" s="647" t="str">
        <f>'WB HCW &amp; Beds'!BO338</f>
        <v>No reported value</v>
      </c>
      <c r="K58" s="653">
        <f>'WB HCW &amp; Beds'!BN66</f>
        <v>5.2516999999999996</v>
      </c>
      <c r="L58" s="654">
        <f>'WB HCW &amp; Beds'!BO66</f>
        <v>2016</v>
      </c>
      <c r="M58" s="720">
        <f>IFERROR(IFERROR(INDEX('WHO GHO Data'!$AB$8:$AB$201,MATCH('HCW + Staff Summary'!$C58,'WHO GHO Data'!$C$8:$C$201,0)),INDEX('WHO GHO Data'!$AE$9:$AE$13,MATCH('HCW + Staff Summary'!$E58,'WHO GHO Data'!$AD$9:$AD$13,0))),"")</f>
        <v>0.30370397761443313</v>
      </c>
      <c r="O58" s="29">
        <f>INDEX('WB Population Data'!$D$6:$D$269,MATCH($B58,'WB Population Data'!$B$6:$B$269,0))</f>
        <v>1207000</v>
      </c>
      <c r="P58" s="30">
        <f t="shared" si="1"/>
        <v>2354.9776999999999</v>
      </c>
      <c r="Q58" s="29">
        <f t="shared" si="2"/>
        <v>482.8</v>
      </c>
      <c r="R58" s="29">
        <f>IFERROR(IFERROR(INDEX('WHO GHO Data'!$S$8:$S$201,MATCH($C58,'WHO GHO Data'!$C$8:$C$201,0)),($O58/1000*$K58)),IFERROR($O58/1000*VLOOKUP(E58,$W$9:$Y$12,3,0),0))</f>
        <v>6338.5849473535782</v>
      </c>
      <c r="S58" s="30">
        <f>IFERROR(IFERROR(INDEX('WHO GHO Data'!$U$8:$U$201,MATCH($C58,'WHO GHO Data'!$C$8:$C$201,0)),INDEX('WHO GHO Data'!$AE$9:$AE$13,MATCH($E58,'WHO GHO Data'!$AD$9:$AD$13,0))*'HCW + Staff Summary'!$O58/1000),"")</f>
        <v>366.57070098062081</v>
      </c>
    </row>
    <row r="59" spans="2:19" x14ac:dyDescent="0.75">
      <c r="B59" s="43" t="s">
        <v>363</v>
      </c>
      <c r="C59" s="43" t="s">
        <v>33</v>
      </c>
      <c r="D59" s="132" t="s">
        <v>1074</v>
      </c>
      <c r="E59" s="132" t="s">
        <v>411</v>
      </c>
      <c r="F59" s="132" t="str">
        <f t="shared" si="0"/>
        <v>Not LMIC</v>
      </c>
      <c r="G59" s="646">
        <f>INDEX('WB HCW &amp; Beds'!$C$558:$BO$821,MATCH($C59,'WB HCW &amp; Beds'!$C$558:$C$821,0),MATCH("Latest value",'WB HCW &amp; Beds'!$C$557:$BO$557,0))</f>
        <v>4.3140000000000001</v>
      </c>
      <c r="H59" s="647">
        <f>INDEX('WB HCW &amp; Beds'!$C$558:$BO$821,MATCH($C59,'WB HCW &amp; Beds'!$C$558:$C$821,0),MATCH("Latest year",'WB HCW &amp; Beds'!$C$557:$BO$557,0))</f>
        <v>2016</v>
      </c>
      <c r="I59" s="651">
        <f>INDEX('WB HCW &amp; Beds'!$C$286:$BP$561,MATCH($C59,'WB HCW &amp; Beds'!$C$286:$C$561,0),MATCH("Value",'WB HCW &amp; Beds'!$C$286:$BP$286,0))</f>
        <v>0.4</v>
      </c>
      <c r="J59" s="647" t="str">
        <f>'WB HCW &amp; Beds'!BO339</f>
        <v>No reported value</v>
      </c>
      <c r="K59" s="653">
        <f>'WB HCW &amp; Beds'!BN67</f>
        <v>8.4070999999999998</v>
      </c>
      <c r="L59" s="654">
        <f>'WB HCW &amp; Beds'!BO67</f>
        <v>2016</v>
      </c>
      <c r="M59" s="720">
        <f>IFERROR(IFERROR(INDEX('WHO GHO Data'!$AB$8:$AB$201,MATCH('HCW + Staff Summary'!$C59,'WHO GHO Data'!$C$8:$C$201,0)),INDEX('WHO GHO Data'!$AE$9:$AE$13,MATCH('HCW + Staff Summary'!$E59,'WHO GHO Data'!$AD$9:$AD$13,0))),"")</f>
        <v>0.54650004528486062</v>
      </c>
      <c r="O59" s="29">
        <f>INDEX('WB Population Data'!$D$6:$D$269,MATCH($B59,'WB Population Data'!$B$6:$B$269,0))</f>
        <v>10631000</v>
      </c>
      <c r="P59" s="30">
        <f t="shared" si="1"/>
        <v>45862.133999999998</v>
      </c>
      <c r="Q59" s="29">
        <f t="shared" si="2"/>
        <v>4252.4000000000005</v>
      </c>
      <c r="R59" s="29">
        <f>IFERROR(IFERROR(INDEX('WHO GHO Data'!$S$8:$S$201,MATCH($C59,'WHO GHO Data'!$C$8:$C$201,0)),($O59/1000*$K59)),IFERROR($O59/1000*VLOOKUP(E59,$W$9:$Y$12,3,0),0))</f>
        <v>85913.111260504797</v>
      </c>
      <c r="S59" s="30">
        <f>IFERROR(IFERROR(INDEX('WHO GHO Data'!$U$8:$U$201,MATCH($C59,'WHO GHO Data'!$C$8:$C$201,0)),INDEX('WHO GHO Data'!$AE$9:$AE$13,MATCH($E59,'WHO GHO Data'!$AD$9:$AD$13,0))*'HCW + Staff Summary'!$O59/1000),"")</f>
        <v>5809.841981423353</v>
      </c>
    </row>
    <row r="60" spans="2:19" x14ac:dyDescent="0.75">
      <c r="B60" s="43" t="s">
        <v>400</v>
      </c>
      <c r="C60" s="43" t="s">
        <v>34</v>
      </c>
      <c r="D60" s="132" t="s">
        <v>1074</v>
      </c>
      <c r="E60" s="132" t="s">
        <v>411</v>
      </c>
      <c r="F60" s="132" t="str">
        <f t="shared" si="0"/>
        <v>Not LMIC</v>
      </c>
      <c r="G60" s="646">
        <f>INDEX('WB HCW &amp; Beds'!$C$558:$BO$821,MATCH($C60,'WB HCW &amp; Beds'!$C$558:$C$821,0),MATCH("Latest value",'WB HCW &amp; Beds'!$C$557:$BO$557,0))</f>
        <v>4.2087000000000003</v>
      </c>
      <c r="H60" s="647">
        <f>INDEX('WB HCW &amp; Beds'!$C$558:$BO$821,MATCH($C60,'WB HCW &amp; Beds'!$C$558:$C$821,0),MATCH("Latest year",'WB HCW &amp; Beds'!$C$557:$BO$557,0))</f>
        <v>2016</v>
      </c>
      <c r="I60" s="651">
        <f>INDEX('WB HCW &amp; Beds'!$C$286:$BP$561,MATCH($C60,'WB HCW &amp; Beds'!$C$286:$C$561,0),MATCH("Value",'WB HCW &amp; Beds'!$C$286:$BP$286,0))</f>
        <v>0.4</v>
      </c>
      <c r="J60" s="647" t="str">
        <f>'WB HCW &amp; Beds'!BO340</f>
        <v>No reported value</v>
      </c>
      <c r="K60" s="653">
        <f>'WB HCW &amp; Beds'!BN68</f>
        <v>13.1967</v>
      </c>
      <c r="L60" s="654">
        <f>'WB HCW &amp; Beds'!BO68</f>
        <v>2016</v>
      </c>
      <c r="M60" s="720">
        <f>IFERROR(IFERROR(INDEX('WHO GHO Data'!$AB$8:$AB$201,MATCH('HCW + Staff Summary'!$C60,'WHO GHO Data'!$C$8:$C$201,0)),INDEX('WHO GHO Data'!$AE$9:$AE$13,MATCH('HCW + Staff Summary'!$E60,'WHO GHO Data'!$AD$9:$AD$13,0))),"")</f>
        <v>0.54650004528486062</v>
      </c>
      <c r="O60" s="29">
        <f>INDEX('WB Population Data'!$D$6:$D$269,MATCH($B60,'WB Population Data'!$B$6:$B$269,0))</f>
        <v>82678000</v>
      </c>
      <c r="P60" s="30">
        <f t="shared" si="1"/>
        <v>347966.89860000001</v>
      </c>
      <c r="Q60" s="29">
        <f t="shared" si="2"/>
        <v>33071.200000000004</v>
      </c>
      <c r="R60" s="29">
        <f>IFERROR(IFERROR(INDEX('WHO GHO Data'!$S$8:$S$201,MATCH($C60,'WHO GHO Data'!$C$8:$C$201,0)),($O60/1000*$K60)),IFERROR($O60/1000*VLOOKUP(E60,$W$9:$Y$12,3,0),0))</f>
        <v>1088016.810764757</v>
      </c>
      <c r="S60" s="30">
        <f>IFERROR(IFERROR(INDEX('WHO GHO Data'!$U$8:$U$201,MATCH($C60,'WHO GHO Data'!$C$8:$C$201,0)),INDEX('WHO GHO Data'!$AE$9:$AE$13,MATCH($E60,'WHO GHO Data'!$AD$9:$AD$13,0))*'HCW + Staff Summary'!$O60/1000),"")</f>
        <v>45183.530744061711</v>
      </c>
    </row>
    <row r="61" spans="2:19" x14ac:dyDescent="0.75">
      <c r="B61" s="43" t="s">
        <v>231</v>
      </c>
      <c r="C61" s="43" t="s">
        <v>35</v>
      </c>
      <c r="D61" s="132" t="s">
        <v>1072</v>
      </c>
      <c r="E61" s="132" t="s">
        <v>455</v>
      </c>
      <c r="F61" s="132" t="str">
        <f t="shared" si="0"/>
        <v>LMIC</v>
      </c>
      <c r="G61" s="646">
        <f>INDEX('WB HCW &amp; Beds'!$C$558:$BO$821,MATCH($C61,'WB HCW &amp; Beds'!$C$558:$C$821,0),MATCH("Latest value",'WB HCW &amp; Beds'!$C$557:$BO$557,0))</f>
        <v>0.2203</v>
      </c>
      <c r="H61" s="647">
        <f>INDEX('WB HCW &amp; Beds'!$C$558:$BO$821,MATCH($C61,'WB HCW &amp; Beds'!$C$558:$C$821,0),MATCH("Latest year",'WB HCW &amp; Beds'!$C$557:$BO$557,0))</f>
        <v>2014</v>
      </c>
      <c r="I61" s="651">
        <f>INDEX('WB HCW &amp; Beds'!$C$286:$BP$561,MATCH($C61,'WB HCW &amp; Beds'!$C$286:$C$561,0),MATCH("Value",'WB HCW &amp; Beds'!$C$286:$BP$286,0))</f>
        <v>0.4</v>
      </c>
      <c r="J61" s="647" t="str">
        <f>'WB HCW &amp; Beds'!BO341</f>
        <v>No reported value</v>
      </c>
      <c r="K61" s="653">
        <f>'WB HCW &amp; Beds'!BN69</f>
        <v>0.53500000000000003</v>
      </c>
      <c r="L61" s="654">
        <f>'WB HCW &amp; Beds'!BO69</f>
        <v>2014</v>
      </c>
      <c r="M61" s="720">
        <f>IFERROR(IFERROR(INDEX('WHO GHO Data'!$AB$8:$AB$201,MATCH('HCW + Staff Summary'!$C61,'WHO GHO Data'!$C$8:$C$201,0)),INDEX('WHO GHO Data'!$AE$9:$AE$13,MATCH('HCW + Staff Summary'!$E61,'WHO GHO Data'!$AD$9:$AD$13,0))),"")</f>
        <v>7.6253198214396786E-2</v>
      </c>
      <c r="O61" s="29">
        <f>INDEX('WB Population Data'!$D$6:$D$269,MATCH($B61,'WB Population Data'!$B$6:$B$269,0))</f>
        <v>988000</v>
      </c>
      <c r="P61" s="30">
        <f t="shared" si="1"/>
        <v>217.65639999999999</v>
      </c>
      <c r="Q61" s="29">
        <f t="shared" si="2"/>
        <v>395.20000000000005</v>
      </c>
      <c r="R61" s="29">
        <f>IFERROR(IFERROR(INDEX('WHO GHO Data'!$S$8:$S$201,MATCH($C61,'WHO GHO Data'!$C$8:$C$201,0)),($O61/1000*$K61)),IFERROR($O61/1000*VLOOKUP(E61,$W$9:$Y$12,3,0),0))</f>
        <v>538.12729455722729</v>
      </c>
      <c r="S61" s="30">
        <f>IFERROR(IFERROR(INDEX('WHO GHO Data'!$U$8:$U$201,MATCH($C61,'WHO GHO Data'!$C$8:$C$201,0)),INDEX('WHO GHO Data'!$AE$9:$AE$13,MATCH($E61,'WHO GHO Data'!$AD$9:$AD$13,0))*'HCW + Staff Summary'!$O61/1000),"")</f>
        <v>75.33815983582403</v>
      </c>
    </row>
    <row r="62" spans="2:19" x14ac:dyDescent="0.75">
      <c r="B62" s="43" t="s">
        <v>365</v>
      </c>
      <c r="C62" s="43" t="s">
        <v>366</v>
      </c>
      <c r="D62" s="132" t="s">
        <v>1075</v>
      </c>
      <c r="E62" s="132" t="s">
        <v>558</v>
      </c>
      <c r="F62" s="132" t="str">
        <f t="shared" si="0"/>
        <v>LMIC</v>
      </c>
      <c r="G62" s="646">
        <f>INDEX('WB HCW &amp; Beds'!$C$558:$BO$821,MATCH($C62,'WB HCW &amp; Beds'!$C$558:$C$821,0),MATCH("Latest value",'WB HCW &amp; Beds'!$C$557:$BO$557,0))</f>
        <v>1.0825</v>
      </c>
      <c r="H62" s="647">
        <f>INDEX('WB HCW &amp; Beds'!$C$558:$BO$821,MATCH($C62,'WB HCW &amp; Beds'!$C$558:$C$821,0),MATCH("Latest year",'WB HCW &amp; Beds'!$C$557:$BO$557,0))</f>
        <v>2017</v>
      </c>
      <c r="I62" s="651">
        <f>INDEX('WB HCW &amp; Beds'!$C$286:$BP$561,MATCH($C62,'WB HCW &amp; Beds'!$C$286:$C$561,0),MATCH("Value",'WB HCW &amp; Beds'!$C$286:$BP$286,0))</f>
        <v>0.4</v>
      </c>
      <c r="J62" s="647" t="str">
        <f>'WB HCW &amp; Beds'!BO342</f>
        <v>No reported value</v>
      </c>
      <c r="K62" s="653">
        <f>'WB HCW &amp; Beds'!BN70</f>
        <v>5.8998999999999997</v>
      </c>
      <c r="L62" s="654">
        <f>'WB HCW &amp; Beds'!BO70</f>
        <v>2017</v>
      </c>
      <c r="M62" s="720">
        <f>IFERROR(IFERROR(INDEX('WHO GHO Data'!$AB$8:$AB$201,MATCH('HCW + Staff Summary'!$C62,'WHO GHO Data'!$C$8:$C$201,0)),INDEX('WHO GHO Data'!$AE$9:$AE$13,MATCH('HCW + Staff Summary'!$E62,'WHO GHO Data'!$AD$9:$AD$13,0))),"")</f>
        <v>0.21980423949700909</v>
      </c>
      <c r="O62" s="29">
        <f>INDEX('WB Population Data'!$D$6:$D$269,MATCH($B62,'WB Population Data'!$B$6:$B$269,0))</f>
        <v>72000</v>
      </c>
      <c r="P62" s="30">
        <f t="shared" si="1"/>
        <v>77.94</v>
      </c>
      <c r="Q62" s="29">
        <f t="shared" si="2"/>
        <v>28.8</v>
      </c>
      <c r="R62" s="29">
        <f>IFERROR(IFERROR(INDEX('WHO GHO Data'!$S$8:$S$201,MATCH($C62,'WHO GHO Data'!$C$8:$C$201,0)),($O62/1000*$K62)),IFERROR($O62/1000*VLOOKUP(E62,$W$9:$Y$12,3,0),0))</f>
        <v>462.57593083670179</v>
      </c>
      <c r="S62" s="30">
        <f>IFERROR(IFERROR(INDEX('WHO GHO Data'!$U$8:$U$201,MATCH($C62,'WHO GHO Data'!$C$8:$C$201,0)),INDEX('WHO GHO Data'!$AE$9:$AE$13,MATCH($E62,'WHO GHO Data'!$AD$9:$AD$13,0))*'HCW + Staff Summary'!$O62/1000),"")</f>
        <v>15.825905243784655</v>
      </c>
    </row>
    <row r="63" spans="2:19" x14ac:dyDescent="0.75">
      <c r="B63" s="43" t="s">
        <v>364</v>
      </c>
      <c r="C63" s="43" t="s">
        <v>36</v>
      </c>
      <c r="D63" s="132" t="s">
        <v>1074</v>
      </c>
      <c r="E63" s="132" t="s">
        <v>411</v>
      </c>
      <c r="F63" s="132" t="str">
        <f t="shared" si="0"/>
        <v>Not LMIC</v>
      </c>
      <c r="G63" s="646">
        <f>INDEX('WB HCW &amp; Beds'!$C$558:$BO$821,MATCH($C63,'WB HCW &amp; Beds'!$C$558:$C$821,0),MATCH("Latest value",'WB HCW &amp; Beds'!$C$557:$BO$557,0))</f>
        <v>4.4566999999999997</v>
      </c>
      <c r="H63" s="647">
        <f>INDEX('WB HCW &amp; Beds'!$C$558:$BO$821,MATCH($C63,'WB HCW &amp; Beds'!$C$558:$C$821,0),MATCH("Latest year",'WB HCW &amp; Beds'!$C$557:$BO$557,0))</f>
        <v>2016</v>
      </c>
      <c r="I63" s="651">
        <f>INDEX('WB HCW &amp; Beds'!$C$286:$BP$561,MATCH($C63,'WB HCW &amp; Beds'!$C$286:$C$561,0),MATCH("Value",'WB HCW &amp; Beds'!$C$286:$BP$286,0))</f>
        <v>0.4</v>
      </c>
      <c r="J63" s="647" t="str">
        <f>'WB HCW &amp; Beds'!BO343</f>
        <v>No reported value</v>
      </c>
      <c r="K63" s="653">
        <f>'WB HCW &amp; Beds'!BN71</f>
        <v>10.3004</v>
      </c>
      <c r="L63" s="654">
        <f>'WB HCW &amp; Beds'!BO71</f>
        <v>2016</v>
      </c>
      <c r="M63" s="720">
        <f>IFERROR(IFERROR(INDEX('WHO GHO Data'!$AB$8:$AB$201,MATCH('HCW + Staff Summary'!$C63,'WHO GHO Data'!$C$8:$C$201,0)),INDEX('WHO GHO Data'!$AE$9:$AE$13,MATCH('HCW + Staff Summary'!$E63,'WHO GHO Data'!$AD$9:$AD$13,0))),"")</f>
        <v>0.54650004528486062</v>
      </c>
      <c r="O63" s="29">
        <f>INDEX('WB Population Data'!$D$6:$D$269,MATCH($B63,'WB Population Data'!$B$6:$B$269,0))</f>
        <v>5840000</v>
      </c>
      <c r="P63" s="30">
        <f t="shared" si="1"/>
        <v>26027.127999999997</v>
      </c>
      <c r="Q63" s="29">
        <f t="shared" si="2"/>
        <v>2336</v>
      </c>
      <c r="R63" s="29">
        <f>IFERROR(IFERROR(INDEX('WHO GHO Data'!$S$8:$S$201,MATCH($C63,'WHO GHO Data'!$C$8:$C$201,0)),($O63/1000*$K63)),IFERROR($O63/1000*VLOOKUP(E63,$W$9:$Y$12,3,0),0))</f>
        <v>58463.47778880081</v>
      </c>
      <c r="S63" s="30">
        <f>IFERROR(IFERROR(INDEX('WHO GHO Data'!$U$8:$U$201,MATCH($C63,'WHO GHO Data'!$C$8:$C$201,0)),INDEX('WHO GHO Data'!$AE$9:$AE$13,MATCH($E63,'WHO GHO Data'!$AD$9:$AD$13,0))*'HCW + Staff Summary'!$O63/1000),"")</f>
        <v>3191.5602644635865</v>
      </c>
    </row>
    <row r="64" spans="2:19" x14ac:dyDescent="0.75">
      <c r="B64" s="43" t="s">
        <v>367</v>
      </c>
      <c r="C64" s="43" t="s">
        <v>368</v>
      </c>
      <c r="D64" s="132" t="s">
        <v>1075</v>
      </c>
      <c r="E64" s="132" t="s">
        <v>558</v>
      </c>
      <c r="F64" s="132" t="str">
        <f t="shared" si="0"/>
        <v>LMIC</v>
      </c>
      <c r="G64" s="646">
        <f>INDEX('WB HCW &amp; Beds'!$C$558:$BO$821,MATCH($C64,'WB HCW &amp; Beds'!$C$558:$C$821,0),MATCH("Latest value",'WB HCW &amp; Beds'!$C$557:$BO$557,0))</f>
        <v>1.56</v>
      </c>
      <c r="H64" s="647">
        <f>INDEX('WB HCW &amp; Beds'!$C$558:$BO$821,MATCH($C64,'WB HCW &amp; Beds'!$C$558:$C$821,0),MATCH("Latest year",'WB HCW &amp; Beds'!$C$557:$BO$557,0))</f>
        <v>2017</v>
      </c>
      <c r="I64" s="651">
        <f>INDEX('WB HCW &amp; Beds'!$C$286:$BP$561,MATCH($C64,'WB HCW &amp; Beds'!$C$286:$C$561,0),MATCH("Value",'WB HCW &amp; Beds'!$C$286:$BP$286,0))</f>
        <v>0.4</v>
      </c>
      <c r="J64" s="647" t="str">
        <f>'WB HCW &amp; Beds'!BO344</f>
        <v>No reported value</v>
      </c>
      <c r="K64" s="653">
        <f>'WB HCW &amp; Beds'!BN72</f>
        <v>0.30990000000000001</v>
      </c>
      <c r="L64" s="654">
        <f>'WB HCW &amp; Beds'!BO72</f>
        <v>2017</v>
      </c>
      <c r="M64" s="720">
        <f>IFERROR(IFERROR(INDEX('WHO GHO Data'!$AB$8:$AB$201,MATCH('HCW + Staff Summary'!$C64,'WHO GHO Data'!$C$8:$C$201,0)),INDEX('WHO GHO Data'!$AE$9:$AE$13,MATCH('HCW + Staff Summary'!$E64,'WHO GHO Data'!$AD$9:$AD$13,0))),"")</f>
        <v>0.21980423949700909</v>
      </c>
      <c r="O64" s="29">
        <f>INDEX('WB Population Data'!$D$6:$D$269,MATCH($B64,'WB Population Data'!$B$6:$B$269,0))</f>
        <v>10848000</v>
      </c>
      <c r="P64" s="30">
        <f t="shared" si="1"/>
        <v>16922.88</v>
      </c>
      <c r="Q64" s="29">
        <f t="shared" si="2"/>
        <v>4339.2</v>
      </c>
      <c r="R64" s="29">
        <f>IFERROR(IFERROR(INDEX('WHO GHO Data'!$S$8:$S$201,MATCH($C64,'WHO GHO Data'!$C$8:$C$201,0)),($O64/1000*$K64)),IFERROR($O64/1000*VLOOKUP(E64,$W$9:$Y$12,3,0),0))</f>
        <v>14998.507314024813</v>
      </c>
      <c r="S64" s="30">
        <f>IFERROR(IFERROR(INDEX('WHO GHO Data'!$U$8:$U$201,MATCH($C64,'WHO GHO Data'!$C$8:$C$201,0)),INDEX('WHO GHO Data'!$AE$9:$AE$13,MATCH($E64,'WHO GHO Data'!$AD$9:$AD$13,0))*'HCW + Staff Summary'!$O64/1000),"")</f>
        <v>2384.4363900635544</v>
      </c>
    </row>
    <row r="65" spans="2:19" x14ac:dyDescent="0.75">
      <c r="B65" s="43" t="s">
        <v>314</v>
      </c>
      <c r="C65" s="43" t="s">
        <v>37</v>
      </c>
      <c r="D65" s="132" t="s">
        <v>1073</v>
      </c>
      <c r="E65" s="132" t="s">
        <v>558</v>
      </c>
      <c r="F65" s="132" t="str">
        <f t="shared" si="0"/>
        <v>LMIC</v>
      </c>
      <c r="G65" s="646">
        <f>INDEX('WB HCW &amp; Beds'!$C$558:$BO$821,MATCH($C65,'WB HCW &amp; Beds'!$C$558:$C$821,0),MATCH("Latest value",'WB HCW &amp; Beds'!$C$557:$BO$557,0))</f>
        <v>1.83</v>
      </c>
      <c r="H65" s="647">
        <f>INDEX('WB HCW &amp; Beds'!$C$558:$BO$821,MATCH($C65,'WB HCW &amp; Beds'!$C$558:$C$821,0),MATCH("Latest year",'WB HCW &amp; Beds'!$C$557:$BO$557,0))</f>
        <v>2016</v>
      </c>
      <c r="I65" s="651">
        <f>INDEX('WB HCW &amp; Beds'!$C$286:$BP$561,MATCH($C65,'WB HCW &amp; Beds'!$C$286:$C$561,0),MATCH("Value",'WB HCW &amp; Beds'!$C$286:$BP$286,0))</f>
        <v>0.4</v>
      </c>
      <c r="J65" s="647" t="str">
        <f>'WB HCW &amp; Beds'!BO345</f>
        <v>No reported value</v>
      </c>
      <c r="K65" s="653">
        <f>'WB HCW &amp; Beds'!BN73</f>
        <v>2.2400000000000002</v>
      </c>
      <c r="L65" s="654">
        <f>'WB HCW &amp; Beds'!BO73</f>
        <v>2016</v>
      </c>
      <c r="M65" s="720">
        <f>IFERROR(IFERROR(INDEX('WHO GHO Data'!$AB$8:$AB$201,MATCH('HCW + Staff Summary'!$C65,'WHO GHO Data'!$C$8:$C$201,0)),INDEX('WHO GHO Data'!$AE$9:$AE$13,MATCH('HCW + Staff Summary'!$E65,'WHO GHO Data'!$AD$9:$AD$13,0))),"")</f>
        <v>0.36502176020375449</v>
      </c>
      <c r="O65" s="29">
        <f>INDEX('WB Population Data'!$D$6:$D$269,MATCH($B65,'WB Population Data'!$B$6:$B$269,0))</f>
        <v>43851000</v>
      </c>
      <c r="P65" s="30">
        <f t="shared" si="1"/>
        <v>80247.33</v>
      </c>
      <c r="Q65" s="29">
        <f t="shared" si="2"/>
        <v>17540.400000000001</v>
      </c>
      <c r="R65" s="29">
        <f>IFERROR(IFERROR(INDEX('WHO GHO Data'!$S$8:$S$201,MATCH($C65,'WHO GHO Data'!$C$8:$C$201,0)),($O65/1000*$K65)),IFERROR($O65/1000*VLOOKUP(E65,$W$9:$Y$12,3,0),0))</f>
        <v>58732.052524968291</v>
      </c>
      <c r="S65" s="30">
        <f>IFERROR(IFERROR(INDEX('WHO GHO Data'!$U$8:$U$201,MATCH($C65,'WHO GHO Data'!$C$8:$C$201,0)),INDEX('WHO GHO Data'!$AE$9:$AE$13,MATCH($E65,'WHO GHO Data'!$AD$9:$AD$13,0))*'HCW + Staff Summary'!$O65/1000),"")</f>
        <v>16006.569206694838</v>
      </c>
    </row>
    <row r="66" spans="2:19" x14ac:dyDescent="0.75">
      <c r="B66" s="43" t="s">
        <v>373</v>
      </c>
      <c r="C66" s="43" t="s">
        <v>374</v>
      </c>
      <c r="D66" s="132" t="s">
        <v>1124</v>
      </c>
      <c r="E66" s="132" t="s">
        <v>750</v>
      </c>
      <c r="F66" s="132" t="str">
        <f t="shared" si="0"/>
        <v>Not LMIC</v>
      </c>
      <c r="G66" s="646">
        <f>INDEX('WB HCW &amp; Beds'!$C$558:$BO$821,MATCH($C66,'WB HCW &amp; Beds'!$C$558:$C$821,0),MATCH("Latest value",'WB HCW &amp; Beds'!$C$557:$BO$557,0))</f>
        <v>1.4761485003558619</v>
      </c>
      <c r="H66" s="647">
        <f>INDEX('WB HCW &amp; Beds'!$C$558:$BO$821,MATCH($C66,'WB HCW &amp; Beds'!$C$558:$C$821,0),MATCH("Latest year",'WB HCW &amp; Beds'!$C$557:$BO$557,0))</f>
        <v>2015</v>
      </c>
      <c r="I66" s="651">
        <f>INDEX('WB HCW &amp; Beds'!$C$286:$BP$561,MATCH($C66,'WB HCW &amp; Beds'!$C$286:$C$561,0),MATCH("Value",'WB HCW &amp; Beds'!$C$286:$BP$286,0))</f>
        <v>0.6814814941465519</v>
      </c>
      <c r="J66" s="647">
        <f>'WB HCW &amp; Beds'!BO346</f>
        <v>2011</v>
      </c>
      <c r="K66" s="653">
        <f>'WB HCW &amp; Beds'!BN74</f>
        <v>2.1533786853858357</v>
      </c>
      <c r="L66" s="654">
        <f>'WB HCW &amp; Beds'!BO74</f>
        <v>2015</v>
      </c>
      <c r="M66" s="720" t="str">
        <f>IFERROR(IFERROR(INDEX('WHO GHO Data'!$AB$8:$AB$201,MATCH('HCW + Staff Summary'!$C66,'WHO GHO Data'!$C$8:$C$201,0)),INDEX('WHO GHO Data'!$AE$9:$AE$13,MATCH('HCW + Staff Summary'!$E66,'WHO GHO Data'!$AD$9:$AD$13,0))),"")</f>
        <v/>
      </c>
      <c r="O66" s="29">
        <f>INDEX('WB Population Data'!$D$6:$D$269,MATCH($B66,'WB Population Data'!$B$6:$B$269,0))</f>
        <v>2104283000</v>
      </c>
      <c r="P66" s="30">
        <f t="shared" si="1"/>
        <v>0</v>
      </c>
      <c r="Q66" s="29">
        <f t="shared" si="2"/>
        <v>1434029.9229471886</v>
      </c>
      <c r="R66" s="29">
        <f>IFERROR(IFERROR(INDEX('WHO GHO Data'!$S$8:$S$201,MATCH($C66,'WHO GHO Data'!$C$8:$C$201,0)),($O66/1000*$K66)),IFERROR($O66/1000*VLOOKUP(E66,$W$9:$Y$12,3,0),0))</f>
        <v>4531318.1602197625</v>
      </c>
      <c r="S66" s="30" t="str">
        <f>IFERROR(IFERROR(INDEX('WHO GHO Data'!$U$8:$U$201,MATCH($C66,'WHO GHO Data'!$C$8:$C$201,0)),INDEX('WHO GHO Data'!$AE$9:$AE$13,MATCH($E66,'WHO GHO Data'!$AD$9:$AD$13,0))*'HCW + Staff Summary'!$O66/1000),"")</f>
        <v/>
      </c>
    </row>
    <row r="67" spans="2:19" x14ac:dyDescent="0.75">
      <c r="B67" s="43" t="s">
        <v>369</v>
      </c>
      <c r="C67" s="43" t="s">
        <v>370</v>
      </c>
      <c r="D67" s="132" t="s">
        <v>1124</v>
      </c>
      <c r="E67" s="132" t="s">
        <v>750</v>
      </c>
      <c r="F67" s="132" t="str">
        <f t="shared" si="0"/>
        <v>Not LMIC</v>
      </c>
      <c r="G67" s="646">
        <f>INDEX('WB HCW &amp; Beds'!$C$558:$BO$821,MATCH($C67,'WB HCW &amp; Beds'!$C$558:$C$821,0),MATCH("Latest value",'WB HCW &amp; Beds'!$C$557:$BO$557,0))</f>
        <v>0.94011084109972498</v>
      </c>
      <c r="H67" s="647">
        <f>INDEX('WB HCW &amp; Beds'!$C$558:$BO$821,MATCH($C67,'WB HCW &amp; Beds'!$C$558:$C$821,0),MATCH("Latest year",'WB HCW &amp; Beds'!$C$557:$BO$557,0))</f>
        <v>2015</v>
      </c>
      <c r="I67" s="651">
        <f>INDEX('WB HCW &amp; Beds'!$C$286:$BP$561,MATCH($C67,'WB HCW &amp; Beds'!$C$286:$C$561,0),MATCH("Value",'WB HCW &amp; Beds'!$C$286:$BP$286,0))</f>
        <v>0.42702452919143652</v>
      </c>
      <c r="J67" s="647">
        <f>'WB HCW &amp; Beds'!BO347</f>
        <v>2011</v>
      </c>
      <c r="K67" s="653">
        <f>'WB HCW &amp; Beds'!BN75</f>
        <v>1.9290074393430101</v>
      </c>
      <c r="L67" s="654">
        <f>'WB HCW &amp; Beds'!BO75</f>
        <v>2015</v>
      </c>
      <c r="M67" s="720" t="str">
        <f>IFERROR(IFERROR(INDEX('WHO GHO Data'!$AB$8:$AB$201,MATCH('HCW + Staff Summary'!$C67,'WHO GHO Data'!$C$8:$C$201,0)),INDEX('WHO GHO Data'!$AE$9:$AE$13,MATCH('HCW + Staff Summary'!$E67,'WHO GHO Data'!$AD$9:$AD$13,0))),"")</f>
        <v/>
      </c>
      <c r="O67" s="29">
        <f>INDEX('WB Population Data'!$D$6:$D$269,MATCH($B67,'WB Population Data'!$B$6:$B$269,0))</f>
        <v>3332556000</v>
      </c>
      <c r="P67" s="30">
        <f t="shared" si="1"/>
        <v>0</v>
      </c>
      <c r="Q67" s="29">
        <f t="shared" si="2"/>
        <v>1423083.1569040969</v>
      </c>
      <c r="R67" s="29">
        <f>IFERROR(IFERROR(INDEX('WHO GHO Data'!$S$8:$S$201,MATCH($C67,'WHO GHO Data'!$C$8:$C$201,0)),($O67/1000*$K67)),IFERROR($O67/1000*VLOOKUP(E67,$W$9:$Y$12,3,0),0))</f>
        <v>6428525.316027184</v>
      </c>
      <c r="S67" s="30" t="str">
        <f>IFERROR(IFERROR(INDEX('WHO GHO Data'!$U$8:$U$201,MATCH($C67,'WHO GHO Data'!$C$8:$C$201,0)),INDEX('WHO GHO Data'!$AE$9:$AE$13,MATCH($E67,'WHO GHO Data'!$AD$9:$AD$13,0))*'HCW + Staff Summary'!$O67/1000),"")</f>
        <v/>
      </c>
    </row>
    <row r="68" spans="2:19" x14ac:dyDescent="0.75">
      <c r="B68" s="43" t="s">
        <v>371</v>
      </c>
      <c r="C68" s="43" t="s">
        <v>372</v>
      </c>
      <c r="D68" s="132" t="s">
        <v>1124</v>
      </c>
      <c r="E68" s="132" t="s">
        <v>750</v>
      </c>
      <c r="F68" s="132" t="str">
        <f t="shared" si="0"/>
        <v>Not LMIC</v>
      </c>
      <c r="G68" s="646">
        <f>INDEX('WB HCW &amp; Beds'!$C$558:$BO$821,MATCH($C68,'WB HCW &amp; Beds'!$C$558:$C$821,0),MATCH("Latest value",'WB HCW &amp; Beds'!$C$557:$BO$557,0))</f>
        <v>1.5767725519397087</v>
      </c>
      <c r="H68" s="647">
        <f>INDEX('WB HCW &amp; Beds'!$C$558:$BO$821,MATCH($C68,'WB HCW &amp; Beds'!$C$558:$C$821,0),MATCH("Latest year",'WB HCW &amp; Beds'!$C$557:$BO$557,0))</f>
        <v>2015</v>
      </c>
      <c r="I68" s="651">
        <f>INDEX('WB HCW &amp; Beds'!$C$286:$BP$561,MATCH($C68,'WB HCW &amp; Beds'!$C$286:$C$561,0),MATCH("Value",'WB HCW &amp; Beds'!$C$286:$BP$286,0))</f>
        <v>0.67218257158545569</v>
      </c>
      <c r="J68" s="647">
        <f>'WB HCW &amp; Beds'!BO348</f>
        <v>2011</v>
      </c>
      <c r="K68" s="653">
        <f>'WB HCW &amp; Beds'!BN76</f>
        <v>2.9341161379957588</v>
      </c>
      <c r="L68" s="654">
        <f>'WB HCW &amp; Beds'!BO76</f>
        <v>2015</v>
      </c>
      <c r="M68" s="720" t="str">
        <f>IFERROR(IFERROR(INDEX('WHO GHO Data'!$AB$8:$AB$201,MATCH('HCW + Staff Summary'!$C68,'WHO GHO Data'!$C$8:$C$201,0)),INDEX('WHO GHO Data'!$AE$9:$AE$13,MATCH('HCW + Staff Summary'!$E68,'WHO GHO Data'!$AD$9:$AD$13,0))),"")</f>
        <v/>
      </c>
      <c r="O68" s="29">
        <f>INDEX('WB Population Data'!$D$6:$D$269,MATCH($B68,'WB Population Data'!$B$6:$B$269,0))</f>
        <v>2351307000</v>
      </c>
      <c r="P68" s="30">
        <f t="shared" si="1"/>
        <v>0</v>
      </c>
      <c r="Q68" s="29">
        <f t="shared" si="2"/>
        <v>1580507.585846883</v>
      </c>
      <c r="R68" s="29">
        <f>IFERROR(IFERROR(INDEX('WHO GHO Data'!$S$8:$S$201,MATCH($C68,'WHO GHO Data'!$C$8:$C$201,0)),($O68/1000*$K68)),IFERROR($O68/1000*VLOOKUP(E68,$W$9:$Y$12,3,0),0))</f>
        <v>6899007.8140823934</v>
      </c>
      <c r="S68" s="30" t="str">
        <f>IFERROR(IFERROR(INDEX('WHO GHO Data'!$U$8:$U$201,MATCH($C68,'WHO GHO Data'!$C$8:$C$201,0)),INDEX('WHO GHO Data'!$AE$9:$AE$13,MATCH($E68,'WHO GHO Data'!$AD$9:$AD$13,0))*'HCW + Staff Summary'!$O68/1000),"")</f>
        <v/>
      </c>
    </row>
    <row r="69" spans="2:19" x14ac:dyDescent="0.75">
      <c r="B69" s="43" t="s">
        <v>385</v>
      </c>
      <c r="C69" s="43" t="s">
        <v>386</v>
      </c>
      <c r="D69" s="132" t="s">
        <v>1124</v>
      </c>
      <c r="E69" s="132" t="s">
        <v>750</v>
      </c>
      <c r="F69" s="132" t="str">
        <f t="shared" si="0"/>
        <v>Not LMIC</v>
      </c>
      <c r="G69" s="646">
        <f>INDEX('WB HCW &amp; Beds'!$C$558:$BO$821,MATCH($C69,'WB HCW &amp; Beds'!$C$558:$C$821,0),MATCH("Latest value",'WB HCW &amp; Beds'!$C$557:$BO$557,0))</f>
        <v>3.045276370500583</v>
      </c>
      <c r="H69" s="647">
        <f>INDEX('WB HCW &amp; Beds'!$C$558:$BO$821,MATCH($C69,'WB HCW &amp; Beds'!$C$558:$C$821,0),MATCH("Latest year",'WB HCW &amp; Beds'!$C$557:$BO$557,0))</f>
        <v>2015</v>
      </c>
      <c r="I69" s="651">
        <f>INDEX('WB HCW &amp; Beds'!$C$286:$BP$561,MATCH($C69,'WB HCW &amp; Beds'!$C$286:$C$561,0),MATCH("Value",'WB HCW &amp; Beds'!$C$286:$BP$286,0))</f>
        <v>0.4</v>
      </c>
      <c r="J69" s="647" t="str">
        <f>'WB HCW &amp; Beds'!BO349</f>
        <v>No reported value</v>
      </c>
      <c r="K69" s="653">
        <f>'WB HCW &amp; Beds'!BN77</f>
        <v>7.0208190546653384</v>
      </c>
      <c r="L69" s="654">
        <f>'WB HCW &amp; Beds'!BO77</f>
        <v>2015</v>
      </c>
      <c r="M69" s="720" t="str">
        <f>IFERROR(IFERROR(INDEX('WHO GHO Data'!$AB$8:$AB$201,MATCH('HCW + Staff Summary'!$C69,'WHO GHO Data'!$C$8:$C$201,0)),INDEX('WHO GHO Data'!$AE$9:$AE$13,MATCH('HCW + Staff Summary'!$E69,'WHO GHO Data'!$AD$9:$AD$13,0))),"")</f>
        <v/>
      </c>
      <c r="O69" s="29">
        <f>INDEX('WB Population Data'!$D$6:$D$269,MATCH($B69,'WB Population Data'!$B$6:$B$269,0))</f>
        <v>420757000</v>
      </c>
      <c r="P69" s="30">
        <f t="shared" si="1"/>
        <v>0</v>
      </c>
      <c r="Q69" s="29">
        <f t="shared" si="2"/>
        <v>168302.80000000002</v>
      </c>
      <c r="R69" s="29">
        <f>IFERROR(IFERROR(INDEX('WHO GHO Data'!$S$8:$S$201,MATCH($C69,'WHO GHO Data'!$C$8:$C$201,0)),($O69/1000*$K69)),IFERROR($O69/1000*VLOOKUP(E69,$W$9:$Y$12,3,0),0))</f>
        <v>2954058.7629838237</v>
      </c>
      <c r="S69" s="30" t="str">
        <f>IFERROR(IFERROR(INDEX('WHO GHO Data'!$U$8:$U$201,MATCH($C69,'WHO GHO Data'!$C$8:$C$201,0)),INDEX('WHO GHO Data'!$AE$9:$AE$13,MATCH($E69,'WHO GHO Data'!$AD$9:$AD$13,0))*'HCW + Staff Summary'!$O69/1000),"")</f>
        <v/>
      </c>
    </row>
    <row r="70" spans="2:19" x14ac:dyDescent="0.75">
      <c r="B70" s="43" t="s">
        <v>383</v>
      </c>
      <c r="C70" s="43" t="s">
        <v>384</v>
      </c>
      <c r="D70" s="132" t="s">
        <v>1124</v>
      </c>
      <c r="E70" s="132" t="s">
        <v>750</v>
      </c>
      <c r="F70" s="132" t="str">
        <f t="shared" si="0"/>
        <v>Not LMIC</v>
      </c>
      <c r="G70" s="646">
        <f>INDEX('WB HCW &amp; Beds'!$C$558:$BO$821,MATCH($C70,'WB HCW &amp; Beds'!$C$558:$C$821,0),MATCH("Latest value",'WB HCW &amp; Beds'!$C$557:$BO$557,0))</f>
        <v>3.3729252519521515</v>
      </c>
      <c r="H70" s="647">
        <f>INDEX('WB HCW &amp; Beds'!$C$558:$BO$821,MATCH($C70,'WB HCW &amp; Beds'!$C$558:$C$821,0),MATCH("Latest year",'WB HCW &amp; Beds'!$C$557:$BO$557,0))</f>
        <v>2015</v>
      </c>
      <c r="I70" s="651">
        <f>INDEX('WB HCW &amp; Beds'!$C$286:$BP$561,MATCH($C70,'WB HCW &amp; Beds'!$C$286:$C$561,0),MATCH("Value",'WB HCW &amp; Beds'!$C$286:$BP$286,0))</f>
        <v>0.4</v>
      </c>
      <c r="J70" s="647" t="str">
        <f>'WB HCW &amp; Beds'!BO350</f>
        <v>No reported value</v>
      </c>
      <c r="K70" s="653">
        <f>'WB HCW &amp; Beds'!BN78</f>
        <v>8.0933931210326051</v>
      </c>
      <c r="L70" s="654">
        <f>'WB HCW &amp; Beds'!BO78</f>
        <v>2015</v>
      </c>
      <c r="M70" s="720" t="str">
        <f>IFERROR(IFERROR(INDEX('WHO GHO Data'!$AB$8:$AB$201,MATCH('HCW + Staff Summary'!$C70,'WHO GHO Data'!$C$8:$C$201,0)),INDEX('WHO GHO Data'!$AE$9:$AE$13,MATCH('HCW + Staff Summary'!$E70,'WHO GHO Data'!$AD$9:$AD$13,0))),"")</f>
        <v/>
      </c>
      <c r="O70" s="29">
        <f>INDEX('WB Population Data'!$D$6:$D$269,MATCH($B70,'WB Population Data'!$B$6:$B$269,0))</f>
        <v>922779000</v>
      </c>
      <c r="P70" s="30">
        <f t="shared" si="1"/>
        <v>0</v>
      </c>
      <c r="Q70" s="29">
        <f t="shared" si="2"/>
        <v>369111.60000000003</v>
      </c>
      <c r="R70" s="29">
        <f>IFERROR(IFERROR(INDEX('WHO GHO Data'!$S$8:$S$201,MATCH($C70,'WHO GHO Data'!$C$8:$C$201,0)),($O70/1000*$K70)),IFERROR($O70/1000*VLOOKUP(E70,$W$9:$Y$12,3,0),0))</f>
        <v>7468413.2108333465</v>
      </c>
      <c r="S70" s="30" t="str">
        <f>IFERROR(IFERROR(INDEX('WHO GHO Data'!$U$8:$U$201,MATCH($C70,'WHO GHO Data'!$C$8:$C$201,0)),INDEX('WHO GHO Data'!$AE$9:$AE$13,MATCH($E70,'WHO GHO Data'!$AD$9:$AD$13,0))*'HCW + Staff Summary'!$O70/1000),"")</f>
        <v/>
      </c>
    </row>
    <row r="71" spans="2:19" x14ac:dyDescent="0.75">
      <c r="B71" s="43" t="s">
        <v>377</v>
      </c>
      <c r="C71" s="43" t="s">
        <v>38</v>
      </c>
      <c r="D71" s="132" t="s">
        <v>1075</v>
      </c>
      <c r="E71" s="132" t="s">
        <v>558</v>
      </c>
      <c r="F71" s="132" t="str">
        <f t="shared" si="0"/>
        <v>LMIC</v>
      </c>
      <c r="G71" s="646">
        <f>INDEX('WB HCW &amp; Beds'!$C$558:$BO$821,MATCH($C71,'WB HCW &amp; Beds'!$C$558:$C$821,0),MATCH("Latest value",'WB HCW &amp; Beds'!$C$557:$BO$557,0))</f>
        <v>2.0499999999999998</v>
      </c>
      <c r="H71" s="647">
        <f>INDEX('WB HCW &amp; Beds'!$C$558:$BO$821,MATCH($C71,'WB HCW &amp; Beds'!$C$558:$C$821,0),MATCH("Latest year",'WB HCW &amp; Beds'!$C$557:$BO$557,0))</f>
        <v>2016</v>
      </c>
      <c r="I71" s="651">
        <f>INDEX('WB HCW &amp; Beds'!$C$286:$BP$561,MATCH($C71,'WB HCW &amp; Beds'!$C$286:$C$561,0),MATCH("Value",'WB HCW &amp; Beds'!$C$286:$BP$286,0))</f>
        <v>0.4</v>
      </c>
      <c r="J71" s="647" t="str">
        <f>'WB HCW &amp; Beds'!BO351</f>
        <v>No reported value</v>
      </c>
      <c r="K71" s="653">
        <f>'WB HCW &amp; Beds'!BN79</f>
        <v>1.2</v>
      </c>
      <c r="L71" s="654">
        <f>'WB HCW &amp; Beds'!BO79</f>
        <v>2016</v>
      </c>
      <c r="M71" s="720">
        <f>IFERROR(IFERROR(INDEX('WHO GHO Data'!$AB$8:$AB$201,MATCH('HCW + Staff Summary'!$C71,'WHO GHO Data'!$C$8:$C$201,0)),INDEX('WHO GHO Data'!$AE$9:$AE$13,MATCH('HCW + Staff Summary'!$E71,'WHO GHO Data'!$AD$9:$AD$13,0))),"")</f>
        <v>0.25504508336867243</v>
      </c>
      <c r="O71" s="29">
        <f>INDEX('WB Population Data'!$D$6:$D$269,MATCH($B71,'WB Population Data'!$B$6:$B$269,0))</f>
        <v>17643000</v>
      </c>
      <c r="P71" s="30">
        <f t="shared" si="1"/>
        <v>36168.149999999994</v>
      </c>
      <c r="Q71" s="29">
        <f t="shared" ref="Q71:Q134" si="3">IFERROR($O71/1000*$I71,0)</f>
        <v>7057.2000000000007</v>
      </c>
      <c r="R71" s="29">
        <f>IFERROR(IFERROR(INDEX('WHO GHO Data'!$S$8:$S$201,MATCH($C71,'WHO GHO Data'!$C$8:$C$201,0)),($O71/1000*$K71)),IFERROR($O71/1000*VLOOKUP(E71,$W$9:$Y$12,3,0),0))</f>
        <v>44261.995730267488</v>
      </c>
      <c r="S71" s="30">
        <f>IFERROR(IFERROR(INDEX('WHO GHO Data'!$U$8:$U$201,MATCH($C71,'WHO GHO Data'!$C$8:$C$201,0)),INDEX('WHO GHO Data'!$AE$9:$AE$13,MATCH($E71,'WHO GHO Data'!$AD$9:$AD$13,0))*'HCW + Staff Summary'!$O71/1000),"")</f>
        <v>4499.7604058734878</v>
      </c>
    </row>
    <row r="72" spans="2:19" x14ac:dyDescent="0.75">
      <c r="B72" s="43" t="s">
        <v>378</v>
      </c>
      <c r="C72" s="43" t="s">
        <v>39</v>
      </c>
      <c r="D72" s="132" t="s">
        <v>1072</v>
      </c>
      <c r="E72" s="132" t="s">
        <v>455</v>
      </c>
      <c r="F72" s="132" t="str">
        <f t="shared" ref="F72:F135" si="4">IF(OR(E72="High income",E72="Out"),"Not LMIC","LMIC")</f>
        <v>LMIC</v>
      </c>
      <c r="G72" s="646">
        <f>INDEX('WB HCW &amp; Beds'!$C$558:$BO$821,MATCH($C72,'WB HCW &amp; Beds'!$C$558:$C$821,0),MATCH("Latest value",'WB HCW &amp; Beds'!$C$557:$BO$557,0))</f>
        <v>0.79020000000000001</v>
      </c>
      <c r="H72" s="647">
        <f>INDEX('WB HCW &amp; Beds'!$C$558:$BO$821,MATCH($C72,'WB HCW &amp; Beds'!$C$558:$C$821,0),MATCH("Latest year",'WB HCW &amp; Beds'!$C$557:$BO$557,0))</f>
        <v>2017</v>
      </c>
      <c r="I72" s="651">
        <f>INDEX('WB HCW &amp; Beds'!$C$286:$BP$561,MATCH($C72,'WB HCW &amp; Beds'!$C$286:$C$561,0),MATCH("Value",'WB HCW &amp; Beds'!$C$286:$BP$286,0))</f>
        <v>0.4</v>
      </c>
      <c r="J72" s="647" t="str">
        <f>'WB HCW &amp; Beds'!BO352</f>
        <v>No reported value</v>
      </c>
      <c r="K72" s="653">
        <f>'WB HCW &amp; Beds'!BN80</f>
        <v>1.3989</v>
      </c>
      <c r="L72" s="654">
        <f>'WB HCW &amp; Beds'!BO80</f>
        <v>2017</v>
      </c>
      <c r="M72" s="720">
        <f>IFERROR(IFERROR(INDEX('WHO GHO Data'!$AB$8:$AB$201,MATCH('HCW + Staff Summary'!$C72,'WHO GHO Data'!$C$8:$C$201,0)),INDEX('WHO GHO Data'!$AE$9:$AE$13,MATCH('HCW + Staff Summary'!$E72,'WHO GHO Data'!$AD$9:$AD$13,0))),"")</f>
        <v>0.17927729742507142</v>
      </c>
      <c r="O72" s="29">
        <f>INDEX('WB Population Data'!$D$6:$D$269,MATCH($B72,'WB Population Data'!$B$6:$B$269,0))</f>
        <v>102334000</v>
      </c>
      <c r="P72" s="30">
        <f t="shared" ref="P72:P135" si="5">IF(E72="OUT",0,IFERROR($O72/1000*$G72,$O72/1000*VLOOKUP(E72,$W$9:$X$12,2,0)))</f>
        <v>80864.326799999995</v>
      </c>
      <c r="Q72" s="29">
        <f t="shared" si="3"/>
        <v>40933.600000000006</v>
      </c>
      <c r="R72" s="29">
        <f>IFERROR(IFERROR(INDEX('WHO GHO Data'!$S$8:$S$201,MATCH($C72,'WHO GHO Data'!$C$8:$C$201,0)),($O72/1000*$K72)),IFERROR($O72/1000*VLOOKUP(E72,$W$9:$Y$12,3,0),0))</f>
        <v>197807.38365401534</v>
      </c>
      <c r="S72" s="30">
        <f>IFERROR(IFERROR(INDEX('WHO GHO Data'!$U$8:$U$201,MATCH($C72,'WHO GHO Data'!$C$8:$C$201,0)),INDEX('WHO GHO Data'!$AE$9:$AE$13,MATCH($E72,'WHO GHO Data'!$AD$9:$AD$13,0))*'HCW + Staff Summary'!$O72/1000),"")</f>
        <v>18346.162954697258</v>
      </c>
    </row>
    <row r="73" spans="2:19" x14ac:dyDescent="0.75">
      <c r="B73" s="43" t="s">
        <v>381</v>
      </c>
      <c r="C73" s="43" t="s">
        <v>382</v>
      </c>
      <c r="D73" s="132" t="s">
        <v>1124</v>
      </c>
      <c r="E73" s="132" t="s">
        <v>750</v>
      </c>
      <c r="F73" s="132" t="str">
        <f t="shared" si="4"/>
        <v>Not LMIC</v>
      </c>
      <c r="G73" s="646">
        <f>INDEX('WB HCW &amp; Beds'!$C$558:$BO$821,MATCH($C73,'WB HCW &amp; Beds'!$C$558:$C$821,0),MATCH("Latest value",'WB HCW &amp; Beds'!$C$557:$BO$557,0))</f>
        <v>3.8477576041724832</v>
      </c>
      <c r="H73" s="647">
        <f>INDEX('WB HCW &amp; Beds'!$C$558:$BO$821,MATCH($C73,'WB HCW &amp; Beds'!$C$558:$C$821,0),MATCH("Latest year",'WB HCW &amp; Beds'!$C$557:$BO$557,0))</f>
        <v>2015</v>
      </c>
      <c r="I73" s="651">
        <f>INDEX('WB HCW &amp; Beds'!$C$286:$BP$561,MATCH($C73,'WB HCW &amp; Beds'!$C$286:$C$561,0),MATCH("Value",'WB HCW &amp; Beds'!$C$286:$BP$286,0))</f>
        <v>0.4</v>
      </c>
      <c r="J73" s="647" t="str">
        <f>'WB HCW &amp; Beds'!BO353</f>
        <v>No reported value</v>
      </c>
      <c r="K73" s="653">
        <f>'WB HCW &amp; Beds'!BN81</f>
        <v>9.1263260403644342</v>
      </c>
      <c r="L73" s="654">
        <f>'WB HCW &amp; Beds'!BO81</f>
        <v>2015</v>
      </c>
      <c r="M73" s="720" t="str">
        <f>IFERROR(IFERROR(INDEX('WHO GHO Data'!$AB$8:$AB$201,MATCH('HCW + Staff Summary'!$C73,'WHO GHO Data'!$C$8:$C$201,0)),INDEX('WHO GHO Data'!$AE$9:$AE$13,MATCH('HCW + Staff Summary'!$E73,'WHO GHO Data'!$AD$9:$AD$13,0))),"")</f>
        <v/>
      </c>
      <c r="O73" s="29">
        <f>INDEX('WB Population Data'!$D$6:$D$269,MATCH($B73,'WB Population Data'!$B$6:$B$269,0))</f>
        <v>341989000</v>
      </c>
      <c r="P73" s="30">
        <f t="shared" si="5"/>
        <v>0</v>
      </c>
      <c r="Q73" s="29">
        <f t="shared" si="3"/>
        <v>136795.6</v>
      </c>
      <c r="R73" s="29">
        <f>IFERROR(IFERROR(INDEX('WHO GHO Data'!$S$8:$S$201,MATCH($C73,'WHO GHO Data'!$C$8:$C$201,0)),($O73/1000*$K73)),IFERROR($O73/1000*VLOOKUP(E73,$W$9:$Y$12,3,0),0))</f>
        <v>3121103.1162181925</v>
      </c>
      <c r="S73" s="30" t="str">
        <f>IFERROR(IFERROR(INDEX('WHO GHO Data'!$U$8:$U$201,MATCH($C73,'WHO GHO Data'!$C$8:$C$201,0)),INDEX('WHO GHO Data'!$AE$9:$AE$13,MATCH($E73,'WHO GHO Data'!$AD$9:$AD$13,0))*'HCW + Staff Summary'!$O73/1000),"")</f>
        <v/>
      </c>
    </row>
    <row r="74" spans="2:19" x14ac:dyDescent="0.75">
      <c r="B74" s="43" t="s">
        <v>192</v>
      </c>
      <c r="C74" s="43" t="s">
        <v>168</v>
      </c>
      <c r="D74" s="132" t="s">
        <v>1073</v>
      </c>
      <c r="E74" s="132" t="s">
        <v>453</v>
      </c>
      <c r="F74" s="132" t="str">
        <f t="shared" si="4"/>
        <v>LMIC</v>
      </c>
      <c r="G74" s="646">
        <f>INDEX('WB HCW &amp; Beds'!$C$558:$BO$821,MATCH($C74,'WB HCW &amp; Beds'!$C$558:$C$821,0),MATCH("Latest value",'WB HCW &amp; Beds'!$C$557:$BO$557,0))</f>
        <v>5.57E-2</v>
      </c>
      <c r="H74" s="647">
        <f>INDEX('WB HCW &amp; Beds'!$C$558:$BO$821,MATCH($C74,'WB HCW &amp; Beds'!$C$558:$C$821,0),MATCH("Latest year",'WB HCW &amp; Beds'!$C$557:$BO$557,0))</f>
        <v>2004</v>
      </c>
      <c r="I74" s="651">
        <f>INDEX('WB HCW &amp; Beds'!$C$286:$BP$561,MATCH($C74,'WB HCW &amp; Beds'!$C$286:$C$561,0),MATCH("Value",'WB HCW &amp; Beds'!$C$286:$BP$286,0))</f>
        <v>0.4</v>
      </c>
      <c r="J74" s="647" t="str">
        <f>'WB HCW &amp; Beds'!BO354</f>
        <v>No reported value</v>
      </c>
      <c r="K74" s="653">
        <f>'WB HCW &amp; Beds'!BN82</f>
        <v>0.6492</v>
      </c>
      <c r="L74" s="654">
        <f>'WB HCW &amp; Beds'!BO82</f>
        <v>2004</v>
      </c>
      <c r="M74" s="720">
        <f>IFERROR(IFERROR(INDEX('WHO GHO Data'!$AB$8:$AB$201,MATCH('HCW + Staff Summary'!$C74,'WHO GHO Data'!$C$8:$C$201,0)),INDEX('WHO GHO Data'!$AE$9:$AE$13,MATCH('HCW + Staff Summary'!$E74,'WHO GHO Data'!$AD$9:$AD$13,0))),"")</f>
        <v>3.288826737372056E-2</v>
      </c>
      <c r="O74" s="29">
        <f>INDEX('WB Population Data'!$D$6:$D$269,MATCH($B74,'WB Population Data'!$B$6:$B$269,0))</f>
        <v>6081196</v>
      </c>
      <c r="P74" s="30">
        <f t="shared" si="5"/>
        <v>338.7226172</v>
      </c>
      <c r="Q74" s="29">
        <f t="shared" si="3"/>
        <v>2432.4784</v>
      </c>
      <c r="R74" s="29">
        <f>IFERROR(IFERROR(INDEX('WHO GHO Data'!$S$8:$S$201,MATCH($C74,'WHO GHO Data'!$C$8:$C$201,0)),($O74/1000*$K74)),IFERROR($O74/1000*VLOOKUP(E74,$W$9:$Y$12,3,0),0))</f>
        <v>4971</v>
      </c>
      <c r="S74" s="30">
        <f>IFERROR(IFERROR(INDEX('WHO GHO Data'!$U$8:$U$201,MATCH($C74,'WHO GHO Data'!$C$8:$C$201,0)),INDEX('WHO GHO Data'!$AE$9:$AE$13,MATCH($E74,'WHO GHO Data'!$AD$9:$AD$13,0))*'HCW + Staff Summary'!$O74/1000),"")</f>
        <v>200</v>
      </c>
    </row>
    <row r="75" spans="2:19" x14ac:dyDescent="0.75">
      <c r="B75" s="43" t="s">
        <v>530</v>
      </c>
      <c r="C75" s="43" t="s">
        <v>40</v>
      </c>
      <c r="D75" s="132" t="s">
        <v>1074</v>
      </c>
      <c r="E75" s="132" t="s">
        <v>411</v>
      </c>
      <c r="F75" s="132" t="str">
        <f t="shared" si="4"/>
        <v>Not LMIC</v>
      </c>
      <c r="G75" s="646">
        <f>INDEX('WB HCW &amp; Beds'!$C$558:$BO$821,MATCH($C75,'WB HCW &amp; Beds'!$C$558:$C$821,0),MATCH("Latest value",'WB HCW &amp; Beds'!$C$557:$BO$557,0))</f>
        <v>4.0690999999999997</v>
      </c>
      <c r="H75" s="647">
        <f>INDEX('WB HCW &amp; Beds'!$C$558:$BO$821,MATCH($C75,'WB HCW &amp; Beds'!$C$558:$C$821,0),MATCH("Latest year",'WB HCW &amp; Beds'!$C$557:$BO$557,0))</f>
        <v>2016</v>
      </c>
      <c r="I75" s="651">
        <f>INDEX('WB HCW &amp; Beds'!$C$286:$BP$561,MATCH($C75,'WB HCW &amp; Beds'!$C$286:$C$561,0),MATCH("Value",'WB HCW &amp; Beds'!$C$286:$BP$286,0))</f>
        <v>0.4</v>
      </c>
      <c r="J75" s="647" t="str">
        <f>'WB HCW &amp; Beds'!BO355</f>
        <v>No reported value</v>
      </c>
      <c r="K75" s="653">
        <f>'WB HCW &amp; Beds'!BN83</f>
        <v>5.5307000000000004</v>
      </c>
      <c r="L75" s="654">
        <f>'WB HCW &amp; Beds'!BO83</f>
        <v>2016</v>
      </c>
      <c r="M75" s="720">
        <f>IFERROR(IFERROR(INDEX('WHO GHO Data'!$AB$8:$AB$201,MATCH('HCW + Staff Summary'!$C75,'WHO GHO Data'!$C$8:$C$201,0)),INDEX('WHO GHO Data'!$AE$9:$AE$13,MATCH('HCW + Staff Summary'!$E75,'WHO GHO Data'!$AD$9:$AD$13,0))),"")</f>
        <v>0.54650004528486062</v>
      </c>
      <c r="O75" s="29">
        <f>INDEX('WB Population Data'!$D$6:$D$269,MATCH($B75,'WB Population Data'!$B$6:$B$269,0))</f>
        <v>46711000</v>
      </c>
      <c r="P75" s="30">
        <f t="shared" si="5"/>
        <v>190071.73009999999</v>
      </c>
      <c r="Q75" s="29">
        <f t="shared" si="3"/>
        <v>18684.400000000001</v>
      </c>
      <c r="R75" s="29">
        <f>IFERROR(IFERROR(INDEX('WHO GHO Data'!$S$8:$S$201,MATCH($C75,'WHO GHO Data'!$C$8:$C$201,0)),($O75/1000*$K75)),IFERROR($O75/1000*VLOOKUP(E75,$W$9:$Y$12,3,0),0))</f>
        <v>267622.4742649098</v>
      </c>
      <c r="S75" s="30">
        <f>IFERROR(IFERROR(INDEX('WHO GHO Data'!$U$8:$U$201,MATCH($C75,'WHO GHO Data'!$C$8:$C$201,0)),INDEX('WHO GHO Data'!$AE$9:$AE$13,MATCH($E75,'WHO GHO Data'!$AD$9:$AD$13,0))*'HCW + Staff Summary'!$O75/1000),"")</f>
        <v>25527.563615301126</v>
      </c>
    </row>
    <row r="76" spans="2:19" x14ac:dyDescent="0.75">
      <c r="B76" s="43" t="s">
        <v>379</v>
      </c>
      <c r="C76" s="43" t="s">
        <v>41</v>
      </c>
      <c r="D76" s="132" t="s">
        <v>1074</v>
      </c>
      <c r="E76" s="132" t="s">
        <v>411</v>
      </c>
      <c r="F76" s="132" t="str">
        <f t="shared" si="4"/>
        <v>Not LMIC</v>
      </c>
      <c r="G76" s="646">
        <f>INDEX('WB HCW &amp; Beds'!$C$558:$BO$821,MATCH($C76,'WB HCW &amp; Beds'!$C$558:$C$821,0),MATCH("Latest value",'WB HCW &amp; Beds'!$C$557:$BO$557,0))</f>
        <v>3.4651000000000001</v>
      </c>
      <c r="H76" s="647">
        <f>INDEX('WB HCW &amp; Beds'!$C$558:$BO$821,MATCH($C76,'WB HCW &amp; Beds'!$C$558:$C$821,0),MATCH("Latest year",'WB HCW &amp; Beds'!$C$557:$BO$557,0))</f>
        <v>2016</v>
      </c>
      <c r="I76" s="651">
        <f>INDEX('WB HCW &amp; Beds'!$C$286:$BP$561,MATCH($C76,'WB HCW &amp; Beds'!$C$286:$C$561,0),MATCH("Value",'WB HCW &amp; Beds'!$C$286:$BP$286,0))</f>
        <v>3.1E-2</v>
      </c>
      <c r="J76" s="647">
        <f>'WB HCW &amp; Beds'!BO356</f>
        <v>2000</v>
      </c>
      <c r="K76" s="653">
        <f>'WB HCW &amp; Beds'!BN84</f>
        <v>6.4526000000000003</v>
      </c>
      <c r="L76" s="654">
        <f>'WB HCW &amp; Beds'!BO84</f>
        <v>2016</v>
      </c>
      <c r="M76" s="720">
        <f>IFERROR(IFERROR(INDEX('WHO GHO Data'!$AB$8:$AB$201,MATCH('HCW + Staff Summary'!$C76,'WHO GHO Data'!$C$8:$C$201,0)),INDEX('WHO GHO Data'!$AE$9:$AE$13,MATCH('HCW + Staff Summary'!$E76,'WHO GHO Data'!$AD$9:$AD$13,0))),"")</f>
        <v>0.54650004528486062</v>
      </c>
      <c r="O76" s="29">
        <f>INDEX('WB Population Data'!$D$6:$D$269,MATCH($B76,'WB Population Data'!$B$6:$B$269,0))</f>
        <v>1313000</v>
      </c>
      <c r="P76" s="30">
        <f t="shared" si="5"/>
        <v>4549.6763000000001</v>
      </c>
      <c r="Q76" s="29">
        <f t="shared" si="3"/>
        <v>40.703000000000003</v>
      </c>
      <c r="R76" s="29">
        <f>IFERROR(IFERROR(INDEX('WHO GHO Data'!$S$8:$S$201,MATCH($C76,'WHO GHO Data'!$C$8:$C$201,0)),($O76/1000*$K76)),IFERROR($O76/1000*VLOOKUP(E76,$W$9:$Y$12,3,0),0))</f>
        <v>13798.068420321855</v>
      </c>
      <c r="S76" s="30">
        <f>IFERROR(IFERROR(INDEX('WHO GHO Data'!$U$8:$U$201,MATCH($C76,'WHO GHO Data'!$C$8:$C$201,0)),INDEX('WHO GHO Data'!$AE$9:$AE$13,MATCH($E76,'WHO GHO Data'!$AD$9:$AD$13,0))*'HCW + Staff Summary'!$O76/1000),"")</f>
        <v>717.55455945902202</v>
      </c>
    </row>
    <row r="77" spans="2:19" x14ac:dyDescent="0.75">
      <c r="B77" s="43" t="s">
        <v>194</v>
      </c>
      <c r="C77" s="43" t="s">
        <v>42</v>
      </c>
      <c r="D77" s="132" t="s">
        <v>1073</v>
      </c>
      <c r="E77" s="132" t="s">
        <v>453</v>
      </c>
      <c r="F77" s="132" t="str">
        <f t="shared" si="4"/>
        <v>LMIC</v>
      </c>
      <c r="G77" s="646">
        <f>INDEX('WB HCW &amp; Beds'!$C$558:$BO$821,MATCH($C77,'WB HCW &amp; Beds'!$C$558:$C$821,0),MATCH("Latest value",'WB HCW &amp; Beds'!$C$557:$BO$557,0))</f>
        <v>0.1</v>
      </c>
      <c r="H77" s="647">
        <f>INDEX('WB HCW &amp; Beds'!$C$558:$BO$821,MATCH($C77,'WB HCW &amp; Beds'!$C$558:$C$821,0),MATCH("Latest year",'WB HCW &amp; Beds'!$C$557:$BO$557,0))</f>
        <v>2017</v>
      </c>
      <c r="I77" s="651">
        <f>INDEX('WB HCW &amp; Beds'!$C$286:$BP$561,MATCH($C77,'WB HCW &amp; Beds'!$C$286:$C$561,0),MATCH("Value",'WB HCW &amp; Beds'!$C$286:$BP$286,0))</f>
        <v>0.36299999999999999</v>
      </c>
      <c r="J77" s="647">
        <f>'WB HCW &amp; Beds'!BO357</f>
        <v>2009</v>
      </c>
      <c r="K77" s="653">
        <f>'WB HCW &amp; Beds'!BN85</f>
        <v>0.84</v>
      </c>
      <c r="L77" s="654">
        <f>'WB HCW &amp; Beds'!BO85</f>
        <v>2017</v>
      </c>
      <c r="M77" s="720">
        <f>IFERROR(IFERROR(INDEX('WHO GHO Data'!$AB$8:$AB$201,MATCH('HCW + Staff Summary'!$C77,'WHO GHO Data'!$C$8:$C$201,0)),INDEX('WHO GHO Data'!$AE$9:$AE$13,MATCH('HCW + Staff Summary'!$E77,'WHO GHO Data'!$AD$9:$AD$13,0))),"")</f>
        <v>3.2950882903763461E-2</v>
      </c>
      <c r="O77" s="29">
        <f>INDEX('WB Population Data'!$D$6:$D$269,MATCH($B77,'WB Population Data'!$B$6:$B$269,0))</f>
        <v>114964000</v>
      </c>
      <c r="P77" s="30">
        <f t="shared" si="5"/>
        <v>11496.400000000001</v>
      </c>
      <c r="Q77" s="29">
        <f t="shared" si="3"/>
        <v>41731.932000000001</v>
      </c>
      <c r="R77" s="29">
        <f>IFERROR(IFERROR(INDEX('WHO GHO Data'!$S$8:$S$201,MATCH($C77,'WHO GHO Data'!$C$8:$C$201,0)),($O77/1000*$K77)),IFERROR($O77/1000*VLOOKUP(E77,$W$9:$Y$12,3,0),0))</f>
        <v>65164.808788996117</v>
      </c>
      <c r="S77" s="30">
        <f>IFERROR(IFERROR(INDEX('WHO GHO Data'!$U$8:$U$201,MATCH($C77,'WHO GHO Data'!$C$8:$C$201,0)),INDEX('WHO GHO Data'!$AE$9:$AE$13,MATCH($E77,'WHO GHO Data'!$AD$9:$AD$13,0))*'HCW + Staff Summary'!$O77/1000),"")</f>
        <v>3788.1653021482625</v>
      </c>
    </row>
    <row r="78" spans="2:19" x14ac:dyDescent="0.75">
      <c r="B78" s="43" t="s">
        <v>389</v>
      </c>
      <c r="C78" s="43" t="s">
        <v>390</v>
      </c>
      <c r="D78" s="132" t="s">
        <v>1124</v>
      </c>
      <c r="E78" s="132" t="s">
        <v>750</v>
      </c>
      <c r="F78" s="132" t="str">
        <f t="shared" si="4"/>
        <v>Not LMIC</v>
      </c>
      <c r="G78" s="646">
        <f>INDEX('WB HCW &amp; Beds'!$C$558:$BO$821,MATCH($C78,'WB HCW &amp; Beds'!$C$558:$C$821,0),MATCH("Latest value",'WB HCW &amp; Beds'!$C$557:$BO$557,0))</f>
        <v>3.5742495045037481</v>
      </c>
      <c r="H78" s="647">
        <f>INDEX('WB HCW &amp; Beds'!$C$558:$BO$821,MATCH($C78,'WB HCW &amp; Beds'!$C$558:$C$821,0),MATCH("Latest year",'WB HCW &amp; Beds'!$C$557:$BO$557,0))</f>
        <v>2015</v>
      </c>
      <c r="I78" s="651">
        <f>INDEX('WB HCW &amp; Beds'!$C$286:$BP$561,MATCH($C78,'WB HCW &amp; Beds'!$C$286:$C$561,0),MATCH("Value",'WB HCW &amp; Beds'!$C$286:$BP$286,0))</f>
        <v>0.4</v>
      </c>
      <c r="J78" s="647" t="str">
        <f>'WB HCW &amp; Beds'!BO358</f>
        <v>No reported value</v>
      </c>
      <c r="K78" s="653">
        <f>'WB HCW &amp; Beds'!BN86</f>
        <v>8.5822719417618902</v>
      </c>
      <c r="L78" s="654">
        <f>'WB HCW &amp; Beds'!BO86</f>
        <v>2015</v>
      </c>
      <c r="M78" s="720" t="str">
        <f>IFERROR(IFERROR(INDEX('WHO GHO Data'!$AB$8:$AB$201,MATCH('HCW + Staff Summary'!$C78,'WHO GHO Data'!$C$8:$C$201,0)),INDEX('WHO GHO Data'!$AE$9:$AE$13,MATCH('HCW + Staff Summary'!$E78,'WHO GHO Data'!$AD$9:$AD$13,0))),"")</f>
        <v/>
      </c>
      <c r="O78" s="29">
        <f>INDEX('WB Population Data'!$D$6:$D$269,MATCH($B78,'WB Population Data'!$B$6:$B$269,0))</f>
        <v>513719000</v>
      </c>
      <c r="P78" s="30">
        <f t="shared" si="5"/>
        <v>0</v>
      </c>
      <c r="Q78" s="29">
        <f t="shared" si="3"/>
        <v>205487.6</v>
      </c>
      <c r="R78" s="29">
        <f>IFERROR(IFERROR(INDEX('WHO GHO Data'!$S$8:$S$201,MATCH($C78,'WHO GHO Data'!$C$8:$C$201,0)),($O78/1000*$K78)),IFERROR($O78/1000*VLOOKUP(E78,$W$9:$Y$12,3,0),0))</f>
        <v>4408876.1596499765</v>
      </c>
      <c r="S78" s="30" t="str">
        <f>IFERROR(IFERROR(INDEX('WHO GHO Data'!$U$8:$U$201,MATCH($C78,'WHO GHO Data'!$C$8:$C$201,0)),INDEX('WHO GHO Data'!$AE$9:$AE$13,MATCH($E78,'WHO GHO Data'!$AD$9:$AD$13,0))*'HCW + Staff Summary'!$O78/1000),"")</f>
        <v/>
      </c>
    </row>
    <row r="79" spans="2:19" x14ac:dyDescent="0.75">
      <c r="B79" s="43" t="s">
        <v>394</v>
      </c>
      <c r="C79" s="43" t="s">
        <v>395</v>
      </c>
      <c r="D79" s="132" t="s">
        <v>1124</v>
      </c>
      <c r="E79" s="132" t="s">
        <v>750</v>
      </c>
      <c r="F79" s="132" t="str">
        <f t="shared" si="4"/>
        <v>Not LMIC</v>
      </c>
      <c r="G79" s="646">
        <f>INDEX('WB HCW &amp; Beds'!$C$558:$BO$821,MATCH($C79,'WB HCW &amp; Beds'!$C$558:$C$821,0),MATCH("Latest value",'WB HCW &amp; Beds'!$C$557:$BO$557,0))</f>
        <v>0.39973797980833775</v>
      </c>
      <c r="H79" s="647">
        <f>INDEX('WB HCW &amp; Beds'!$C$558:$BO$821,MATCH($C79,'WB HCW &amp; Beds'!$C$558:$C$821,0),MATCH("Latest year",'WB HCW &amp; Beds'!$C$557:$BO$557,0))</f>
        <v>2015</v>
      </c>
      <c r="I79" s="651">
        <f>INDEX('WB HCW &amp; Beds'!$C$286:$BP$561,MATCH($C79,'WB HCW &amp; Beds'!$C$286:$C$561,0),MATCH("Value",'WB HCW &amp; Beds'!$C$286:$BP$286,0))</f>
        <v>0.4</v>
      </c>
      <c r="J79" s="647" t="str">
        <f>'WB HCW &amp; Beds'!BO359</f>
        <v>No reported value</v>
      </c>
      <c r="K79" s="653">
        <f>'WB HCW &amp; Beds'!BN87</f>
        <v>0.86253797717014757</v>
      </c>
      <c r="L79" s="654">
        <f>'WB HCW &amp; Beds'!BO87</f>
        <v>2015</v>
      </c>
      <c r="M79" s="720" t="str">
        <f>IFERROR(IFERROR(INDEX('WHO GHO Data'!$AB$8:$AB$201,MATCH('HCW + Staff Summary'!$C79,'WHO GHO Data'!$C$8:$C$201,0)),INDEX('WHO GHO Data'!$AE$9:$AE$13,MATCH('HCW + Staff Summary'!$E79,'WHO GHO Data'!$AD$9:$AD$13,0))),"")</f>
        <v/>
      </c>
      <c r="O79" s="29">
        <f>INDEX('WB Population Data'!$D$6:$D$269,MATCH($B79,'WB Population Data'!$B$6:$B$269,0))</f>
        <v>538961000</v>
      </c>
      <c r="P79" s="30">
        <f t="shared" si="5"/>
        <v>0</v>
      </c>
      <c r="Q79" s="29">
        <f t="shared" si="3"/>
        <v>215584.40000000002</v>
      </c>
      <c r="R79" s="29">
        <f>IFERROR(IFERROR(INDEX('WHO GHO Data'!$S$8:$S$201,MATCH($C79,'WHO GHO Data'!$C$8:$C$201,0)),($O79/1000*$K79)),IFERROR($O79/1000*VLOOKUP(E79,$W$9:$Y$12,3,0),0))</f>
        <v>464874.33071359992</v>
      </c>
      <c r="S79" s="30" t="str">
        <f>IFERROR(IFERROR(INDEX('WHO GHO Data'!$U$8:$U$201,MATCH($C79,'WHO GHO Data'!$C$8:$C$201,0)),INDEX('WHO GHO Data'!$AE$9:$AE$13,MATCH($E79,'WHO GHO Data'!$AD$9:$AD$13,0))*'HCW + Staff Summary'!$O79/1000),"")</f>
        <v/>
      </c>
    </row>
    <row r="80" spans="2:19" x14ac:dyDescent="0.75">
      <c r="B80" s="43" t="s">
        <v>393</v>
      </c>
      <c r="C80" s="43" t="s">
        <v>43</v>
      </c>
      <c r="D80" s="132" t="s">
        <v>1074</v>
      </c>
      <c r="E80" s="132" t="s">
        <v>411</v>
      </c>
      <c r="F80" s="132" t="str">
        <f t="shared" si="4"/>
        <v>Not LMIC</v>
      </c>
      <c r="G80" s="646">
        <f>INDEX('WB HCW &amp; Beds'!$C$558:$BO$821,MATCH($C80,'WB HCW &amp; Beds'!$C$558:$C$821,0),MATCH("Latest value",'WB HCW &amp; Beds'!$C$557:$BO$557,0))</f>
        <v>3.8079999999999998</v>
      </c>
      <c r="H80" s="647">
        <f>INDEX('WB HCW &amp; Beds'!$C$558:$BO$821,MATCH($C80,'WB HCW &amp; Beds'!$C$558:$C$821,0),MATCH("Latest year",'WB HCW &amp; Beds'!$C$557:$BO$557,0))</f>
        <v>2016</v>
      </c>
      <c r="I80" s="651">
        <f>INDEX('WB HCW &amp; Beds'!$C$286:$BP$561,MATCH($C80,'WB HCW &amp; Beds'!$C$286:$C$561,0),MATCH("Value",'WB HCW &amp; Beds'!$C$286:$BP$286,0))</f>
        <v>0.4</v>
      </c>
      <c r="J80" s="647" t="str">
        <f>'WB HCW &amp; Beds'!BO360</f>
        <v>No reported value</v>
      </c>
      <c r="K80" s="653">
        <f>'WB HCW &amp; Beds'!BN88</f>
        <v>14.723000000000001</v>
      </c>
      <c r="L80" s="654">
        <f>'WB HCW &amp; Beds'!BO88</f>
        <v>2016</v>
      </c>
      <c r="M80" s="720">
        <f>IFERROR(IFERROR(INDEX('WHO GHO Data'!$AB$8:$AB$201,MATCH('HCW + Staff Summary'!$C80,'WHO GHO Data'!$C$8:$C$201,0)),INDEX('WHO GHO Data'!$AE$9:$AE$13,MATCH('HCW + Staff Summary'!$E80,'WHO GHO Data'!$AD$9:$AD$13,0))),"")</f>
        <v>1.2951213414753486</v>
      </c>
      <c r="O80" s="29">
        <f>INDEX('WB Population Data'!$D$6:$D$269,MATCH($B80,'WB Population Data'!$B$6:$B$269,0))</f>
        <v>5548000</v>
      </c>
      <c r="P80" s="30">
        <f t="shared" si="5"/>
        <v>21126.784</v>
      </c>
      <c r="Q80" s="29">
        <f t="shared" si="3"/>
        <v>2219.2000000000003</v>
      </c>
      <c r="R80" s="29">
        <f>IFERROR(IFERROR(INDEX('WHO GHO Data'!$S$8:$S$201,MATCH($C80,'WHO GHO Data'!$C$8:$C$201,0)),($O80/1000*$K80)),IFERROR($O80/1000*VLOOKUP(E80,$W$9:$Y$12,3,0),0))</f>
        <v>81961.666652205415</v>
      </c>
      <c r="S80" s="30">
        <f>IFERROR(IFERROR(INDEX('WHO GHO Data'!$U$8:$U$201,MATCH($C80,'WHO GHO Data'!$C$8:$C$201,0)),INDEX('WHO GHO Data'!$AE$9:$AE$13,MATCH($E80,'WHO GHO Data'!$AD$9:$AD$13,0))*'HCW + Staff Summary'!$O80/1000),"")</f>
        <v>7185.3332025052341</v>
      </c>
    </row>
    <row r="81" spans="2:19" x14ac:dyDescent="0.75">
      <c r="B81" s="43" t="s">
        <v>248</v>
      </c>
      <c r="C81" s="43" t="s">
        <v>44</v>
      </c>
      <c r="D81" s="132" t="s">
        <v>1076</v>
      </c>
      <c r="E81" s="132" t="s">
        <v>558</v>
      </c>
      <c r="F81" s="132" t="str">
        <f t="shared" si="4"/>
        <v>LMIC</v>
      </c>
      <c r="G81" s="646">
        <f>INDEX('WB HCW &amp; Beds'!$C$558:$BO$821,MATCH($C81,'WB HCW &amp; Beds'!$C$558:$C$821,0),MATCH("Latest value",'WB HCW &amp; Beds'!$C$557:$BO$557,0))</f>
        <v>0.83740000000000003</v>
      </c>
      <c r="H81" s="647">
        <f>INDEX('WB HCW &amp; Beds'!$C$558:$BO$821,MATCH($C81,'WB HCW &amp; Beds'!$C$558:$C$821,0),MATCH("Latest year",'WB HCW &amp; Beds'!$C$557:$BO$557,0))</f>
        <v>2015</v>
      </c>
      <c r="I81" s="651">
        <f>INDEX('WB HCW &amp; Beds'!$C$286:$BP$561,MATCH($C81,'WB HCW &amp; Beds'!$C$286:$C$561,0),MATCH("Value",'WB HCW &amp; Beds'!$C$286:$BP$286,0))</f>
        <v>0.4</v>
      </c>
      <c r="J81" s="647" t="str">
        <f>'WB HCW &amp; Beds'!BO361</f>
        <v>No reported value</v>
      </c>
      <c r="K81" s="653">
        <f>'WB HCW &amp; Beds'!BN89</f>
        <v>2.9380000000000002</v>
      </c>
      <c r="L81" s="654">
        <f>'WB HCW &amp; Beds'!BO89</f>
        <v>2015</v>
      </c>
      <c r="M81" s="720">
        <f>IFERROR(IFERROR(INDEX('WHO GHO Data'!$AB$8:$AB$201,MATCH('HCW + Staff Summary'!$C81,'WHO GHO Data'!$C$8:$C$201,0)),INDEX('WHO GHO Data'!$AE$9:$AE$13,MATCH('HCW + Staff Summary'!$E81,'WHO GHO Data'!$AD$9:$AD$13,0))),"")</f>
        <v>0.20161558361199397</v>
      </c>
      <c r="O81" s="29">
        <f>INDEX('WB Population Data'!$D$6:$D$269,MATCH($B81,'WB Population Data'!$B$6:$B$269,0))</f>
        <v>896000</v>
      </c>
      <c r="P81" s="30">
        <f t="shared" si="5"/>
        <v>750.31040000000007</v>
      </c>
      <c r="Q81" s="29">
        <f t="shared" si="3"/>
        <v>358.40000000000003</v>
      </c>
      <c r="R81" s="29">
        <f>IFERROR(IFERROR(INDEX('WHO GHO Data'!$S$8:$S$201,MATCH($C81,'WHO GHO Data'!$C$8:$C$201,0)),($O81/1000*$K81)),IFERROR($O81/1000*VLOOKUP(E81,$W$9:$Y$12,3,0),0))</f>
        <v>3006.4305463277319</v>
      </c>
      <c r="S81" s="30">
        <f>IFERROR(IFERROR(INDEX('WHO GHO Data'!$U$8:$U$201,MATCH($C81,'WHO GHO Data'!$C$8:$C$201,0)),INDEX('WHO GHO Data'!$AE$9:$AE$13,MATCH($E81,'WHO GHO Data'!$AD$9:$AD$13,0))*'HCW + Staff Summary'!$O81/1000),"")</f>
        <v>180.6475629163466</v>
      </c>
    </row>
    <row r="82" spans="2:19" x14ac:dyDescent="0.75">
      <c r="B82" s="43" t="s">
        <v>396</v>
      </c>
      <c r="C82" s="43" t="s">
        <v>45</v>
      </c>
      <c r="D82" s="132" t="s">
        <v>1074</v>
      </c>
      <c r="E82" s="132" t="s">
        <v>411</v>
      </c>
      <c r="F82" s="132" t="str">
        <f t="shared" si="4"/>
        <v>Not LMIC</v>
      </c>
      <c r="G82" s="646">
        <f>INDEX('WB HCW &amp; Beds'!$C$558:$BO$821,MATCH($C82,'WB HCW &amp; Beds'!$C$558:$C$821,0),MATCH("Latest value",'WB HCW &amp; Beds'!$C$557:$BO$557,0))</f>
        <v>3.2349000000000001</v>
      </c>
      <c r="H82" s="647">
        <f>INDEX('WB HCW &amp; Beds'!$C$558:$BO$821,MATCH($C82,'WB HCW &amp; Beds'!$C$558:$C$821,0),MATCH("Latest year",'WB HCW &amp; Beds'!$C$557:$BO$557,0))</f>
        <v>2016</v>
      </c>
      <c r="I82" s="651">
        <f>INDEX('WB HCW &amp; Beds'!$C$286:$BP$561,MATCH($C82,'WB HCW &amp; Beds'!$C$286:$C$561,0),MATCH("Value",'WB HCW &amp; Beds'!$C$286:$BP$286,0))</f>
        <v>2.8000000000000001E-2</v>
      </c>
      <c r="J82" s="647">
        <f>'WB HCW &amp; Beds'!BO362</f>
        <v>2007</v>
      </c>
      <c r="K82" s="653">
        <f>'WB HCW &amp; Beds'!BN90</f>
        <v>9.6887000000000008</v>
      </c>
      <c r="L82" s="654">
        <f>'WB HCW &amp; Beds'!BO90</f>
        <v>2016</v>
      </c>
      <c r="M82" s="720">
        <f>IFERROR(IFERROR(INDEX('WHO GHO Data'!$AB$8:$AB$201,MATCH('HCW + Staff Summary'!$C82,'WHO GHO Data'!$C$8:$C$201,0)),INDEX('WHO GHO Data'!$AE$9:$AE$13,MATCH('HCW + Staff Summary'!$E82,'WHO GHO Data'!$AD$9:$AD$13,0))),"")</f>
        <v>0.54650004528486062</v>
      </c>
      <c r="O82" s="29">
        <f>INDEX('WB Population Data'!$D$6:$D$269,MATCH($B82,'WB Population Data'!$B$6:$B$269,0))</f>
        <v>67443000</v>
      </c>
      <c r="P82" s="30">
        <f t="shared" si="5"/>
        <v>218171.36070000002</v>
      </c>
      <c r="Q82" s="29">
        <f t="shared" si="3"/>
        <v>1888.404</v>
      </c>
      <c r="R82" s="29">
        <f>IFERROR(IFERROR(INDEX('WHO GHO Data'!$S$8:$S$201,MATCH($C82,'WHO GHO Data'!$C$8:$C$201,0)),($O82/1000*$K82)),IFERROR($O82/1000*VLOOKUP(E82,$W$9:$Y$12,3,0),0))</f>
        <v>726875.48540717666</v>
      </c>
      <c r="S82" s="30">
        <f>IFERROR(IFERROR(INDEX('WHO GHO Data'!$U$8:$U$201,MATCH($C82,'WHO GHO Data'!$C$8:$C$201,0)),INDEX('WHO GHO Data'!$AE$9:$AE$13,MATCH($E82,'WHO GHO Data'!$AD$9:$AD$13,0))*'HCW + Staff Summary'!$O82/1000),"")</f>
        <v>36857.602554146855</v>
      </c>
    </row>
    <row r="83" spans="2:19" x14ac:dyDescent="0.75">
      <c r="B83" s="43" t="s">
        <v>391</v>
      </c>
      <c r="C83" s="43" t="s">
        <v>392</v>
      </c>
      <c r="D83" s="132" t="s">
        <v>1124</v>
      </c>
      <c r="E83" s="132" t="s">
        <v>411</v>
      </c>
      <c r="F83" s="132" t="str">
        <f t="shared" si="4"/>
        <v>Not LMIC</v>
      </c>
      <c r="G83" s="646" t="str">
        <f>INDEX('WB HCW &amp; Beds'!$C$558:$BO$821,MATCH($C83,'WB HCW &amp; Beds'!$C$558:$C$821,0),MATCH("Latest value",'WB HCW &amp; Beds'!$C$557:$BO$557,0))</f>
        <v>No reported value</v>
      </c>
      <c r="H83" s="647" t="str">
        <f>INDEX('WB HCW &amp; Beds'!$C$558:$BO$821,MATCH($C83,'WB HCW &amp; Beds'!$C$558:$C$821,0),MATCH("Latest year",'WB HCW &amp; Beds'!$C$557:$BO$557,0))</f>
        <v>No reported value</v>
      </c>
      <c r="I83" s="651">
        <f>INDEX('WB HCW &amp; Beds'!$C$286:$BP$561,MATCH($C83,'WB HCW &amp; Beds'!$C$286:$C$561,0),MATCH("Value",'WB HCW &amp; Beds'!$C$286:$BP$286,0))</f>
        <v>0.4</v>
      </c>
      <c r="J83" s="647" t="str">
        <f>'WB HCW &amp; Beds'!BO363</f>
        <v>No reported value</v>
      </c>
      <c r="K83" s="653" t="str">
        <f>'WB HCW &amp; Beds'!BN91</f>
        <v>No reported value</v>
      </c>
      <c r="L83" s="654" t="str">
        <f>'WB HCW &amp; Beds'!BO91</f>
        <v>No reported value</v>
      </c>
      <c r="M83" s="720">
        <f>IFERROR(IFERROR(INDEX('WHO GHO Data'!$AB$8:$AB$201,MATCH('HCW + Staff Summary'!$C83,'WHO GHO Data'!$C$8:$C$201,0)),INDEX('WHO GHO Data'!$AE$9:$AE$13,MATCH('HCW + Staff Summary'!$E83,'WHO GHO Data'!$AD$9:$AD$13,0))),"")</f>
        <v>0.54650004528486062</v>
      </c>
      <c r="O83" s="29">
        <f>INDEX('WB Population Data'!$D$6:$D$269,MATCH($B83,'WB Population Data'!$B$6:$B$269,0))</f>
        <v>49000</v>
      </c>
      <c r="P83" s="30">
        <f t="shared" si="5"/>
        <v>137.28592253521126</v>
      </c>
      <c r="Q83" s="29">
        <f t="shared" si="3"/>
        <v>19.600000000000001</v>
      </c>
      <c r="R83" s="29">
        <f>IFERROR(IFERROR(INDEX('WHO GHO Data'!$S$8:$S$201,MATCH($C83,'WHO GHO Data'!$C$8:$C$201,0)),($O83/1000*$K83)),IFERROR($O83/1000*VLOOKUP(E83,$W$9:$Y$12,3,0),0))</f>
        <v>386.23658620689662</v>
      </c>
      <c r="S83" s="30">
        <f>IFERROR(IFERROR(INDEX('WHO GHO Data'!$U$8:$U$201,MATCH($C83,'WHO GHO Data'!$C$8:$C$201,0)),INDEX('WHO GHO Data'!$AE$9:$AE$13,MATCH($E83,'WHO GHO Data'!$AD$9:$AD$13,0))*'HCW + Staff Summary'!$O83/1000),"")</f>
        <v>26.778502218958174</v>
      </c>
    </row>
    <row r="84" spans="2:19" x14ac:dyDescent="0.75">
      <c r="B84" s="43" t="s">
        <v>464</v>
      </c>
      <c r="C84" s="43" t="s">
        <v>465</v>
      </c>
      <c r="D84" s="132" t="s">
        <v>1076</v>
      </c>
      <c r="E84" s="132" t="s">
        <v>455</v>
      </c>
      <c r="F84" s="132" t="str">
        <f t="shared" si="4"/>
        <v>LMIC</v>
      </c>
      <c r="G84" s="646">
        <f>INDEX('WB HCW &amp; Beds'!$C$558:$BO$821,MATCH($C84,'WB HCW &amp; Beds'!$C$558:$C$821,0),MATCH("Latest value",'WB HCW &amp; Beds'!$C$557:$BO$557,0))</f>
        <v>0.17699999999999999</v>
      </c>
      <c r="H84" s="647">
        <f>INDEX('WB HCW &amp; Beds'!$C$558:$BO$821,MATCH($C84,'WB HCW &amp; Beds'!$C$558:$C$821,0),MATCH("Latest year",'WB HCW &amp; Beds'!$C$557:$BO$557,0))</f>
        <v>2010</v>
      </c>
      <c r="I84" s="651">
        <f>INDEX('WB HCW &amp; Beds'!$C$286:$BP$561,MATCH($C84,'WB HCW &amp; Beds'!$C$286:$C$561,0),MATCH("Value",'WB HCW &amp; Beds'!$C$286:$BP$286,0))</f>
        <v>0.29699999999999999</v>
      </c>
      <c r="J84" s="647">
        <f>'WB HCW &amp; Beds'!BO364</f>
        <v>2008</v>
      </c>
      <c r="K84" s="653">
        <f>'WB HCW &amp; Beds'!BN92</f>
        <v>3.319</v>
      </c>
      <c r="L84" s="654">
        <f>'WB HCW &amp; Beds'!BO92</f>
        <v>2010</v>
      </c>
      <c r="M84" s="720">
        <f>IFERROR(IFERROR(INDEX('WHO GHO Data'!$AB$8:$AB$201,MATCH('HCW + Staff Summary'!$C84,'WHO GHO Data'!$C$8:$C$201,0)),INDEX('WHO GHO Data'!$AE$9:$AE$13,MATCH('HCW + Staff Summary'!$E84,'WHO GHO Data'!$AD$9:$AD$13,0))),"")</f>
        <v>0.33226285858997207</v>
      </c>
      <c r="O84" s="29">
        <f>INDEX('WB Population Data'!$D$6:$D$269,MATCH($B84,'WB Population Data'!$B$6:$B$269,0))</f>
        <v>115000</v>
      </c>
      <c r="P84" s="30">
        <f t="shared" si="5"/>
        <v>20.355</v>
      </c>
      <c r="Q84" s="29">
        <f t="shared" si="3"/>
        <v>34.155000000000001</v>
      </c>
      <c r="R84" s="29">
        <f>IFERROR(IFERROR(INDEX('WHO GHO Data'!$S$8:$S$201,MATCH($C84,'WHO GHO Data'!$C$8:$C$201,0)),($O84/1000*$K84)),IFERROR($O84/1000*VLOOKUP(E84,$W$9:$Y$12,3,0),0))</f>
        <v>235.68871339059604</v>
      </c>
      <c r="S84" s="30">
        <f>IFERROR(IFERROR(INDEX('WHO GHO Data'!$U$8:$U$201,MATCH($C84,'WHO GHO Data'!$C$8:$C$201,0)),INDEX('WHO GHO Data'!$AE$9:$AE$13,MATCH($E84,'WHO GHO Data'!$AD$9:$AD$13,0))*'HCW + Staff Summary'!$O84/1000),"")</f>
        <v>38.210228737846791</v>
      </c>
    </row>
    <row r="85" spans="2:19" x14ac:dyDescent="0.75">
      <c r="B85" s="43" t="s">
        <v>195</v>
      </c>
      <c r="C85" s="43" t="s">
        <v>46</v>
      </c>
      <c r="D85" s="132" t="s">
        <v>1073</v>
      </c>
      <c r="E85" s="132" t="s">
        <v>558</v>
      </c>
      <c r="F85" s="132" t="str">
        <f t="shared" si="4"/>
        <v>LMIC</v>
      </c>
      <c r="G85" s="646">
        <f>INDEX('WB HCW &amp; Beds'!$C$558:$BO$821,MATCH($C85,'WB HCW &amp; Beds'!$C$558:$C$821,0),MATCH("Latest value",'WB HCW &amp; Beds'!$C$557:$BO$557,0))</f>
        <v>0.36109999999999998</v>
      </c>
      <c r="H85" s="647">
        <f>INDEX('WB HCW &amp; Beds'!$C$558:$BO$821,MATCH($C85,'WB HCW &amp; Beds'!$C$558:$C$821,0),MATCH("Latest year",'WB HCW &amp; Beds'!$C$557:$BO$557,0))</f>
        <v>2016</v>
      </c>
      <c r="I85" s="651">
        <f>INDEX('WB HCW &amp; Beds'!$C$286:$BP$561,MATCH($C85,'WB HCW &amp; Beds'!$C$286:$C$561,0),MATCH("Value",'WB HCW &amp; Beds'!$C$286:$BP$286,0))</f>
        <v>0.4</v>
      </c>
      <c r="J85" s="647" t="str">
        <f>'WB HCW &amp; Beds'!BO365</f>
        <v>No reported value</v>
      </c>
      <c r="K85" s="653">
        <f>'WB HCW &amp; Beds'!BN93</f>
        <v>2.5806</v>
      </c>
      <c r="L85" s="654">
        <f>'WB HCW &amp; Beds'!BO93</f>
        <v>2016</v>
      </c>
      <c r="M85" s="720">
        <f>IFERROR(IFERROR(INDEX('WHO GHO Data'!$AB$8:$AB$201,MATCH('HCW + Staff Summary'!$C85,'WHO GHO Data'!$C$8:$C$201,0)),INDEX('WHO GHO Data'!$AE$9:$AE$13,MATCH('HCW + Staff Summary'!$E85,'WHO GHO Data'!$AD$9:$AD$13,0))),"")</f>
        <v>0.21746129051186955</v>
      </c>
      <c r="O85" s="29">
        <f>INDEX('WB Population Data'!$D$6:$D$269,MATCH($B85,'WB Population Data'!$B$6:$B$269,0))</f>
        <v>2226000</v>
      </c>
      <c r="P85" s="30">
        <f t="shared" si="5"/>
        <v>803.80859999999996</v>
      </c>
      <c r="Q85" s="29">
        <f t="shared" si="3"/>
        <v>890.40000000000009</v>
      </c>
      <c r="R85" s="29">
        <f>IFERROR(IFERROR(INDEX('WHO GHO Data'!$S$8:$S$201,MATCH($C85,'WHO GHO Data'!$C$8:$C$201,0)),($O85/1000*$K85)),IFERROR($O85/1000*VLOOKUP(E85,$W$9:$Y$12,3,0),0))</f>
        <v>5859.2041964590617</v>
      </c>
      <c r="S85" s="30">
        <f>IFERROR(IFERROR(INDEX('WHO GHO Data'!$U$8:$U$201,MATCH($C85,'WHO GHO Data'!$C$8:$C$201,0)),INDEX('WHO GHO Data'!$AE$9:$AE$13,MATCH($E85,'WHO GHO Data'!$AD$9:$AD$13,0))*'HCW + Staff Summary'!$O85/1000),"")</f>
        <v>484.06883267942158</v>
      </c>
    </row>
    <row r="86" spans="2:19" x14ac:dyDescent="0.75">
      <c r="B86" s="43" t="s">
        <v>556</v>
      </c>
      <c r="C86" s="43" t="s">
        <v>47</v>
      </c>
      <c r="D86" s="132" t="s">
        <v>1074</v>
      </c>
      <c r="E86" s="132" t="s">
        <v>411</v>
      </c>
      <c r="F86" s="132" t="str">
        <f t="shared" si="4"/>
        <v>Not LMIC</v>
      </c>
      <c r="G86" s="646">
        <f>INDEX('WB HCW &amp; Beds'!$C$558:$BO$821,MATCH($C86,'WB HCW &amp; Beds'!$C$558:$C$821,0),MATCH("Latest value",'WB HCW &amp; Beds'!$C$557:$BO$557,0))</f>
        <v>2.8058000000000001</v>
      </c>
      <c r="H86" s="647">
        <f>INDEX('WB HCW &amp; Beds'!$C$558:$BO$821,MATCH($C86,'WB HCW &amp; Beds'!$C$558:$C$821,0),MATCH("Latest year",'WB HCW &amp; Beds'!$C$557:$BO$557,0))</f>
        <v>2017</v>
      </c>
      <c r="I86" s="651">
        <f>INDEX('WB HCW &amp; Beds'!$C$286:$BP$561,MATCH($C86,'WB HCW &amp; Beds'!$C$286:$C$561,0),MATCH("Value",'WB HCW &amp; Beds'!$C$286:$BP$286,0))</f>
        <v>0.4</v>
      </c>
      <c r="J86" s="647" t="str">
        <f>'WB HCW &amp; Beds'!BO366</f>
        <v>No reported value</v>
      </c>
      <c r="K86" s="653">
        <f>'WB HCW &amp; Beds'!BN94</f>
        <v>8.2878000000000007</v>
      </c>
      <c r="L86" s="654">
        <f>'WB HCW &amp; Beds'!BO94</f>
        <v>2017</v>
      </c>
      <c r="M86" s="720">
        <f>IFERROR(IFERROR(INDEX('WHO GHO Data'!$AB$8:$AB$201,MATCH('HCW + Staff Summary'!$C86,'WHO GHO Data'!$C$8:$C$201,0)),INDEX('WHO GHO Data'!$AE$9:$AE$13,MATCH('HCW + Staff Summary'!$E86,'WHO GHO Data'!$AD$9:$AD$13,0))),"")</f>
        <v>0.54650004528486062</v>
      </c>
      <c r="O86" s="29">
        <f>INDEX('WB Population Data'!$D$6:$D$269,MATCH($B86,'WB Population Data'!$B$6:$B$269,0))</f>
        <v>67224000</v>
      </c>
      <c r="P86" s="30">
        <f t="shared" si="5"/>
        <v>188617.0992</v>
      </c>
      <c r="Q86" s="29">
        <f t="shared" si="3"/>
        <v>26889.600000000002</v>
      </c>
      <c r="R86" s="29">
        <f>IFERROR(IFERROR(INDEX('WHO GHO Data'!$S$8:$S$201,MATCH($C86,'WHO GHO Data'!$C$8:$C$201,0)),($O86/1000*$K86)),IFERROR($O86/1000*VLOOKUP(E86,$W$9:$Y$12,3,0),0))</f>
        <v>524706.11738320917</v>
      </c>
      <c r="S86" s="30">
        <f>IFERROR(IFERROR(INDEX('WHO GHO Data'!$U$8:$U$201,MATCH($C86,'WHO GHO Data'!$C$8:$C$201,0)),INDEX('WHO GHO Data'!$AE$9:$AE$13,MATCH($E86,'WHO GHO Data'!$AD$9:$AD$13,0))*'HCW + Staff Summary'!$O86/1000),"")</f>
        <v>36737.919044229471</v>
      </c>
    </row>
    <row r="87" spans="2:19" x14ac:dyDescent="0.75">
      <c r="B87" s="43" t="s">
        <v>236</v>
      </c>
      <c r="C87" s="43" t="s">
        <v>48</v>
      </c>
      <c r="D87" s="132" t="s">
        <v>1074</v>
      </c>
      <c r="E87" s="132" t="s">
        <v>558</v>
      </c>
      <c r="F87" s="132" t="str">
        <f t="shared" si="4"/>
        <v>LMIC</v>
      </c>
      <c r="G87" s="646">
        <f>INDEX('WB HCW &amp; Beds'!$C$558:$BO$821,MATCH($C87,'WB HCW &amp; Beds'!$C$558:$C$821,0),MATCH("Latest value",'WB HCW &amp; Beds'!$C$557:$BO$557,0))</f>
        <v>5.0975999999999999</v>
      </c>
      <c r="H87" s="647">
        <f>INDEX('WB HCW &amp; Beds'!$C$558:$BO$821,MATCH($C87,'WB HCW &amp; Beds'!$C$558:$C$821,0),MATCH("Latest year",'WB HCW &amp; Beds'!$C$557:$BO$557,0))</f>
        <v>2015</v>
      </c>
      <c r="I87" s="651">
        <f>INDEX('WB HCW &amp; Beds'!$C$286:$BP$561,MATCH($C87,'WB HCW &amp; Beds'!$C$286:$C$561,0),MATCH("Value",'WB HCW &amp; Beds'!$C$286:$BP$286,0))</f>
        <v>0.4</v>
      </c>
      <c r="J87" s="647" t="str">
        <f>'WB HCW &amp; Beds'!BO367</f>
        <v>No reported value</v>
      </c>
      <c r="K87" s="653">
        <f>'WB HCW &amp; Beds'!BN95</f>
        <v>4.0914000000000001</v>
      </c>
      <c r="L87" s="654">
        <f>'WB HCW &amp; Beds'!BO95</f>
        <v>2015</v>
      </c>
      <c r="M87" s="720">
        <f>IFERROR(IFERROR(INDEX('WHO GHO Data'!$AB$8:$AB$201,MATCH('HCW + Staff Summary'!$C87,'WHO GHO Data'!$C$8:$C$201,0)),INDEX('WHO GHO Data'!$AE$9:$AE$13,MATCH('HCW + Staff Summary'!$E87,'WHO GHO Data'!$AD$9:$AD$13,0))),"")</f>
        <v>0.21980423949700909</v>
      </c>
      <c r="O87" s="29">
        <f>INDEX('WB Population Data'!$D$6:$D$269,MATCH($B87,'WB Population Data'!$B$6:$B$269,0))</f>
        <v>3711000</v>
      </c>
      <c r="P87" s="30">
        <f t="shared" si="5"/>
        <v>18917.193599999999</v>
      </c>
      <c r="Q87" s="29">
        <f t="shared" si="3"/>
        <v>1484.4</v>
      </c>
      <c r="R87" s="29">
        <f>IFERROR(IFERROR(INDEX('WHO GHO Data'!$S$8:$S$201,MATCH($C87,'WHO GHO Data'!$C$8:$C$201,0)),($O87/1000*$K87)),IFERROR($O87/1000*VLOOKUP(E87,$W$9:$Y$12,3,0),0))</f>
        <v>18466.413350339888</v>
      </c>
      <c r="S87" s="30">
        <f>IFERROR(IFERROR(INDEX('WHO GHO Data'!$U$8:$U$201,MATCH($C87,'WHO GHO Data'!$C$8:$C$201,0)),INDEX('WHO GHO Data'!$AE$9:$AE$13,MATCH($E87,'WHO GHO Data'!$AD$9:$AD$13,0))*'HCW + Staff Summary'!$O87/1000),"")</f>
        <v>815.69353277340065</v>
      </c>
    </row>
    <row r="88" spans="2:19" x14ac:dyDescent="0.75">
      <c r="B88" s="43" t="s">
        <v>196</v>
      </c>
      <c r="C88" s="43" t="s">
        <v>162</v>
      </c>
      <c r="D88" s="132" t="s">
        <v>1073</v>
      </c>
      <c r="E88" s="132" t="s">
        <v>455</v>
      </c>
      <c r="F88" s="132" t="str">
        <f t="shared" si="4"/>
        <v>LMIC</v>
      </c>
      <c r="G88" s="646">
        <f>INDEX('WB HCW &amp; Beds'!$C$558:$BO$821,MATCH($C88,'WB HCW &amp; Beds'!$C$558:$C$821,0),MATCH("Latest value",'WB HCW &amp; Beds'!$C$557:$BO$557,0))</f>
        <v>0.18</v>
      </c>
      <c r="H88" s="647">
        <f>INDEX('WB HCW &amp; Beds'!$C$558:$BO$821,MATCH($C88,'WB HCW &amp; Beds'!$C$558:$C$821,0),MATCH("Latest year",'WB HCW &amp; Beds'!$C$557:$BO$557,0))</f>
        <v>2017</v>
      </c>
      <c r="I88" s="651">
        <f>INDEX('WB HCW &amp; Beds'!$C$286:$BP$561,MATCH($C88,'WB HCW &amp; Beds'!$C$286:$C$561,0),MATCH("Value",'WB HCW &amp; Beds'!$C$286:$BP$286,0))</f>
        <v>0.19500000000000001</v>
      </c>
      <c r="J88" s="647">
        <f>'WB HCW &amp; Beds'!BO368</f>
        <v>2008</v>
      </c>
      <c r="K88" s="653">
        <f>'WB HCW &amp; Beds'!BN96</f>
        <v>1.2</v>
      </c>
      <c r="L88" s="654">
        <f>'WB HCW &amp; Beds'!BO96</f>
        <v>2017</v>
      </c>
      <c r="M88" s="720">
        <f>IFERROR(IFERROR(INDEX('WHO GHO Data'!$AB$8:$AB$201,MATCH('HCW + Staff Summary'!$C88,'WHO GHO Data'!$C$8:$C$201,0)),INDEX('WHO GHO Data'!$AE$9:$AE$13,MATCH('HCW + Staff Summary'!$E88,'WHO GHO Data'!$AD$9:$AD$13,0))),"")</f>
        <v>0.14987568369805304</v>
      </c>
      <c r="O88" s="29">
        <f>INDEX('WB Population Data'!$D$6:$D$269,MATCH($B88,'WB Population Data'!$B$6:$B$269,0))</f>
        <v>31073000</v>
      </c>
      <c r="P88" s="30">
        <f t="shared" si="5"/>
        <v>5593.1399999999994</v>
      </c>
      <c r="Q88" s="29">
        <f t="shared" si="3"/>
        <v>6059.2350000000006</v>
      </c>
      <c r="R88" s="29">
        <f>IFERROR(IFERROR(INDEX('WHO GHO Data'!$S$8:$S$201,MATCH($C88,'WHO GHO Data'!$C$8:$C$201,0)),($O88/1000*$K88)),IFERROR($O88/1000*VLOOKUP(E88,$W$9:$Y$12,3,0),0))</f>
        <v>130698.31758442659</v>
      </c>
      <c r="S88" s="30">
        <f>IFERROR(IFERROR(INDEX('WHO GHO Data'!$U$8:$U$201,MATCH($C88,'WHO GHO Data'!$C$8:$C$201,0)),INDEX('WHO GHO Data'!$AE$9:$AE$13,MATCH($E88,'WHO GHO Data'!$AD$9:$AD$13,0))*'HCW + Staff Summary'!$O88/1000),"")</f>
        <v>4657.087119549602</v>
      </c>
    </row>
    <row r="89" spans="2:19" x14ac:dyDescent="0.75">
      <c r="B89" s="43" t="s">
        <v>401</v>
      </c>
      <c r="C89" s="43" t="s">
        <v>402</v>
      </c>
      <c r="D89" s="132" t="s">
        <v>1124</v>
      </c>
      <c r="E89" s="132" t="s">
        <v>411</v>
      </c>
      <c r="F89" s="132" t="str">
        <f t="shared" si="4"/>
        <v>Not LMIC</v>
      </c>
      <c r="G89" s="646" t="str">
        <f>INDEX('WB HCW &amp; Beds'!$C$558:$BO$821,MATCH($C89,'WB HCW &amp; Beds'!$C$558:$C$821,0),MATCH("Latest value",'WB HCW &amp; Beds'!$C$557:$BO$557,0))</f>
        <v>No reported value</v>
      </c>
      <c r="H89" s="647" t="str">
        <f>INDEX('WB HCW &amp; Beds'!$C$558:$BO$821,MATCH($C89,'WB HCW &amp; Beds'!$C$558:$C$821,0),MATCH("Latest year",'WB HCW &amp; Beds'!$C$557:$BO$557,0))</f>
        <v>No reported value</v>
      </c>
      <c r="I89" s="651">
        <f>INDEX('WB HCW &amp; Beds'!$C$286:$BP$561,MATCH($C89,'WB HCW &amp; Beds'!$C$286:$C$561,0),MATCH("Value",'WB HCW &amp; Beds'!$C$286:$BP$286,0))</f>
        <v>0.4</v>
      </c>
      <c r="J89" s="647" t="str">
        <f>'WB HCW &amp; Beds'!BO369</f>
        <v>No reported value</v>
      </c>
      <c r="K89" s="653" t="str">
        <f>'WB HCW &amp; Beds'!BN97</f>
        <v>No reported value</v>
      </c>
      <c r="L89" s="654" t="str">
        <f>'WB HCW &amp; Beds'!BO97</f>
        <v>No reported value</v>
      </c>
      <c r="M89" s="720">
        <f>IFERROR(IFERROR(INDEX('WHO GHO Data'!$AB$8:$AB$201,MATCH('HCW + Staff Summary'!$C89,'WHO GHO Data'!$C$8:$C$201,0)),INDEX('WHO GHO Data'!$AE$9:$AE$13,MATCH('HCW + Staff Summary'!$E89,'WHO GHO Data'!$AD$9:$AD$13,0))),"")</f>
        <v>0.54650004528486062</v>
      </c>
      <c r="O89" s="29">
        <f>INDEX('WB Population Data'!$D$6:$D$269,MATCH($B89,'WB Population Data'!$B$6:$B$269,0))</f>
        <v>34000</v>
      </c>
      <c r="P89" s="30">
        <f t="shared" si="5"/>
        <v>95.259619718309864</v>
      </c>
      <c r="Q89" s="29">
        <f t="shared" si="3"/>
        <v>13.600000000000001</v>
      </c>
      <c r="R89" s="29">
        <f>IFERROR(IFERROR(INDEX('WHO GHO Data'!$S$8:$S$201,MATCH($C89,'WHO GHO Data'!$C$8:$C$201,0)),($O89/1000*$K89)),IFERROR($O89/1000*VLOOKUP(E89,$W$9:$Y$12,3,0),0))</f>
        <v>268.00089655172417</v>
      </c>
      <c r="S89" s="30">
        <f>IFERROR(IFERROR(INDEX('WHO GHO Data'!$U$8:$U$201,MATCH($C89,'WHO GHO Data'!$C$8:$C$201,0)),INDEX('WHO GHO Data'!$AE$9:$AE$13,MATCH($E89,'WHO GHO Data'!$AD$9:$AD$13,0))*'HCW + Staff Summary'!$O89/1000),"")</f>
        <v>18.581001539685261</v>
      </c>
    </row>
    <row r="90" spans="2:19" x14ac:dyDescent="0.75">
      <c r="B90" s="43" t="s">
        <v>197</v>
      </c>
      <c r="C90" s="43" t="s">
        <v>49</v>
      </c>
      <c r="D90" s="132" t="s">
        <v>1073</v>
      </c>
      <c r="E90" s="132" t="s">
        <v>453</v>
      </c>
      <c r="F90" s="132" t="str">
        <f t="shared" si="4"/>
        <v>LMIC</v>
      </c>
      <c r="G90" s="646">
        <f>INDEX('WB HCW &amp; Beds'!$C$558:$BO$821,MATCH($C90,'WB HCW &amp; Beds'!$C$558:$C$821,0),MATCH("Latest value",'WB HCW &amp; Beds'!$C$557:$BO$557,0))</f>
        <v>7.8799999999999995E-2</v>
      </c>
      <c r="H90" s="647">
        <f>INDEX('WB HCW &amp; Beds'!$C$558:$BO$821,MATCH($C90,'WB HCW &amp; Beds'!$C$558:$C$821,0),MATCH("Latest year",'WB HCW &amp; Beds'!$C$557:$BO$557,0))</f>
        <v>2016</v>
      </c>
      <c r="I90" s="651">
        <f>INDEX('WB HCW &amp; Beds'!$C$286:$BP$561,MATCH($C90,'WB HCW &amp; Beds'!$C$286:$C$561,0),MATCH("Value",'WB HCW &amp; Beds'!$C$286:$BP$286,0))</f>
        <v>0.51700000000000002</v>
      </c>
      <c r="J90" s="647">
        <f>'WB HCW &amp; Beds'!BO370</f>
        <v>2016</v>
      </c>
      <c r="K90" s="653">
        <f>'WB HCW &amp; Beds'!BN98</f>
        <v>0.38440000000000002</v>
      </c>
      <c r="L90" s="654">
        <f>'WB HCW &amp; Beds'!BO98</f>
        <v>2016</v>
      </c>
      <c r="M90" s="720">
        <f>IFERROR(IFERROR(INDEX('WHO GHO Data'!$AB$8:$AB$201,MATCH('HCW + Staff Summary'!$C90,'WHO GHO Data'!$C$8:$C$201,0)),INDEX('WHO GHO Data'!$AE$9:$AE$13,MATCH('HCW + Staff Summary'!$E90,'WHO GHO Data'!$AD$9:$AD$13,0))),"")</f>
        <v>1.7645131881481133E-2</v>
      </c>
      <c r="O90" s="29">
        <f>INDEX('WB Population Data'!$D$6:$D$269,MATCH($B90,'WB Population Data'!$B$6:$B$269,0))</f>
        <v>13133000</v>
      </c>
      <c r="P90" s="30">
        <f t="shared" si="5"/>
        <v>1034.8804</v>
      </c>
      <c r="Q90" s="29">
        <f t="shared" si="3"/>
        <v>6789.7610000000004</v>
      </c>
      <c r="R90" s="29">
        <f>IFERROR(IFERROR(INDEX('WHO GHO Data'!$S$8:$S$201,MATCH($C90,'WHO GHO Data'!$C$8:$C$201,0)),($O90/1000*$K90)),IFERROR($O90/1000*VLOOKUP(E90,$W$9:$Y$12,3,0),0))</f>
        <v>1119.8605366961083</v>
      </c>
      <c r="S90" s="30">
        <f>IFERROR(IFERROR(INDEX('WHO GHO Data'!$U$8:$U$201,MATCH($C90,'WHO GHO Data'!$C$8:$C$201,0)),INDEX('WHO GHO Data'!$AE$9:$AE$13,MATCH($E90,'WHO GHO Data'!$AD$9:$AD$13,0))*'HCW + Staff Summary'!$O90/1000),"")</f>
        <v>231.73351699949171</v>
      </c>
    </row>
    <row r="91" spans="2:19" x14ac:dyDescent="0.75">
      <c r="B91" s="43" t="s">
        <v>399</v>
      </c>
      <c r="C91" s="43" t="s">
        <v>50</v>
      </c>
      <c r="D91" s="132" t="s">
        <v>1073</v>
      </c>
      <c r="E91" s="132" t="s">
        <v>453</v>
      </c>
      <c r="F91" s="132" t="str">
        <f t="shared" si="4"/>
        <v>LMIC</v>
      </c>
      <c r="G91" s="646">
        <f>INDEX('WB HCW &amp; Beds'!$C$558:$BO$821,MATCH($C91,'WB HCW &amp; Beds'!$C$558:$C$821,0),MATCH("Latest value",'WB HCW &amp; Beds'!$C$557:$BO$557,0))</f>
        <v>0.1077</v>
      </c>
      <c r="H91" s="647">
        <f>INDEX('WB HCW &amp; Beds'!$C$558:$BO$821,MATCH($C91,'WB HCW &amp; Beds'!$C$558:$C$821,0),MATCH("Latest year",'WB HCW &amp; Beds'!$C$557:$BO$557,0))</f>
        <v>2015</v>
      </c>
      <c r="I91" s="651">
        <f>INDEX('WB HCW &amp; Beds'!$C$286:$BP$561,MATCH($C91,'WB HCW &amp; Beds'!$C$286:$C$561,0),MATCH("Value",'WB HCW &amp; Beds'!$C$286:$BP$286,0))</f>
        <v>0.72499999999999998</v>
      </c>
      <c r="J91" s="647">
        <f>'WB HCW &amp; Beds'!BO371</f>
        <v>2008</v>
      </c>
      <c r="K91" s="653">
        <f>'WB HCW &amp; Beds'!BN99</f>
        <v>1.6292</v>
      </c>
      <c r="L91" s="654">
        <f>'WB HCW &amp; Beds'!BO99</f>
        <v>2015</v>
      </c>
      <c r="M91" s="720">
        <f>IFERROR(IFERROR(INDEX('WHO GHO Data'!$AB$8:$AB$201,MATCH('HCW + Staff Summary'!$C91,'WHO GHO Data'!$C$8:$C$201,0)),INDEX('WHO GHO Data'!$AE$9:$AE$13,MATCH('HCW + Staff Summary'!$E91,'WHO GHO Data'!$AD$9:$AD$13,0))),"")</f>
        <v>7.2860704514754696E-2</v>
      </c>
      <c r="O91" s="29">
        <f>INDEX('WB Population Data'!$D$6:$D$269,MATCH($B91,'WB Population Data'!$B$6:$B$269,0))</f>
        <v>2417000</v>
      </c>
      <c r="P91" s="30">
        <f t="shared" si="5"/>
        <v>260.3109</v>
      </c>
      <c r="Q91" s="29">
        <f t="shared" si="3"/>
        <v>1752.325</v>
      </c>
      <c r="R91" s="29">
        <f>IFERROR(IFERROR(INDEX('WHO GHO Data'!$S$8:$S$201,MATCH($C91,'WHO GHO Data'!$C$8:$C$201,0)),($O91/1000*$K91)),IFERROR($O91/1000*VLOOKUP(E91,$W$9:$Y$12,3,0),0))</f>
        <v>2748.154300726635</v>
      </c>
      <c r="S91" s="30">
        <f>IFERROR(IFERROR(INDEX('WHO GHO Data'!$U$8:$U$201,MATCH($C91,'WHO GHO Data'!$C$8:$C$201,0)),INDEX('WHO GHO Data'!$AE$9:$AE$13,MATCH($E91,'WHO GHO Data'!$AD$9:$AD$13,0))*'HCW + Staff Summary'!$O91/1000),"")</f>
        <v>176.10432281216211</v>
      </c>
    </row>
    <row r="92" spans="2:19" x14ac:dyDescent="0.75">
      <c r="B92" s="43" t="s">
        <v>198</v>
      </c>
      <c r="C92" s="43" t="s">
        <v>172</v>
      </c>
      <c r="D92" s="132" t="s">
        <v>1073</v>
      </c>
      <c r="E92" s="132" t="s">
        <v>453</v>
      </c>
      <c r="F92" s="132" t="str">
        <f t="shared" si="4"/>
        <v>LMIC</v>
      </c>
      <c r="G92" s="646">
        <f>INDEX('WB HCW &amp; Beds'!$C$558:$BO$821,MATCH($C92,'WB HCW &amp; Beds'!$C$558:$C$821,0),MATCH("Latest value",'WB HCW &amp; Beds'!$C$557:$BO$557,0))</f>
        <v>0.2</v>
      </c>
      <c r="H92" s="647">
        <f>INDEX('WB HCW &amp; Beds'!$C$558:$BO$821,MATCH($C92,'WB HCW &amp; Beds'!$C$558:$C$821,0),MATCH("Latest year",'WB HCW &amp; Beds'!$C$557:$BO$557,0))</f>
        <v>2015</v>
      </c>
      <c r="I92" s="651">
        <f>INDEX('WB HCW &amp; Beds'!$C$286:$BP$561,MATCH($C92,'WB HCW &amp; Beds'!$C$286:$C$561,0),MATCH("Value",'WB HCW &amp; Beds'!$C$286:$BP$286,0))</f>
        <v>1.645</v>
      </c>
      <c r="J92" s="647">
        <f>'WB HCW &amp; Beds'!BO372</f>
        <v>2004</v>
      </c>
      <c r="K92" s="653">
        <f>'WB HCW &amp; Beds'!BN100</f>
        <v>1.4</v>
      </c>
      <c r="L92" s="654">
        <f>'WB HCW &amp; Beds'!BO100</f>
        <v>2015</v>
      </c>
      <c r="M92" s="720">
        <f>IFERROR(IFERROR(INDEX('WHO GHO Data'!$AB$8:$AB$201,MATCH('HCW + Staff Summary'!$C92,'WHO GHO Data'!$C$8:$C$201,0)),INDEX('WHO GHO Data'!$AE$9:$AE$13,MATCH('HCW + Staff Summary'!$E92,'WHO GHO Data'!$AD$9:$AD$13,0))),"")</f>
        <v>9.7861737909373081E-2</v>
      </c>
      <c r="O92" s="29">
        <f>INDEX('WB Population Data'!$D$6:$D$269,MATCH($B92,'WB Population Data'!$B$6:$B$269,0))</f>
        <v>1968000</v>
      </c>
      <c r="P92" s="30">
        <f t="shared" si="5"/>
        <v>393.6</v>
      </c>
      <c r="Q92" s="29">
        <f t="shared" si="3"/>
        <v>3237.36</v>
      </c>
      <c r="R92" s="29">
        <f>IFERROR(IFERROR(INDEX('WHO GHO Data'!$S$8:$S$201,MATCH($C92,'WHO GHO Data'!$C$8:$C$201,0)),($O92/1000*$K92)),IFERROR($O92/1000*VLOOKUP(E92,$W$9:$Y$12,3,0),0))</f>
        <v>1350.8570966421671</v>
      </c>
      <c r="S92" s="30">
        <f>IFERROR(IFERROR(INDEX('WHO GHO Data'!$U$8:$U$201,MATCH($C92,'WHO GHO Data'!$C$8:$C$201,0)),INDEX('WHO GHO Data'!$AE$9:$AE$13,MATCH($E92,'WHO GHO Data'!$AD$9:$AD$13,0))*'HCW + Staff Summary'!$O92/1000),"")</f>
        <v>192.59190020564623</v>
      </c>
    </row>
    <row r="93" spans="2:19" x14ac:dyDescent="0.75">
      <c r="B93" s="43" t="s">
        <v>191</v>
      </c>
      <c r="C93" s="43" t="s">
        <v>174</v>
      </c>
      <c r="D93" s="132" t="s">
        <v>1073</v>
      </c>
      <c r="E93" s="132" t="s">
        <v>558</v>
      </c>
      <c r="F93" s="132" t="str">
        <f t="shared" si="4"/>
        <v>LMIC</v>
      </c>
      <c r="G93" s="646">
        <f>INDEX('WB HCW &amp; Beds'!$C$558:$BO$821,MATCH($C93,'WB HCW &amp; Beds'!$C$558:$C$821,0),MATCH("Latest value",'WB HCW &amp; Beds'!$C$557:$BO$557,0))</f>
        <v>0.4</v>
      </c>
      <c r="H93" s="647">
        <f>INDEX('WB HCW &amp; Beds'!$C$558:$BO$821,MATCH($C93,'WB HCW &amp; Beds'!$C$558:$C$821,0),MATCH("Latest year",'WB HCW &amp; Beds'!$C$557:$BO$557,0))</f>
        <v>2017</v>
      </c>
      <c r="I93" s="651">
        <f>INDEX('WB HCW &amp; Beds'!$C$286:$BP$561,MATCH($C93,'WB HCW &amp; Beds'!$C$286:$C$561,0),MATCH("Value",'WB HCW &amp; Beds'!$C$286:$BP$286,0))</f>
        <v>0.50800000000000001</v>
      </c>
      <c r="J93" s="647">
        <f>'WB HCW &amp; Beds'!BO373</f>
        <v>2004</v>
      </c>
      <c r="K93" s="653">
        <f>'WB HCW &amp; Beds'!BN101</f>
        <v>0.5</v>
      </c>
      <c r="L93" s="654">
        <f>'WB HCW &amp; Beds'!BO101</f>
        <v>2017</v>
      </c>
      <c r="M93" s="720">
        <f>IFERROR(IFERROR(INDEX('WHO GHO Data'!$AB$8:$AB$201,MATCH('HCW + Staff Summary'!$C93,'WHO GHO Data'!$C$8:$C$201,0)),INDEX('WHO GHO Data'!$AE$9:$AE$13,MATCH('HCW + Staff Summary'!$E93,'WHO GHO Data'!$AD$9:$AD$13,0))),"")</f>
        <v>0.10931613375262499</v>
      </c>
      <c r="O93" s="29">
        <f>INDEX('WB Population Data'!$D$6:$D$269,MATCH($B93,'WB Population Data'!$B$6:$B$269,0))</f>
        <v>1403000</v>
      </c>
      <c r="P93" s="30">
        <f t="shared" si="5"/>
        <v>561.20000000000005</v>
      </c>
      <c r="Q93" s="29">
        <f t="shared" si="3"/>
        <v>712.72400000000005</v>
      </c>
      <c r="R93" s="29">
        <f>IFERROR(IFERROR(INDEX('WHO GHO Data'!$S$8:$S$201,MATCH($C93,'WHO GHO Data'!$C$8:$C$201,0)),($O93/1000*$K93)),IFERROR($O93/1000*VLOOKUP(E93,$W$9:$Y$12,3,0),0))</f>
        <v>711.3588325196805</v>
      </c>
      <c r="S93" s="30">
        <f>IFERROR(IFERROR(INDEX('WHO GHO Data'!$U$8:$U$201,MATCH($C93,'WHO GHO Data'!$C$8:$C$201,0)),INDEX('WHO GHO Data'!$AE$9:$AE$13,MATCH($E93,'WHO GHO Data'!$AD$9:$AD$13,0))*'HCW + Staff Summary'!$O93/1000),"")</f>
        <v>153.37053565493287</v>
      </c>
    </row>
    <row r="94" spans="2:19" x14ac:dyDescent="0.75">
      <c r="B94" s="43" t="s">
        <v>403</v>
      </c>
      <c r="C94" s="43" t="s">
        <v>51</v>
      </c>
      <c r="D94" s="132" t="s">
        <v>1074</v>
      </c>
      <c r="E94" s="132" t="s">
        <v>411</v>
      </c>
      <c r="F94" s="132" t="str">
        <f t="shared" si="4"/>
        <v>Not LMIC</v>
      </c>
      <c r="G94" s="646">
        <f>INDEX('WB HCW &amp; Beds'!$C$558:$BO$821,MATCH($C94,'WB HCW &amp; Beds'!$C$558:$C$821,0),MATCH("Latest value",'WB HCW &amp; Beds'!$C$557:$BO$557,0))</f>
        <v>4.5919999999999996</v>
      </c>
      <c r="H94" s="647">
        <f>INDEX('WB HCW &amp; Beds'!$C$558:$BO$821,MATCH($C94,'WB HCW &amp; Beds'!$C$558:$C$821,0),MATCH("Latest year",'WB HCW &amp; Beds'!$C$557:$BO$557,0))</f>
        <v>2016</v>
      </c>
      <c r="I94" s="651">
        <f>INDEX('WB HCW &amp; Beds'!$C$286:$BP$561,MATCH($C94,'WB HCW &amp; Beds'!$C$286:$C$561,0),MATCH("Value",'WB HCW &amp; Beds'!$C$286:$BP$286,0))</f>
        <v>0.4</v>
      </c>
      <c r="J94" s="647" t="str">
        <f>'WB HCW &amp; Beds'!BO374</f>
        <v>No reported value</v>
      </c>
      <c r="K94" s="653">
        <f>'WB HCW &amp; Beds'!BN102</f>
        <v>3.3727999999999998</v>
      </c>
      <c r="L94" s="654">
        <f>'WB HCW &amp; Beds'!BO102</f>
        <v>2016</v>
      </c>
      <c r="M94" s="720">
        <f>IFERROR(IFERROR(INDEX('WHO GHO Data'!$AB$8:$AB$201,MATCH('HCW + Staff Summary'!$C94,'WHO GHO Data'!$C$8:$C$201,0)),INDEX('WHO GHO Data'!$AE$9:$AE$13,MATCH('HCW + Staff Summary'!$E94,'WHO GHO Data'!$AD$9:$AD$13,0))),"")</f>
        <v>0.55791903452409919</v>
      </c>
      <c r="O94" s="29">
        <f>INDEX('WB Population Data'!$D$6:$D$269,MATCH($B94,'WB Population Data'!$B$6:$B$269,0))</f>
        <v>10665000</v>
      </c>
      <c r="P94" s="30">
        <f t="shared" si="5"/>
        <v>48973.679999999993</v>
      </c>
      <c r="Q94" s="29">
        <f t="shared" si="3"/>
        <v>4266</v>
      </c>
      <c r="R94" s="29">
        <f>IFERROR(IFERROR(INDEX('WHO GHO Data'!$S$8:$S$201,MATCH($C94,'WHO GHO Data'!$C$8:$C$201,0)),($O94/1000*$K94)),IFERROR($O94/1000*VLOOKUP(E94,$W$9:$Y$12,3,0),0))</f>
        <v>35126.33637042826</v>
      </c>
      <c r="S94" s="30">
        <f>IFERROR(IFERROR(INDEX('WHO GHO Data'!$U$8:$U$201,MATCH($C94,'WHO GHO Data'!$C$8:$C$201,0)),INDEX('WHO GHO Data'!$AE$9:$AE$13,MATCH($E94,'WHO GHO Data'!$AD$9:$AD$13,0))*'HCW + Staff Summary'!$O94/1000),"")</f>
        <v>5950.206503199518</v>
      </c>
    </row>
    <row r="95" spans="2:19" x14ac:dyDescent="0.75">
      <c r="B95" s="43" t="s">
        <v>406</v>
      </c>
      <c r="C95" s="43" t="s">
        <v>52</v>
      </c>
      <c r="D95" s="132" t="s">
        <v>1075</v>
      </c>
      <c r="E95" s="132" t="s">
        <v>558</v>
      </c>
      <c r="F95" s="132" t="str">
        <f t="shared" si="4"/>
        <v>LMIC</v>
      </c>
      <c r="G95" s="646">
        <f>INDEX('WB HCW &amp; Beds'!$C$558:$BO$821,MATCH($C95,'WB HCW &amp; Beds'!$C$558:$C$821,0),MATCH("Latest value",'WB HCW &amp; Beds'!$C$557:$BO$557,0))</f>
        <v>1.4471000000000001</v>
      </c>
      <c r="H95" s="647">
        <f>INDEX('WB HCW &amp; Beds'!$C$558:$BO$821,MATCH($C95,'WB HCW &amp; Beds'!$C$558:$C$821,0),MATCH("Latest year",'WB HCW &amp; Beds'!$C$557:$BO$557,0))</f>
        <v>2017</v>
      </c>
      <c r="I95" s="651">
        <f>INDEX('WB HCW &amp; Beds'!$C$286:$BP$561,MATCH($C95,'WB HCW &amp; Beds'!$C$286:$C$561,0),MATCH("Value",'WB HCW &amp; Beds'!$C$286:$BP$286,0))</f>
        <v>0.44</v>
      </c>
      <c r="J95" s="647">
        <f>'WB HCW &amp; Beds'!BO375</f>
        <v>2003</v>
      </c>
      <c r="K95" s="653">
        <f>'WB HCW &amp; Beds'!BN103</f>
        <v>3.1446999999999998</v>
      </c>
      <c r="L95" s="654">
        <f>'WB HCW &amp; Beds'!BO103</f>
        <v>2017</v>
      </c>
      <c r="M95" s="720">
        <f>IFERROR(IFERROR(INDEX('WHO GHO Data'!$AB$8:$AB$201,MATCH('HCW + Staff Summary'!$C95,'WHO GHO Data'!$C$8:$C$201,0)),INDEX('WHO GHO Data'!$AE$9:$AE$13,MATCH('HCW + Staff Summary'!$E95,'WHO GHO Data'!$AD$9:$AD$13,0))),"")</f>
        <v>0.1273196322458672</v>
      </c>
      <c r="O95" s="29">
        <f>INDEX('WB Population Data'!$D$6:$D$269,MATCH($B95,'WB Population Data'!$B$6:$B$269,0))</f>
        <v>113000</v>
      </c>
      <c r="P95" s="30">
        <f t="shared" si="5"/>
        <v>163.5223</v>
      </c>
      <c r="Q95" s="29">
        <f t="shared" si="3"/>
        <v>49.72</v>
      </c>
      <c r="R95" s="29">
        <f>IFERROR(IFERROR(INDEX('WHO GHO Data'!$S$8:$S$201,MATCH($C95,'WHO GHO Data'!$C$8:$C$201,0)),($O95/1000*$K95)),IFERROR($O95/1000*VLOOKUP(E95,$W$9:$Y$12,3,0),0))</f>
        <v>708.39925358845312</v>
      </c>
      <c r="S95" s="30">
        <f>IFERROR(IFERROR(INDEX('WHO GHO Data'!$U$8:$U$201,MATCH($C95,'WHO GHO Data'!$C$8:$C$201,0)),INDEX('WHO GHO Data'!$AE$9:$AE$13,MATCH($E95,'WHO GHO Data'!$AD$9:$AD$13,0))*'HCW + Staff Summary'!$O95/1000),"")</f>
        <v>14.387118443782994</v>
      </c>
    </row>
    <row r="96" spans="2:19" x14ac:dyDescent="0.75">
      <c r="B96" s="43" t="s">
        <v>404</v>
      </c>
      <c r="C96" s="43" t="s">
        <v>405</v>
      </c>
      <c r="D96" s="132" t="s">
        <v>1124</v>
      </c>
      <c r="E96" s="132" t="s">
        <v>411</v>
      </c>
      <c r="F96" s="132" t="str">
        <f t="shared" si="4"/>
        <v>Not LMIC</v>
      </c>
      <c r="G96" s="646">
        <f>INDEX('WB HCW &amp; Beds'!$C$558:$BO$821,MATCH($C96,'WB HCW &amp; Beds'!$C$558:$C$821,0),MATCH("Latest value",'WB HCW &amp; Beds'!$C$557:$BO$557,0))</f>
        <v>1.135</v>
      </c>
      <c r="H96" s="647">
        <f>INDEX('WB HCW &amp; Beds'!$C$558:$BO$821,MATCH($C96,'WB HCW &amp; Beds'!$C$558:$C$821,0),MATCH("Latest year",'WB HCW &amp; Beds'!$C$557:$BO$557,0))</f>
        <v>1980</v>
      </c>
      <c r="I96" s="651">
        <f>INDEX('WB HCW &amp; Beds'!$C$286:$BP$561,MATCH($C96,'WB HCW &amp; Beds'!$C$286:$C$561,0),MATCH("Value",'WB HCW &amp; Beds'!$C$286:$BP$286,0))</f>
        <v>0.4</v>
      </c>
      <c r="J96" s="647" t="str">
        <f>'WB HCW &amp; Beds'!BO376</f>
        <v>No reported value</v>
      </c>
      <c r="K96" s="653" t="str">
        <f>'WB HCW &amp; Beds'!BN104</f>
        <v>No reported value</v>
      </c>
      <c r="L96" s="654" t="str">
        <f>'WB HCW &amp; Beds'!BO104</f>
        <v>No reported value</v>
      </c>
      <c r="M96" s="720">
        <f>IFERROR(IFERROR(INDEX('WHO GHO Data'!$AB$8:$AB$201,MATCH('HCW + Staff Summary'!$C96,'WHO GHO Data'!$C$8:$C$201,0)),INDEX('WHO GHO Data'!$AE$9:$AE$13,MATCH('HCW + Staff Summary'!$E96,'WHO GHO Data'!$AD$9:$AD$13,0))),"")</f>
        <v>0.54650004528486062</v>
      </c>
      <c r="O96" s="29">
        <f>INDEX('WB Population Data'!$D$6:$D$269,MATCH($B96,'WB Population Data'!$B$6:$B$269,0))</f>
        <v>57616</v>
      </c>
      <c r="P96" s="30">
        <f t="shared" si="5"/>
        <v>65.394159999999999</v>
      </c>
      <c r="Q96" s="29">
        <f t="shared" si="3"/>
        <v>23.046400000000002</v>
      </c>
      <c r="R96" s="29">
        <f>IFERROR(IFERROR(INDEX('WHO GHO Data'!$S$8:$S$201,MATCH($C96,'WHO GHO Data'!$C$8:$C$201,0)),($O96/1000*$K96)),IFERROR($O96/1000*VLOOKUP(E96,$W$9:$Y$12,3,0),0))</f>
        <v>454.15116634482769</v>
      </c>
      <c r="S96" s="30">
        <f>IFERROR(IFERROR(INDEX('WHO GHO Data'!$U$8:$U$201,MATCH($C96,'WHO GHO Data'!$C$8:$C$201,0)),INDEX('WHO GHO Data'!$AE$9:$AE$13,MATCH($E96,'WHO GHO Data'!$AD$9:$AD$13,0))*'HCW + Staff Summary'!$O96/1000),"")</f>
        <v>31.48714660913253</v>
      </c>
    </row>
    <row r="97" spans="2:19" x14ac:dyDescent="0.75">
      <c r="B97" s="43" t="s">
        <v>223</v>
      </c>
      <c r="C97" s="43" t="s">
        <v>53</v>
      </c>
      <c r="D97" s="132" t="s">
        <v>1075</v>
      </c>
      <c r="E97" s="132" t="s">
        <v>558</v>
      </c>
      <c r="F97" s="132" t="str">
        <f t="shared" si="4"/>
        <v>LMIC</v>
      </c>
      <c r="G97" s="646">
        <f>INDEX('WB HCW &amp; Beds'!$C$558:$BO$821,MATCH($C97,'WB HCW &amp; Beds'!$C$558:$C$821,0),MATCH("Latest value",'WB HCW &amp; Beds'!$C$557:$BO$557,0))</f>
        <v>0.35499999999999998</v>
      </c>
      <c r="H97" s="647">
        <f>INDEX('WB HCW &amp; Beds'!$C$558:$BO$821,MATCH($C97,'WB HCW &amp; Beds'!$C$558:$C$821,0),MATCH("Latest year",'WB HCW &amp; Beds'!$C$557:$BO$557,0))</f>
        <v>2018</v>
      </c>
      <c r="I97" s="651">
        <f>INDEX('WB HCW &amp; Beds'!$C$286:$BP$561,MATCH($C97,'WB HCW &amp; Beds'!$C$286:$C$561,0),MATCH("Value",'WB HCW &amp; Beds'!$C$286:$BP$286,0))</f>
        <v>0.4</v>
      </c>
      <c r="J97" s="647" t="str">
        <f>'WB HCW &amp; Beds'!BO377</f>
        <v>No reported value</v>
      </c>
      <c r="K97" s="653">
        <f>'WB HCW &amp; Beds'!BN105</f>
        <v>0.94699999999999995</v>
      </c>
      <c r="L97" s="654">
        <f>'WB HCW &amp; Beds'!BO105</f>
        <v>2018</v>
      </c>
      <c r="M97" s="720">
        <f>IFERROR(IFERROR(INDEX('WHO GHO Data'!$AB$8:$AB$201,MATCH('HCW + Staff Summary'!$C97,'WHO GHO Data'!$C$8:$C$201,0)),INDEX('WHO GHO Data'!$AE$9:$AE$13,MATCH('HCW + Staff Summary'!$E97,'WHO GHO Data'!$AD$9:$AD$13,0))),"")</f>
        <v>3.055351500602272E-2</v>
      </c>
      <c r="O97" s="29">
        <f>INDEX('WB Population Data'!$D$6:$D$269,MATCH($B97,'WB Population Data'!$B$6:$B$269,0))</f>
        <v>17916000</v>
      </c>
      <c r="P97" s="30">
        <f t="shared" si="5"/>
        <v>6360.1799999999994</v>
      </c>
      <c r="Q97" s="29">
        <f t="shared" si="3"/>
        <v>7166.4000000000005</v>
      </c>
      <c r="R97" s="29">
        <f>IFERROR(IFERROR(INDEX('WHO GHO Data'!$S$8:$S$201,MATCH($C97,'WHO GHO Data'!$C$8:$C$201,0)),($O97/1000*$K97)),IFERROR($O97/1000*VLOOKUP(E97,$W$9:$Y$12,3,0),0))</f>
        <v>1322.7020928359027</v>
      </c>
      <c r="S97" s="30">
        <f>IFERROR(IFERROR(INDEX('WHO GHO Data'!$U$8:$U$201,MATCH($C97,'WHO GHO Data'!$C$8:$C$201,0)),INDEX('WHO GHO Data'!$AE$9:$AE$13,MATCH($E97,'WHO GHO Data'!$AD$9:$AD$13,0))*'HCW + Staff Summary'!$O97/1000),"")</f>
        <v>547.39677484790309</v>
      </c>
    </row>
    <row r="98" spans="2:19" x14ac:dyDescent="0.75">
      <c r="B98" s="43" t="s">
        <v>407</v>
      </c>
      <c r="C98" s="43" t="s">
        <v>408</v>
      </c>
      <c r="D98" s="132" t="s">
        <v>1124</v>
      </c>
      <c r="E98" s="132" t="s">
        <v>411</v>
      </c>
      <c r="F98" s="132" t="str">
        <f t="shared" si="4"/>
        <v>Not LMIC</v>
      </c>
      <c r="G98" s="646">
        <f>INDEX('WB HCW &amp; Beds'!$C$558:$BO$821,MATCH($C98,'WB HCW &amp; Beds'!$C$558:$C$821,0),MATCH("Latest value",'WB HCW &amp; Beds'!$C$557:$BO$557,0))</f>
        <v>1.0840000000000001</v>
      </c>
      <c r="H98" s="647">
        <f>INDEX('WB HCW &amp; Beds'!$C$558:$BO$821,MATCH($C98,'WB HCW &amp; Beds'!$C$558:$C$821,0),MATCH("Latest year",'WB HCW &amp; Beds'!$C$557:$BO$557,0))</f>
        <v>1999</v>
      </c>
      <c r="I98" s="651">
        <f>INDEX('WB HCW &amp; Beds'!$C$286:$BP$561,MATCH($C98,'WB HCW &amp; Beds'!$C$286:$C$561,0),MATCH("Value",'WB HCW &amp; Beds'!$C$286:$BP$286,0))</f>
        <v>0.4</v>
      </c>
      <c r="J98" s="647" t="str">
        <f>'WB HCW &amp; Beds'!BO378</f>
        <v>No reported value</v>
      </c>
      <c r="K98" s="653" t="str">
        <f>'WB HCW &amp; Beds'!BN106</f>
        <v>No reported value</v>
      </c>
      <c r="L98" s="654" t="str">
        <f>'WB HCW &amp; Beds'!BO106</f>
        <v>No reported value</v>
      </c>
      <c r="M98" s="720">
        <f>IFERROR(IFERROR(INDEX('WHO GHO Data'!$AB$8:$AB$201,MATCH('HCW + Staff Summary'!$C98,'WHO GHO Data'!$C$8:$C$201,0)),INDEX('WHO GHO Data'!$AE$9:$AE$13,MATCH('HCW + Staff Summary'!$E98,'WHO GHO Data'!$AD$9:$AD$13,0))),"")</f>
        <v>0.54650004528486062</v>
      </c>
      <c r="O98" s="29">
        <f>INDEX('WB Population Data'!$D$6:$D$269,MATCH($B98,'WB Population Data'!$B$6:$B$269,0))</f>
        <v>169000</v>
      </c>
      <c r="P98" s="30">
        <f t="shared" si="5"/>
        <v>183.19600000000003</v>
      </c>
      <c r="Q98" s="29">
        <f t="shared" si="3"/>
        <v>67.600000000000009</v>
      </c>
      <c r="R98" s="29">
        <f>IFERROR(IFERROR(INDEX('WHO GHO Data'!$S$8:$S$201,MATCH($C98,'WHO GHO Data'!$C$8:$C$201,0)),($O98/1000*$K98)),IFERROR($O98/1000*VLOOKUP(E98,$W$9:$Y$12,3,0),0))</f>
        <v>1332.1221034482762</v>
      </c>
      <c r="S98" s="30">
        <f>IFERROR(IFERROR(INDEX('WHO GHO Data'!$U$8:$U$201,MATCH($C98,'WHO GHO Data'!$C$8:$C$201,0)),INDEX('WHO GHO Data'!$AE$9:$AE$13,MATCH($E98,'WHO GHO Data'!$AD$9:$AD$13,0))*'HCW + Staff Summary'!$O98/1000),"")</f>
        <v>92.358507653141459</v>
      </c>
    </row>
    <row r="99" spans="2:19" x14ac:dyDescent="0.75">
      <c r="B99" s="43" t="s">
        <v>224</v>
      </c>
      <c r="C99" s="43" t="s">
        <v>54</v>
      </c>
      <c r="D99" s="132" t="s">
        <v>1075</v>
      </c>
      <c r="E99" s="132" t="s">
        <v>558</v>
      </c>
      <c r="F99" s="132" t="str">
        <f t="shared" si="4"/>
        <v>LMIC</v>
      </c>
      <c r="G99" s="646">
        <f>INDEX('WB HCW &amp; Beds'!$C$558:$BO$821,MATCH($C99,'WB HCW &amp; Beds'!$C$558:$C$821,0),MATCH("Latest value",'WB HCW &amp; Beds'!$C$557:$BO$557,0))</f>
        <v>0.79900000000000004</v>
      </c>
      <c r="H99" s="647">
        <f>INDEX('WB HCW &amp; Beds'!$C$558:$BO$821,MATCH($C99,'WB HCW &amp; Beds'!$C$558:$C$821,0),MATCH("Latest year",'WB HCW &amp; Beds'!$C$557:$BO$557,0))</f>
        <v>2018</v>
      </c>
      <c r="I99" s="651">
        <f>INDEX('WB HCW &amp; Beds'!$C$286:$BP$561,MATCH($C99,'WB HCW &amp; Beds'!$C$286:$C$561,0),MATCH("Value",'WB HCW &amp; Beds'!$C$286:$BP$286,0))</f>
        <v>0.32500000000000001</v>
      </c>
      <c r="J99" s="647">
        <f>'WB HCW &amp; Beds'!BO379</f>
        <v>2010</v>
      </c>
      <c r="K99" s="653">
        <f>'WB HCW &amp; Beds'!BN107</f>
        <v>1.3398000000000001</v>
      </c>
      <c r="L99" s="654">
        <f>'WB HCW &amp; Beds'!BO107</f>
        <v>2018</v>
      </c>
      <c r="M99" s="720">
        <f>IFERROR(IFERROR(INDEX('WHO GHO Data'!$AB$8:$AB$201,MATCH('HCW + Staff Summary'!$C99,'WHO GHO Data'!$C$8:$C$201,0)),INDEX('WHO GHO Data'!$AE$9:$AE$13,MATCH('HCW + Staff Summary'!$E99,'WHO GHO Data'!$AD$9:$AD$13,0))),"")</f>
        <v>2.6957966466646846E-2</v>
      </c>
      <c r="O99" s="29">
        <f>INDEX('WB Population Data'!$D$6:$D$269,MATCH($B99,'WB Population Data'!$B$6:$B$269,0))</f>
        <v>787000</v>
      </c>
      <c r="P99" s="30">
        <f t="shared" si="5"/>
        <v>628.81299999999999</v>
      </c>
      <c r="Q99" s="29">
        <f t="shared" si="3"/>
        <v>255.77500000000001</v>
      </c>
      <c r="R99" s="29">
        <f>IFERROR(IFERROR(INDEX('WHO GHO Data'!$S$8:$S$201,MATCH($C99,'WHO GHO Data'!$C$8:$C$201,0)),($O99/1000*$K99)),IFERROR($O99/1000*VLOOKUP(E99,$W$9:$Y$12,3,0),0))</f>
        <v>738.51605877916802</v>
      </c>
      <c r="S99" s="30">
        <f>IFERROR(IFERROR(INDEX('WHO GHO Data'!$U$8:$U$201,MATCH($C99,'WHO GHO Data'!$C$8:$C$201,0)),INDEX('WHO GHO Data'!$AE$9:$AE$13,MATCH($E99,'WHO GHO Data'!$AD$9:$AD$13,0))*'HCW + Staff Summary'!$O99/1000),"")</f>
        <v>21.215919609251067</v>
      </c>
    </row>
    <row r="100" spans="2:19" x14ac:dyDescent="0.75">
      <c r="B100" s="43" t="s">
        <v>411</v>
      </c>
      <c r="C100" s="43" t="s">
        <v>412</v>
      </c>
      <c r="D100" s="132" t="s">
        <v>1124</v>
      </c>
      <c r="E100" s="132" t="s">
        <v>750</v>
      </c>
      <c r="F100" s="132" t="str">
        <f t="shared" si="4"/>
        <v>Not LMIC</v>
      </c>
      <c r="G100" s="646">
        <f>INDEX('WB HCW &amp; Beds'!$C$558:$BO$821,MATCH($C100,'WB HCW &amp; Beds'!$C$558:$C$821,0),MATCH("Latest value",'WB HCW &amp; Beds'!$C$557:$BO$557,0))</f>
        <v>3.0035446137299346</v>
      </c>
      <c r="H100" s="647">
        <f>INDEX('WB HCW &amp; Beds'!$C$558:$BO$821,MATCH($C100,'WB HCW &amp; Beds'!$C$558:$C$821,0),MATCH("Latest year",'WB HCW &amp; Beds'!$C$557:$BO$557,0))</f>
        <v>2015</v>
      </c>
      <c r="I100" s="651">
        <f>INDEX('WB HCW &amp; Beds'!$C$286:$BP$561,MATCH($C100,'WB HCW &amp; Beds'!$C$286:$C$561,0),MATCH("Value",'WB HCW &amp; Beds'!$C$286:$BP$286,0))</f>
        <v>0.4</v>
      </c>
      <c r="J100" s="647" t="str">
        <f>'WB HCW &amp; Beds'!BO380</f>
        <v>No reported value</v>
      </c>
      <c r="K100" s="653">
        <f>'WB HCW &amp; Beds'!BN108</f>
        <v>8.788130990114821</v>
      </c>
      <c r="L100" s="654">
        <f>'WB HCW &amp; Beds'!BO108</f>
        <v>2015</v>
      </c>
      <c r="M100" s="720" t="str">
        <f>IFERROR(IFERROR(INDEX('WHO GHO Data'!$AB$8:$AB$201,MATCH('HCW + Staff Summary'!$C100,'WHO GHO Data'!$C$8:$C$201,0)),INDEX('WHO GHO Data'!$AE$9:$AE$13,MATCH('HCW + Staff Summary'!$E100,'WHO GHO Data'!$AD$9:$AD$13,0))),"")</f>
        <v/>
      </c>
      <c r="O100" s="29">
        <f>INDEX('WB Population Data'!$D$6:$D$269,MATCH($B100,'WB Population Data'!$B$6:$B$269,0))</f>
        <v>1219876000</v>
      </c>
      <c r="P100" s="30">
        <f t="shared" si="5"/>
        <v>0</v>
      </c>
      <c r="Q100" s="29">
        <f t="shared" si="3"/>
        <v>487950.4</v>
      </c>
      <c r="R100" s="29">
        <f>IFERROR(IFERROR(INDEX('WHO GHO Data'!$S$8:$S$201,MATCH($C100,'WHO GHO Data'!$C$8:$C$201,0)),($O100/1000*$K100)),IFERROR($O100/1000*VLOOKUP(E100,$W$9:$Y$12,3,0),0))</f>
        <v>10720430.079697307</v>
      </c>
      <c r="S100" s="30" t="str">
        <f>IFERROR(IFERROR(INDEX('WHO GHO Data'!$U$8:$U$201,MATCH($C100,'WHO GHO Data'!$C$8:$C$201,0)),INDEX('WHO GHO Data'!$AE$9:$AE$13,MATCH($E100,'WHO GHO Data'!$AD$9:$AD$13,0))*'HCW + Staff Summary'!$O100/1000),"")</f>
        <v/>
      </c>
    </row>
    <row r="101" spans="2:19" x14ac:dyDescent="0.75">
      <c r="B101" s="43" t="s">
        <v>413</v>
      </c>
      <c r="C101" s="43" t="s">
        <v>414</v>
      </c>
      <c r="D101" s="132" t="s">
        <v>1124</v>
      </c>
      <c r="E101" s="132" t="s">
        <v>411</v>
      </c>
      <c r="F101" s="132" t="str">
        <f t="shared" si="4"/>
        <v>Not LMIC</v>
      </c>
      <c r="G101" s="646">
        <f>INDEX('WB HCW &amp; Beds'!$C$558:$BO$821,MATCH($C101,'WB HCW &amp; Beds'!$C$558:$C$821,0),MATCH("Latest value",'WB HCW &amp; Beds'!$C$557:$BO$557,0))</f>
        <v>1.319</v>
      </c>
      <c r="H101" s="647">
        <f>INDEX('WB HCW &amp; Beds'!$C$558:$BO$821,MATCH($C101,'WB HCW &amp; Beds'!$C$558:$C$821,0),MATCH("Latest year",'WB HCW &amp; Beds'!$C$557:$BO$557,0))</f>
        <v>1995</v>
      </c>
      <c r="I101" s="651">
        <f>INDEX('WB HCW &amp; Beds'!$C$286:$BP$561,MATCH($C101,'WB HCW &amp; Beds'!$C$286:$C$561,0),MATCH("Value",'WB HCW &amp; Beds'!$C$286:$BP$286,0))</f>
        <v>0.4</v>
      </c>
      <c r="J101" s="647" t="str">
        <f>'WB HCW &amp; Beds'!BO381</f>
        <v>No reported value</v>
      </c>
      <c r="K101" s="653" t="str">
        <f>'WB HCW &amp; Beds'!BN109</f>
        <v>No reported value</v>
      </c>
      <c r="L101" s="654" t="str">
        <f>'WB HCW &amp; Beds'!BO109</f>
        <v>No reported value</v>
      </c>
      <c r="M101" s="720">
        <f>IFERROR(IFERROR(INDEX('WHO GHO Data'!$AB$8:$AB$201,MATCH('HCW + Staff Summary'!$C101,'WHO GHO Data'!$C$8:$C$201,0)),INDEX('WHO GHO Data'!$AE$9:$AE$13,MATCH('HCW + Staff Summary'!$E101,'WHO GHO Data'!$AD$9:$AD$13,0))),"")</f>
        <v>0.54650004528486062</v>
      </c>
      <c r="O101" s="29">
        <f>INDEX('WB Population Data'!$D$6:$D$269,MATCH($B101,'WB Population Data'!$B$6:$B$269,0))</f>
        <v>7564000</v>
      </c>
      <c r="P101" s="30">
        <f t="shared" si="5"/>
        <v>9976.9159999999993</v>
      </c>
      <c r="Q101" s="29">
        <f t="shared" si="3"/>
        <v>3025.6000000000004</v>
      </c>
      <c r="R101" s="29">
        <f>IFERROR(IFERROR(INDEX('WHO GHO Data'!$S$8:$S$201,MATCH($C101,'WHO GHO Data'!$C$8:$C$201,0)),($O101/1000*$K101)),IFERROR($O101/1000*VLOOKUP(E101,$W$9:$Y$12,3,0),0))</f>
        <v>59622.317103448288</v>
      </c>
      <c r="S101" s="30">
        <f>IFERROR(IFERROR(INDEX('WHO GHO Data'!$U$8:$U$201,MATCH($C101,'WHO GHO Data'!$C$8:$C$201,0)),INDEX('WHO GHO Data'!$AE$9:$AE$13,MATCH($E101,'WHO GHO Data'!$AD$9:$AD$13,0))*'HCW + Staff Summary'!$O101/1000),"")</f>
        <v>4133.7263425346864</v>
      </c>
    </row>
    <row r="102" spans="2:19" x14ac:dyDescent="0.75">
      <c r="B102" s="43" t="s">
        <v>226</v>
      </c>
      <c r="C102" s="43" t="s">
        <v>166</v>
      </c>
      <c r="D102" s="132" t="s">
        <v>1075</v>
      </c>
      <c r="E102" s="132" t="s">
        <v>455</v>
      </c>
      <c r="F102" s="132" t="str">
        <f t="shared" si="4"/>
        <v>LMIC</v>
      </c>
      <c r="G102" s="646">
        <f>INDEX('WB HCW &amp; Beds'!$C$558:$BO$821,MATCH($C102,'WB HCW &amp; Beds'!$C$558:$C$821,0),MATCH("Latest value",'WB HCW &amp; Beds'!$C$557:$BO$557,0))</f>
        <v>0.31440000000000001</v>
      </c>
      <c r="H102" s="647">
        <f>INDEX('WB HCW &amp; Beds'!$C$558:$BO$821,MATCH($C102,'WB HCW &amp; Beds'!$C$558:$C$821,0),MATCH("Latest year",'WB HCW &amp; Beds'!$C$557:$BO$557,0))</f>
        <v>2017</v>
      </c>
      <c r="I102" s="651">
        <f>INDEX('WB HCW &amp; Beds'!$C$286:$BP$561,MATCH($C102,'WB HCW &amp; Beds'!$C$286:$C$561,0),MATCH("Value",'WB HCW &amp; Beds'!$C$286:$BP$286,0))</f>
        <v>0.4</v>
      </c>
      <c r="J102" s="647" t="str">
        <f>'WB HCW &amp; Beds'!BO382</f>
        <v>No reported value</v>
      </c>
      <c r="K102" s="653">
        <f>'WB HCW &amp; Beds'!BN110</f>
        <v>0.88149999999999995</v>
      </c>
      <c r="L102" s="654">
        <f>'WB HCW &amp; Beds'!BO110</f>
        <v>2017</v>
      </c>
      <c r="M102" s="720">
        <f>IFERROR(IFERROR(INDEX('WHO GHO Data'!$AB$8:$AB$201,MATCH('HCW + Staff Summary'!$C102,'WHO GHO Data'!$C$8:$C$201,0)),INDEX('WHO GHO Data'!$AE$9:$AE$13,MATCH('HCW + Staff Summary'!$E102,'WHO GHO Data'!$AD$9:$AD$13,0))),"")</f>
        <v>0.2757388684331506</v>
      </c>
      <c r="O102" s="29">
        <f>INDEX('WB Population Data'!$D$6:$D$269,MATCH($B102,'WB Population Data'!$B$6:$B$269,0))</f>
        <v>9905000</v>
      </c>
      <c r="P102" s="30">
        <f t="shared" si="5"/>
        <v>3114.1320000000001</v>
      </c>
      <c r="Q102" s="29">
        <f t="shared" si="3"/>
        <v>3962</v>
      </c>
      <c r="R102" s="29">
        <f>IFERROR(IFERROR(INDEX('WHO GHO Data'!$S$8:$S$201,MATCH($C102,'WHO GHO Data'!$C$8:$C$201,0)),($O102/1000*$K102)),IFERROR($O102/1000*VLOOKUP(E102,$W$9:$Y$12,3,0),0))</f>
        <v>7298.3966631879284</v>
      </c>
      <c r="S102" s="30">
        <f>IFERROR(IFERROR(INDEX('WHO GHO Data'!$U$8:$U$201,MATCH($C102,'WHO GHO Data'!$C$8:$C$201,0)),INDEX('WHO GHO Data'!$AE$9:$AE$13,MATCH($E102,'WHO GHO Data'!$AD$9:$AD$13,0))*'HCW + Staff Summary'!$O102/1000),"")</f>
        <v>2731.1934918303568</v>
      </c>
    </row>
    <row r="103" spans="2:19" x14ac:dyDescent="0.75">
      <c r="B103" s="43" t="s">
        <v>409</v>
      </c>
      <c r="C103" s="43" t="s">
        <v>410</v>
      </c>
      <c r="D103" s="132" t="s">
        <v>1124</v>
      </c>
      <c r="E103" s="132" t="s">
        <v>750</v>
      </c>
      <c r="F103" s="132" t="str">
        <f t="shared" si="4"/>
        <v>Not LMIC</v>
      </c>
      <c r="G103" s="646">
        <f>INDEX('WB HCW &amp; Beds'!$C$558:$BO$821,MATCH($C103,'WB HCW &amp; Beds'!$C$558:$C$821,0),MATCH("Latest value",'WB HCW &amp; Beds'!$C$557:$BO$557,0))</f>
        <v>0.15767389400786444</v>
      </c>
      <c r="H103" s="647">
        <f>INDEX('WB HCW &amp; Beds'!$C$558:$BO$821,MATCH($C103,'WB HCW &amp; Beds'!$C$558:$C$821,0),MATCH("Latest year",'WB HCW &amp; Beds'!$C$557:$BO$557,0))</f>
        <v>2015</v>
      </c>
      <c r="I103" s="651">
        <f>INDEX('WB HCW &amp; Beds'!$C$286:$BP$561,MATCH($C103,'WB HCW &amp; Beds'!$C$286:$C$561,0),MATCH("Value",'WB HCW &amp; Beds'!$C$286:$BP$286,0))</f>
        <v>0.4</v>
      </c>
      <c r="J103" s="647" t="str">
        <f>'WB HCW &amp; Beds'!BO383</f>
        <v>No reported value</v>
      </c>
      <c r="K103" s="653">
        <f>'WB HCW &amp; Beds'!BN111</f>
        <v>0.61916121624459475</v>
      </c>
      <c r="L103" s="654">
        <f>'WB HCW &amp; Beds'!BO111</f>
        <v>2015</v>
      </c>
      <c r="M103" s="720" t="str">
        <f>IFERROR(IFERROR(INDEX('WHO GHO Data'!$AB$8:$AB$201,MATCH('HCW + Staff Summary'!$C103,'WHO GHO Data'!$C$8:$C$201,0)),INDEX('WHO GHO Data'!$AE$9:$AE$13,MATCH('HCW + Staff Summary'!$E103,'WHO GHO Data'!$AD$9:$AD$13,0))),"")</f>
        <v/>
      </c>
      <c r="O103" s="29">
        <f>INDEX('WB Population Data'!$D$6:$D$269,MATCH($B103,'WB Population Data'!$B$6:$B$269,0))</f>
        <v>823482000</v>
      </c>
      <c r="P103" s="30">
        <f t="shared" si="5"/>
        <v>0</v>
      </c>
      <c r="Q103" s="29">
        <f t="shared" si="3"/>
        <v>329392.80000000005</v>
      </c>
      <c r="R103" s="29">
        <f>IFERROR(IFERROR(INDEX('WHO GHO Data'!$S$8:$S$201,MATCH($C103,'WHO GHO Data'!$C$8:$C$201,0)),($O103/1000*$K103)),IFERROR($O103/1000*VLOOKUP(E103,$W$9:$Y$12,3,0),0))</f>
        <v>509868.11667553138</v>
      </c>
      <c r="S103" s="30" t="str">
        <f>IFERROR(IFERROR(INDEX('WHO GHO Data'!$U$8:$U$201,MATCH($C103,'WHO GHO Data'!$C$8:$C$201,0)),INDEX('WHO GHO Data'!$AE$9:$AE$13,MATCH($E103,'WHO GHO Data'!$AD$9:$AD$13,0))*'HCW + Staff Summary'!$O103/1000),"")</f>
        <v/>
      </c>
    </row>
    <row r="104" spans="2:19" x14ac:dyDescent="0.75">
      <c r="B104" s="43" t="s">
        <v>359</v>
      </c>
      <c r="C104" s="43" t="s">
        <v>55</v>
      </c>
      <c r="D104" s="132" t="s">
        <v>1074</v>
      </c>
      <c r="E104" s="132" t="s">
        <v>411</v>
      </c>
      <c r="F104" s="132" t="str">
        <f t="shared" si="4"/>
        <v>Not LMIC</v>
      </c>
      <c r="G104" s="646">
        <f>INDEX('WB HCW &amp; Beds'!$C$558:$BO$821,MATCH($C104,'WB HCW &amp; Beds'!$C$558:$C$821,0),MATCH("Latest value",'WB HCW &amp; Beds'!$C$557:$BO$557,0))</f>
        <v>2.9962</v>
      </c>
      <c r="H104" s="647">
        <f>INDEX('WB HCW &amp; Beds'!$C$558:$BO$821,MATCH($C104,'WB HCW &amp; Beds'!$C$558:$C$821,0),MATCH("Latest year",'WB HCW &amp; Beds'!$C$557:$BO$557,0))</f>
        <v>2016</v>
      </c>
      <c r="I104" s="651">
        <f>INDEX('WB HCW &amp; Beds'!$C$286:$BP$561,MATCH($C104,'WB HCW &amp; Beds'!$C$286:$C$561,0),MATCH("Value",'WB HCW &amp; Beds'!$C$286:$BP$286,0))</f>
        <v>0.4</v>
      </c>
      <c r="J104" s="647" t="str">
        <f>'WB HCW &amp; Beds'!BO384</f>
        <v>No reported value</v>
      </c>
      <c r="K104" s="653">
        <f>'WB HCW &amp; Beds'!BN112</f>
        <v>8.1134000000000004</v>
      </c>
      <c r="L104" s="654">
        <f>'WB HCW &amp; Beds'!BO112</f>
        <v>2016</v>
      </c>
      <c r="M104" s="720">
        <f>IFERROR(IFERROR(INDEX('WHO GHO Data'!$AB$8:$AB$201,MATCH('HCW + Staff Summary'!$C104,'WHO GHO Data'!$C$8:$C$201,0)),INDEX('WHO GHO Data'!$AE$9:$AE$13,MATCH('HCW + Staff Summary'!$E104,'WHO GHO Data'!$AD$9:$AD$13,0))),"")</f>
        <v>0.54650004528486062</v>
      </c>
      <c r="O104" s="29">
        <f>INDEX('WB Population Data'!$D$6:$D$269,MATCH($B104,'WB Population Data'!$B$6:$B$269,0))</f>
        <v>4052000</v>
      </c>
      <c r="P104" s="30">
        <f t="shared" si="5"/>
        <v>12140.6024</v>
      </c>
      <c r="Q104" s="29">
        <f t="shared" si="3"/>
        <v>1620.8000000000002</v>
      </c>
      <c r="R104" s="29">
        <f>IFERROR(IFERROR(INDEX('WHO GHO Data'!$S$8:$S$201,MATCH($C104,'WHO GHO Data'!$C$8:$C$201,0)),($O104/1000*$K104)),IFERROR($O104/1000*VLOOKUP(E104,$W$9:$Y$12,3,0),0))</f>
        <v>33106.948689282741</v>
      </c>
      <c r="S104" s="30">
        <f>IFERROR(IFERROR(INDEX('WHO GHO Data'!$U$8:$U$201,MATCH($C104,'WHO GHO Data'!$C$8:$C$201,0)),INDEX('WHO GHO Data'!$AE$9:$AE$13,MATCH($E104,'WHO GHO Data'!$AD$9:$AD$13,0))*'HCW + Staff Summary'!$O104/1000),"")</f>
        <v>2214.4181834942556</v>
      </c>
    </row>
    <row r="105" spans="2:19" x14ac:dyDescent="0.75">
      <c r="B105" s="43" t="s">
        <v>225</v>
      </c>
      <c r="C105" s="43" t="s">
        <v>56</v>
      </c>
      <c r="D105" s="132" t="s">
        <v>1075</v>
      </c>
      <c r="E105" s="132" t="s">
        <v>453</v>
      </c>
      <c r="F105" s="132" t="str">
        <f t="shared" si="4"/>
        <v>LMIC</v>
      </c>
      <c r="G105" s="646">
        <f>INDEX('WB HCW &amp; Beds'!$C$558:$BO$821,MATCH($C105,'WB HCW &amp; Beds'!$C$558:$C$821,0),MATCH("Latest value",'WB HCW &amp; Beds'!$C$557:$BO$557,0))</f>
        <v>0.23449999999999999</v>
      </c>
      <c r="H105" s="647">
        <f>INDEX('WB HCW &amp; Beds'!$C$558:$BO$821,MATCH($C105,'WB HCW &amp; Beds'!$C$558:$C$821,0),MATCH("Latest year",'WB HCW &amp; Beds'!$C$557:$BO$557,0))</f>
        <v>2018</v>
      </c>
      <c r="I105" s="651">
        <f>INDEX('WB HCW &amp; Beds'!$C$286:$BP$561,MATCH($C105,'WB HCW &amp; Beds'!$C$286:$C$561,0),MATCH("Value",'WB HCW &amp; Beds'!$C$286:$BP$286,0))</f>
        <v>0.4</v>
      </c>
      <c r="J105" s="647" t="str">
        <f>'WB HCW &amp; Beds'!BO385</f>
        <v>No reported value</v>
      </c>
      <c r="K105" s="653">
        <f>'WB HCW &amp; Beds'!BN113</f>
        <v>0.6804</v>
      </c>
      <c r="L105" s="654">
        <f>'WB HCW &amp; Beds'!BO113</f>
        <v>2018</v>
      </c>
      <c r="M105" s="720">
        <f>IFERROR(IFERROR(INDEX('WHO GHO Data'!$AB$8:$AB$201,MATCH('HCW + Staff Summary'!$C105,'WHO GHO Data'!$C$8:$C$201,0)),INDEX('WHO GHO Data'!$AE$9:$AE$13,MATCH('HCW + Staff Summary'!$E105,'WHO GHO Data'!$AD$9:$AD$13,0))),"")</f>
        <v>0.15590757958400006</v>
      </c>
      <c r="O105" s="29">
        <f>INDEX('WB Population Data'!$D$6:$D$269,MATCH($B105,'WB Population Data'!$B$6:$B$269,0))</f>
        <v>11403000</v>
      </c>
      <c r="P105" s="30">
        <f t="shared" si="5"/>
        <v>2674.0034999999998</v>
      </c>
      <c r="Q105" s="29">
        <f t="shared" si="3"/>
        <v>4561.2</v>
      </c>
      <c r="R105" s="29">
        <f>IFERROR(IFERROR(INDEX('WHO GHO Data'!$S$8:$S$201,MATCH($C105,'WHO GHO Data'!$C$8:$C$201,0)),($O105/1000*$K105)),IFERROR($O105/1000*VLOOKUP(E105,$W$9:$Y$12,3,0),0))</f>
        <v>7563.1561255304105</v>
      </c>
      <c r="S105" s="30">
        <f>IFERROR(IFERROR(INDEX('WHO GHO Data'!$U$8:$U$201,MATCH($C105,'WHO GHO Data'!$C$8:$C$201,0)),INDEX('WHO GHO Data'!$AE$9:$AE$13,MATCH($E105,'WHO GHO Data'!$AD$9:$AD$13,0))*'HCW + Staff Summary'!$O105/1000),"")</f>
        <v>1777.8141299963527</v>
      </c>
    </row>
    <row r="106" spans="2:19" x14ac:dyDescent="0.75">
      <c r="B106" s="43" t="s">
        <v>415</v>
      </c>
      <c r="C106" s="43" t="s">
        <v>57</v>
      </c>
      <c r="D106" s="132" t="s">
        <v>1074</v>
      </c>
      <c r="E106" s="132" t="s">
        <v>411</v>
      </c>
      <c r="F106" s="132" t="str">
        <f t="shared" si="4"/>
        <v>Not LMIC</v>
      </c>
      <c r="G106" s="646">
        <f>INDEX('WB HCW &amp; Beds'!$C$558:$BO$821,MATCH($C106,'WB HCW &amp; Beds'!$C$558:$C$821,0),MATCH("Latest value",'WB HCW &amp; Beds'!$C$557:$BO$557,0))</f>
        <v>3.2311999999999999</v>
      </c>
      <c r="H106" s="647">
        <f>INDEX('WB HCW &amp; Beds'!$C$558:$BO$821,MATCH($C106,'WB HCW &amp; Beds'!$C$558:$C$821,0),MATCH("Latest year",'WB HCW &amp; Beds'!$C$557:$BO$557,0))</f>
        <v>2016</v>
      </c>
      <c r="I106" s="651">
        <f>INDEX('WB HCW &amp; Beds'!$C$286:$BP$561,MATCH($C106,'WB HCW &amp; Beds'!$C$286:$C$561,0),MATCH("Value",'WB HCW &amp; Beds'!$C$286:$BP$286,0))</f>
        <v>0.4</v>
      </c>
      <c r="J106" s="647" t="str">
        <f>'WB HCW &amp; Beds'!BO386</f>
        <v>No reported value</v>
      </c>
      <c r="K106" s="653">
        <f>'WB HCW &amp; Beds'!BN114</f>
        <v>6.6425000000000001</v>
      </c>
      <c r="L106" s="654">
        <f>'WB HCW &amp; Beds'!BO114</f>
        <v>2016</v>
      </c>
      <c r="M106" s="720">
        <f>IFERROR(IFERROR(INDEX('WHO GHO Data'!$AB$8:$AB$201,MATCH('HCW + Staff Summary'!$C106,'WHO GHO Data'!$C$8:$C$201,0)),INDEX('WHO GHO Data'!$AE$9:$AE$13,MATCH('HCW + Staff Summary'!$E106,'WHO GHO Data'!$AD$9:$AD$13,0))),"")</f>
        <v>0.54650004528486062</v>
      </c>
      <c r="O106" s="29">
        <f>INDEX('WB Population Data'!$D$6:$D$269,MATCH($B106,'WB Population Data'!$B$6:$B$269,0))</f>
        <v>9695000</v>
      </c>
      <c r="P106" s="30">
        <f t="shared" si="5"/>
        <v>31326.483999999997</v>
      </c>
      <c r="Q106" s="29">
        <f t="shared" si="3"/>
        <v>3878</v>
      </c>
      <c r="R106" s="29">
        <f>IFERROR(IFERROR(INDEX('WHO GHO Data'!$S$8:$S$201,MATCH($C106,'WHO GHO Data'!$C$8:$C$201,0)),($O106/1000*$K106)),IFERROR($O106/1000*VLOOKUP(E106,$W$9:$Y$12,3,0),0))</f>
        <v>64368.221910582739</v>
      </c>
      <c r="S106" s="30">
        <f>IFERROR(IFERROR(INDEX('WHO GHO Data'!$U$8:$U$201,MATCH($C106,'WHO GHO Data'!$C$8:$C$201,0)),INDEX('WHO GHO Data'!$AE$9:$AE$13,MATCH($E106,'WHO GHO Data'!$AD$9:$AD$13,0))*'HCW + Staff Summary'!$O106/1000),"")</f>
        <v>5298.3179390367241</v>
      </c>
    </row>
    <row r="107" spans="2:19" x14ac:dyDescent="0.75">
      <c r="B107" s="43" t="s">
        <v>634</v>
      </c>
      <c r="C107" s="43" t="s">
        <v>635</v>
      </c>
      <c r="D107" s="132" t="s">
        <v>1124</v>
      </c>
      <c r="E107" s="132" t="s">
        <v>750</v>
      </c>
      <c r="F107" s="132" t="str">
        <f t="shared" si="4"/>
        <v>Not LMIC</v>
      </c>
      <c r="G107" s="646">
        <f>INDEX('WB HCW &amp; Beds'!$C$558:$BO$821,MATCH($C107,'WB HCW &amp; Beds'!$C$558:$C$821,0),MATCH("Latest value",'WB HCW &amp; Beds'!$C$557:$BO$557,0))</f>
        <v>1.4561130577046284</v>
      </c>
      <c r="H107" s="647">
        <f>INDEX('WB HCW &amp; Beds'!$C$558:$BO$821,MATCH($C107,'WB HCW &amp; Beds'!$C$558:$C$821,0),MATCH("Latest year",'WB HCW &amp; Beds'!$C$557:$BO$557,0))</f>
        <v>2015</v>
      </c>
      <c r="I107" s="651">
        <f>INDEX('WB HCW &amp; Beds'!$C$286:$BP$561,MATCH($C107,'WB HCW &amp; Beds'!$C$286:$C$561,0),MATCH("Value",'WB HCW &amp; Beds'!$C$286:$BP$286,0))</f>
        <v>0.4</v>
      </c>
      <c r="J107" s="647" t="str">
        <f>'WB HCW &amp; Beds'!BO387</f>
        <v>No reported value</v>
      </c>
      <c r="K107" s="653">
        <f>'WB HCW &amp; Beds'!BN115</f>
        <v>2.8470624862975038</v>
      </c>
      <c r="L107" s="654">
        <f>'WB HCW &amp; Beds'!BO115</f>
        <v>2015</v>
      </c>
      <c r="M107" s="720" t="str">
        <f>IFERROR(IFERROR(INDEX('WHO GHO Data'!$AB$8:$AB$201,MATCH('HCW + Staff Summary'!$C107,'WHO GHO Data'!$C$8:$C$201,0)),INDEX('WHO GHO Data'!$AE$9:$AE$13,MATCH('HCW + Staff Summary'!$E107,'WHO GHO Data'!$AD$9:$AD$13,0))),"")</f>
        <v/>
      </c>
      <c r="O107" s="29" t="e">
        <f>INDEX('WB Population Data'!$D$6:$D$269,MATCH($B107,'WB Population Data'!$B$6:$B$269,0))</f>
        <v>#N/A</v>
      </c>
      <c r="P107" s="30">
        <f t="shared" si="5"/>
        <v>0</v>
      </c>
      <c r="Q107" s="29">
        <f t="shared" si="3"/>
        <v>0</v>
      </c>
      <c r="R107" s="29">
        <f>IFERROR(IFERROR(INDEX('WHO GHO Data'!$S$8:$S$201,MATCH($C107,'WHO GHO Data'!$C$8:$C$201,0)),($O107/1000*$K107)),IFERROR($O107/1000*VLOOKUP(E107,$W$9:$Y$12,3,0),0))</f>
        <v>0</v>
      </c>
      <c r="S107" s="30" t="str">
        <f>IFERROR(IFERROR(INDEX('WHO GHO Data'!$U$8:$U$201,MATCH($C107,'WHO GHO Data'!$C$8:$C$201,0)),INDEX('WHO GHO Data'!$AE$9:$AE$13,MATCH($E107,'WHO GHO Data'!$AD$9:$AD$13,0))*'HCW + Staff Summary'!$O107/1000),"")</f>
        <v/>
      </c>
    </row>
    <row r="108" spans="2:19" x14ac:dyDescent="0.75">
      <c r="B108" s="43" t="s">
        <v>636</v>
      </c>
      <c r="C108" s="43" t="s">
        <v>637</v>
      </c>
      <c r="D108" s="132" t="s">
        <v>1124</v>
      </c>
      <c r="E108" s="132" t="s">
        <v>750</v>
      </c>
      <c r="F108" s="132" t="str">
        <f t="shared" si="4"/>
        <v>Not LMIC</v>
      </c>
      <c r="G108" s="646">
        <f>INDEX('WB HCW &amp; Beds'!$C$558:$BO$821,MATCH($C108,'WB HCW &amp; Beds'!$C$558:$C$821,0),MATCH("Latest value",'WB HCW &amp; Beds'!$C$557:$BO$557,0))</f>
        <v>1.2057369708980019</v>
      </c>
      <c r="H108" s="647">
        <f>INDEX('WB HCW &amp; Beds'!$C$558:$BO$821,MATCH($C108,'WB HCW &amp; Beds'!$C$558:$C$821,0),MATCH("Latest year",'WB HCW &amp; Beds'!$C$557:$BO$557,0))</f>
        <v>2015</v>
      </c>
      <c r="I108" s="651">
        <f>INDEX('WB HCW &amp; Beds'!$C$286:$BP$561,MATCH($C108,'WB HCW &amp; Beds'!$C$286:$C$561,0),MATCH("Value",'WB HCW &amp; Beds'!$C$286:$BP$286,0))</f>
        <v>0.4</v>
      </c>
      <c r="J108" s="647" t="str">
        <f>'WB HCW &amp; Beds'!BO388</f>
        <v>No reported value</v>
      </c>
      <c r="K108" s="653">
        <f>'WB HCW &amp; Beds'!BN116</f>
        <v>2.4086901567696866</v>
      </c>
      <c r="L108" s="654">
        <f>'WB HCW &amp; Beds'!BO116</f>
        <v>2015</v>
      </c>
      <c r="M108" s="720" t="str">
        <f>IFERROR(IFERROR(INDEX('WHO GHO Data'!$AB$8:$AB$201,MATCH('HCW + Staff Summary'!$C108,'WHO GHO Data'!$C$8:$C$201,0)),INDEX('WHO GHO Data'!$AE$9:$AE$13,MATCH('HCW + Staff Summary'!$E108,'WHO GHO Data'!$AD$9:$AD$13,0))),"")</f>
        <v/>
      </c>
      <c r="O108" s="29" t="e">
        <f>INDEX('WB Population Data'!$D$6:$D$269,MATCH($B108,'WB Population Data'!$B$6:$B$269,0))</f>
        <v>#N/A</v>
      </c>
      <c r="P108" s="30">
        <f t="shared" si="5"/>
        <v>0</v>
      </c>
      <c r="Q108" s="29">
        <f t="shared" si="3"/>
        <v>0</v>
      </c>
      <c r="R108" s="29">
        <f>IFERROR(IFERROR(INDEX('WHO GHO Data'!$S$8:$S$201,MATCH($C108,'WHO GHO Data'!$C$8:$C$201,0)),($O108/1000*$K108)),IFERROR($O108/1000*VLOOKUP(E108,$W$9:$Y$12,3,0),0))</f>
        <v>0</v>
      </c>
      <c r="S108" s="30" t="str">
        <f>IFERROR(IFERROR(INDEX('WHO GHO Data'!$U$8:$U$201,MATCH($C108,'WHO GHO Data'!$C$8:$C$201,0)),INDEX('WHO GHO Data'!$AE$9:$AE$13,MATCH($E108,'WHO GHO Data'!$AD$9:$AD$13,0))*'HCW + Staff Summary'!$O108/1000),"")</f>
        <v/>
      </c>
    </row>
    <row r="109" spans="2:19" x14ac:dyDescent="0.75">
      <c r="B109" s="43" t="s">
        <v>638</v>
      </c>
      <c r="C109" s="43" t="s">
        <v>639</v>
      </c>
      <c r="D109" s="132" t="s">
        <v>1124</v>
      </c>
      <c r="E109" s="132" t="s">
        <v>750</v>
      </c>
      <c r="F109" s="132" t="str">
        <f t="shared" si="4"/>
        <v>Not LMIC</v>
      </c>
      <c r="G109" s="646">
        <f>INDEX('WB HCW &amp; Beds'!$C$558:$BO$821,MATCH($C109,'WB HCW &amp; Beds'!$C$558:$C$821,0),MATCH("Latest value",'WB HCW &amp; Beds'!$C$557:$BO$557,0))</f>
        <v>0.44472649538513387</v>
      </c>
      <c r="H109" s="647">
        <f>INDEX('WB HCW &amp; Beds'!$C$558:$BO$821,MATCH($C109,'WB HCW &amp; Beds'!$C$558:$C$821,0),MATCH("Latest year",'WB HCW &amp; Beds'!$C$557:$BO$557,0))</f>
        <v>2015</v>
      </c>
      <c r="I109" s="651">
        <f>INDEX('WB HCW &amp; Beds'!$C$286:$BP$561,MATCH($C109,'WB HCW &amp; Beds'!$C$286:$C$561,0),MATCH("Value",'WB HCW &amp; Beds'!$C$286:$BP$286,0))</f>
        <v>0.4</v>
      </c>
      <c r="J109" s="647" t="str">
        <f>'WB HCW &amp; Beds'!BO389</f>
        <v>No reported value</v>
      </c>
      <c r="K109" s="653">
        <f>'WB HCW &amp; Beds'!BN117</f>
        <v>1.0762708382933868</v>
      </c>
      <c r="L109" s="654">
        <f>'WB HCW &amp; Beds'!BO117</f>
        <v>2015</v>
      </c>
      <c r="M109" s="720" t="str">
        <f>IFERROR(IFERROR(INDEX('WHO GHO Data'!$AB$8:$AB$201,MATCH('HCW + Staff Summary'!$C109,'WHO GHO Data'!$C$8:$C$201,0)),INDEX('WHO GHO Data'!$AE$9:$AE$13,MATCH('HCW + Staff Summary'!$E109,'WHO GHO Data'!$AD$9:$AD$13,0))),"")</f>
        <v/>
      </c>
      <c r="O109" s="29" t="e">
        <f>INDEX('WB Population Data'!$D$6:$D$269,MATCH($B109,'WB Population Data'!$B$6:$B$269,0))</f>
        <v>#N/A</v>
      </c>
      <c r="P109" s="30">
        <f t="shared" si="5"/>
        <v>0</v>
      </c>
      <c r="Q109" s="29">
        <f t="shared" si="3"/>
        <v>0</v>
      </c>
      <c r="R109" s="29">
        <f>IFERROR(IFERROR(INDEX('WHO GHO Data'!$S$8:$S$201,MATCH($C109,'WHO GHO Data'!$C$8:$C$201,0)),($O109/1000*$K109)),IFERROR($O109/1000*VLOOKUP(E109,$W$9:$Y$12,3,0),0))</f>
        <v>0</v>
      </c>
      <c r="S109" s="30" t="str">
        <f>IFERROR(IFERROR(INDEX('WHO GHO Data'!$U$8:$U$201,MATCH($C109,'WHO GHO Data'!$C$8:$C$201,0)),INDEX('WHO GHO Data'!$AE$9:$AE$13,MATCH($E109,'WHO GHO Data'!$AD$9:$AD$13,0))*'HCW + Staff Summary'!$O109/1000),"")</f>
        <v/>
      </c>
    </row>
    <row r="110" spans="2:19" x14ac:dyDescent="0.75">
      <c r="B110" s="43" t="s">
        <v>640</v>
      </c>
      <c r="C110" s="43" t="s">
        <v>641</v>
      </c>
      <c r="D110" s="132" t="s">
        <v>1124</v>
      </c>
      <c r="E110" s="132" t="s">
        <v>750</v>
      </c>
      <c r="F110" s="132" t="str">
        <f t="shared" si="4"/>
        <v>Not LMIC</v>
      </c>
      <c r="G110" s="646">
        <f>INDEX('WB HCW &amp; Beds'!$C$558:$BO$821,MATCH($C110,'WB HCW &amp; Beds'!$C$558:$C$821,0),MATCH("Latest value",'WB HCW &amp; Beds'!$C$557:$BO$557,0))</f>
        <v>0.7199389124387725</v>
      </c>
      <c r="H110" s="647">
        <f>INDEX('WB HCW &amp; Beds'!$C$558:$BO$821,MATCH($C110,'WB HCW &amp; Beds'!$C$558:$C$821,0),MATCH("Latest year",'WB HCW &amp; Beds'!$C$557:$BO$557,0))</f>
        <v>2015</v>
      </c>
      <c r="I110" s="651">
        <f>INDEX('WB HCW &amp; Beds'!$C$286:$BP$561,MATCH($C110,'WB HCW &amp; Beds'!$C$286:$C$561,0),MATCH("Value",'WB HCW &amp; Beds'!$C$286:$BP$286,0))</f>
        <v>0.11693482767002192</v>
      </c>
      <c r="J110" s="647">
        <f>'WB HCW &amp; Beds'!BO390</f>
        <v>2011</v>
      </c>
      <c r="K110" s="653">
        <f>'WB HCW &amp; Beds'!BN118</f>
        <v>1.7315909698221195</v>
      </c>
      <c r="L110" s="654">
        <f>'WB HCW &amp; Beds'!BO118</f>
        <v>2015</v>
      </c>
      <c r="M110" s="720" t="str">
        <f>IFERROR(IFERROR(INDEX('WHO GHO Data'!$AB$8:$AB$201,MATCH('HCW + Staff Summary'!$C110,'WHO GHO Data'!$C$8:$C$201,0)),INDEX('WHO GHO Data'!$AE$9:$AE$13,MATCH('HCW + Staff Summary'!$E110,'WHO GHO Data'!$AD$9:$AD$13,0))),"")</f>
        <v/>
      </c>
      <c r="O110" s="29" t="e">
        <f>INDEX('WB Population Data'!$D$6:$D$269,MATCH($B110,'WB Population Data'!$B$6:$B$269,0))</f>
        <v>#N/A</v>
      </c>
      <c r="P110" s="30">
        <f t="shared" si="5"/>
        <v>0</v>
      </c>
      <c r="Q110" s="29">
        <f t="shared" si="3"/>
        <v>0</v>
      </c>
      <c r="R110" s="29">
        <f>IFERROR(IFERROR(INDEX('WHO GHO Data'!$S$8:$S$201,MATCH($C110,'WHO GHO Data'!$C$8:$C$201,0)),($O110/1000*$K110)),IFERROR($O110/1000*VLOOKUP(E110,$W$9:$Y$12,3,0),0))</f>
        <v>0</v>
      </c>
      <c r="S110" s="30" t="str">
        <f>IFERROR(IFERROR(INDEX('WHO GHO Data'!$U$8:$U$201,MATCH($C110,'WHO GHO Data'!$C$8:$C$201,0)),INDEX('WHO GHO Data'!$AE$9:$AE$13,MATCH($E110,'WHO GHO Data'!$AD$9:$AD$13,0))*'HCW + Staff Summary'!$O110/1000),"")</f>
        <v/>
      </c>
    </row>
    <row r="111" spans="2:19" x14ac:dyDescent="0.75">
      <c r="B111" s="43" t="s">
        <v>242</v>
      </c>
      <c r="C111" s="43" t="s">
        <v>58</v>
      </c>
      <c r="D111" s="132" t="s">
        <v>1077</v>
      </c>
      <c r="E111" s="132" t="s">
        <v>455</v>
      </c>
      <c r="F111" s="132" t="str">
        <f t="shared" si="4"/>
        <v>LMIC</v>
      </c>
      <c r="G111" s="646">
        <f>INDEX('WB HCW &amp; Beds'!$C$558:$BO$821,MATCH($C111,'WB HCW &amp; Beds'!$C$558:$C$821,0),MATCH("Latest value",'WB HCW &amp; Beds'!$C$557:$BO$557,0))</f>
        <v>0.37769999999999998</v>
      </c>
      <c r="H111" s="647">
        <f>INDEX('WB HCW &amp; Beds'!$C$558:$BO$821,MATCH($C111,'WB HCW &amp; Beds'!$C$558:$C$821,0),MATCH("Latest year",'WB HCW &amp; Beds'!$C$557:$BO$557,0))</f>
        <v>2017</v>
      </c>
      <c r="I111" s="651">
        <f>INDEX('WB HCW &amp; Beds'!$C$286:$BP$561,MATCH($C111,'WB HCW &amp; Beds'!$C$286:$C$561,0),MATCH("Value",'WB HCW &amp; Beds'!$C$286:$BP$286,0))</f>
        <v>0</v>
      </c>
      <c r="J111" s="647">
        <f>'WB HCW &amp; Beds'!BO391</f>
        <v>2015</v>
      </c>
      <c r="K111" s="653">
        <f>'WB HCW &amp; Beds'!BN119</f>
        <v>2.0583</v>
      </c>
      <c r="L111" s="654">
        <f>'WB HCW &amp; Beds'!BO119</f>
        <v>2017</v>
      </c>
      <c r="M111" s="720">
        <f>IFERROR(IFERROR(INDEX('WHO GHO Data'!$AB$8:$AB$201,MATCH('HCW + Staff Summary'!$C111,'WHO GHO Data'!$C$8:$C$201,0)),INDEX('WHO GHO Data'!$AE$9:$AE$13,MATCH('HCW + Staff Summary'!$E111,'WHO GHO Data'!$AD$9:$AD$13,0))),"")</f>
        <v>9.5065669916488071E-2</v>
      </c>
      <c r="O111" s="29">
        <f>INDEX('WB Population Data'!$D$6:$D$269,MATCH($B111,'WB Population Data'!$B$6:$B$269,0))</f>
        <v>273524000</v>
      </c>
      <c r="P111" s="30">
        <f t="shared" si="5"/>
        <v>103310.01479999999</v>
      </c>
      <c r="Q111" s="29">
        <f t="shared" si="3"/>
        <v>0</v>
      </c>
      <c r="R111" s="29">
        <f>IFERROR(IFERROR(INDEX('WHO GHO Data'!$S$8:$S$201,MATCH($C111,'WHO GHO Data'!$C$8:$C$201,0)),($O111/1000*$K111)),IFERROR($O111/1000*VLOOKUP(E111,$W$9:$Y$12,3,0),0))</f>
        <v>420025.38339424157</v>
      </c>
      <c r="S111" s="30">
        <f>IFERROR(IFERROR(INDEX('WHO GHO Data'!$U$8:$U$201,MATCH($C111,'WHO GHO Data'!$C$8:$C$201,0)),INDEX('WHO GHO Data'!$AE$9:$AE$13,MATCH($E111,'WHO GHO Data'!$AD$9:$AD$13,0))*'HCW + Staff Summary'!$O111/1000),"")</f>
        <v>26002.742298237485</v>
      </c>
    </row>
    <row r="112" spans="2:19" x14ac:dyDescent="0.75">
      <c r="B112" s="43" t="s">
        <v>642</v>
      </c>
      <c r="C112" s="43" t="s">
        <v>643</v>
      </c>
      <c r="D112" s="132" t="s">
        <v>1124</v>
      </c>
      <c r="E112" s="132" t="s">
        <v>750</v>
      </c>
      <c r="F112" s="132" t="str">
        <f t="shared" si="4"/>
        <v>Not LMIC</v>
      </c>
      <c r="G112" s="646">
        <f>INDEX('WB HCW &amp; Beds'!$C$558:$BO$821,MATCH($C112,'WB HCW &amp; Beds'!$C$558:$C$821,0),MATCH("Latest value",'WB HCW &amp; Beds'!$C$557:$BO$557,0))</f>
        <v>0.30155749417718902</v>
      </c>
      <c r="H112" s="647">
        <f>INDEX('WB HCW &amp; Beds'!$C$558:$BO$821,MATCH($C112,'WB HCW &amp; Beds'!$C$558:$C$821,0),MATCH("Latest year",'WB HCW &amp; Beds'!$C$557:$BO$557,0))</f>
        <v>2015</v>
      </c>
      <c r="I112" s="651">
        <f>INDEX('WB HCW &amp; Beds'!$C$286:$BP$561,MATCH($C112,'WB HCW &amp; Beds'!$C$286:$C$561,0),MATCH("Value",'WB HCW &amp; Beds'!$C$286:$BP$286,0))</f>
        <v>0.4</v>
      </c>
      <c r="J112" s="647" t="str">
        <f>'WB HCW &amp; Beds'!BO392</f>
        <v>No reported value</v>
      </c>
      <c r="K112" s="653">
        <f>'WB HCW &amp; Beds'!BN120</f>
        <v>0.73536496745056712</v>
      </c>
      <c r="L112" s="654">
        <f>'WB HCW &amp; Beds'!BO120</f>
        <v>2015</v>
      </c>
      <c r="M112" s="720" t="str">
        <f>IFERROR(IFERROR(INDEX('WHO GHO Data'!$AB$8:$AB$201,MATCH('HCW + Staff Summary'!$C112,'WHO GHO Data'!$C$8:$C$201,0)),INDEX('WHO GHO Data'!$AE$9:$AE$13,MATCH('HCW + Staff Summary'!$E112,'WHO GHO Data'!$AD$9:$AD$13,0))),"")</f>
        <v/>
      </c>
      <c r="O112" s="29" t="e">
        <f>INDEX('WB Population Data'!$D$6:$D$269,MATCH($B112,'WB Population Data'!$B$6:$B$269,0))</f>
        <v>#N/A</v>
      </c>
      <c r="P112" s="30">
        <f t="shared" si="5"/>
        <v>0</v>
      </c>
      <c r="Q112" s="29">
        <f t="shared" si="3"/>
        <v>0</v>
      </c>
      <c r="R112" s="29">
        <f>IFERROR(IFERROR(INDEX('WHO GHO Data'!$S$8:$S$201,MATCH($C112,'WHO GHO Data'!$C$8:$C$201,0)),($O112/1000*$K112)),IFERROR($O112/1000*VLOOKUP(E112,$W$9:$Y$12,3,0),0))</f>
        <v>0</v>
      </c>
      <c r="S112" s="30" t="str">
        <f>IFERROR(IFERROR(INDEX('WHO GHO Data'!$U$8:$U$201,MATCH($C112,'WHO GHO Data'!$C$8:$C$201,0)),INDEX('WHO GHO Data'!$AE$9:$AE$13,MATCH($E112,'WHO GHO Data'!$AD$9:$AD$13,0))*'HCW + Staff Summary'!$O112/1000),"")</f>
        <v/>
      </c>
    </row>
    <row r="113" spans="2:19" x14ac:dyDescent="0.75">
      <c r="B113" s="43" t="s">
        <v>421</v>
      </c>
      <c r="C113" s="43" t="s">
        <v>422</v>
      </c>
      <c r="D113" s="132" t="s">
        <v>1124</v>
      </c>
      <c r="E113" s="132" t="s">
        <v>411</v>
      </c>
      <c r="F113" s="132" t="str">
        <f t="shared" si="4"/>
        <v>Not LMIC</v>
      </c>
      <c r="G113" s="646">
        <f>INDEX('WB HCW &amp; Beds'!$C$558:$BO$821,MATCH($C113,'WB HCW &amp; Beds'!$C$558:$C$821,0),MATCH("Latest value",'WB HCW &amp; Beds'!$C$557:$BO$557,0))</f>
        <v>1.4490000000000001</v>
      </c>
      <c r="H113" s="647">
        <f>INDEX('WB HCW &amp; Beds'!$C$558:$BO$821,MATCH($C113,'WB HCW &amp; Beds'!$C$558:$C$821,0),MATCH("Latest year",'WB HCW &amp; Beds'!$C$557:$BO$557,0))</f>
        <v>2010</v>
      </c>
      <c r="I113" s="651">
        <f>INDEX('WB HCW &amp; Beds'!$C$286:$BP$561,MATCH($C113,'WB HCW &amp; Beds'!$C$286:$C$561,0),MATCH("Value",'WB HCW &amp; Beds'!$C$286:$BP$286,0))</f>
        <v>0.4</v>
      </c>
      <c r="J113" s="647" t="str">
        <f>'WB HCW &amp; Beds'!BO393</f>
        <v>No reported value</v>
      </c>
      <c r="K113" s="653">
        <f>'WB HCW &amp; Beds'!BN121</f>
        <v>2.2730000000000001</v>
      </c>
      <c r="L113" s="654">
        <f>'WB HCW &amp; Beds'!BO121</f>
        <v>2010</v>
      </c>
      <c r="M113" s="720">
        <f>IFERROR(IFERROR(INDEX('WHO GHO Data'!$AB$8:$AB$201,MATCH('HCW + Staff Summary'!$C113,'WHO GHO Data'!$C$8:$C$201,0)),INDEX('WHO GHO Data'!$AE$9:$AE$13,MATCH('HCW + Staff Summary'!$E113,'WHO GHO Data'!$AD$9:$AD$13,0))),"")</f>
        <v>0.54650004528486062</v>
      </c>
      <c r="O113" s="29">
        <f>INDEX('WB Population Data'!$D$6:$D$269,MATCH($B113,'WB Population Data'!$B$6:$B$269,0))</f>
        <v>85000</v>
      </c>
      <c r="P113" s="30">
        <f t="shared" si="5"/>
        <v>123.16500000000001</v>
      </c>
      <c r="Q113" s="29">
        <f t="shared" si="3"/>
        <v>34</v>
      </c>
      <c r="R113" s="29">
        <f>IFERROR(IFERROR(INDEX('WHO GHO Data'!$S$8:$S$201,MATCH($C113,'WHO GHO Data'!$C$8:$C$201,0)),($O113/1000*$K113)),IFERROR($O113/1000*VLOOKUP(E113,$W$9:$Y$12,3,0),0))</f>
        <v>193.20500000000001</v>
      </c>
      <c r="S113" s="30">
        <f>IFERROR(IFERROR(INDEX('WHO GHO Data'!$U$8:$U$201,MATCH($C113,'WHO GHO Data'!$C$8:$C$201,0)),INDEX('WHO GHO Data'!$AE$9:$AE$13,MATCH($E113,'WHO GHO Data'!$AD$9:$AD$13,0))*'HCW + Staff Summary'!$O113/1000),"")</f>
        <v>46.452503849213151</v>
      </c>
    </row>
    <row r="114" spans="2:19" x14ac:dyDescent="0.75">
      <c r="B114" s="43" t="s">
        <v>417</v>
      </c>
      <c r="C114" s="43" t="s">
        <v>59</v>
      </c>
      <c r="D114" s="132" t="s">
        <v>1077</v>
      </c>
      <c r="E114" s="132" t="s">
        <v>455</v>
      </c>
      <c r="F114" s="132" t="str">
        <f t="shared" si="4"/>
        <v>LMIC</v>
      </c>
      <c r="G114" s="646">
        <f>INDEX('WB HCW &amp; Beds'!$C$558:$BO$821,MATCH($C114,'WB HCW &amp; Beds'!$C$558:$C$821,0),MATCH("Latest value",'WB HCW &amp; Beds'!$C$557:$BO$557,0))</f>
        <v>0.77759999999999996</v>
      </c>
      <c r="H114" s="647">
        <f>INDEX('WB HCW &amp; Beds'!$C$558:$BO$821,MATCH($C114,'WB HCW &amp; Beds'!$C$558:$C$821,0),MATCH("Latest year",'WB HCW &amp; Beds'!$C$557:$BO$557,0))</f>
        <v>2017</v>
      </c>
      <c r="I114" s="651">
        <f>INDEX('WB HCW &amp; Beds'!$C$286:$BP$561,MATCH($C114,'WB HCW &amp; Beds'!$C$286:$C$561,0),MATCH("Value",'WB HCW &amp; Beds'!$C$286:$BP$286,0))</f>
        <v>0.58099999999999996</v>
      </c>
      <c r="J114" s="647">
        <f>'WB HCW &amp; Beds'!BO394</f>
        <v>2016</v>
      </c>
      <c r="K114" s="653">
        <f>'WB HCW &amp; Beds'!BN122</f>
        <v>2.1071</v>
      </c>
      <c r="L114" s="654">
        <f>'WB HCW &amp; Beds'!BO122</f>
        <v>2017</v>
      </c>
      <c r="M114" s="720">
        <f>IFERROR(IFERROR(INDEX('WHO GHO Data'!$AB$8:$AB$201,MATCH('HCW + Staff Summary'!$C114,'WHO GHO Data'!$C$8:$C$201,0)),INDEX('WHO GHO Data'!$AE$9:$AE$13,MATCH('HCW + Staff Summary'!$E114,'WHO GHO Data'!$AD$9:$AD$13,0))),"")</f>
        <v>0.3702623801802189</v>
      </c>
      <c r="O114" s="29">
        <f>INDEX('WB Population Data'!$D$6:$D$269,MATCH($B114,'WB Population Data'!$B$6:$B$269,0))</f>
        <v>1380004000</v>
      </c>
      <c r="P114" s="30">
        <f t="shared" si="5"/>
        <v>1073091.1103999999</v>
      </c>
      <c r="Q114" s="29">
        <f t="shared" si="3"/>
        <v>801782.32399999991</v>
      </c>
      <c r="R114" s="29">
        <f>IFERROR(IFERROR(INDEX('WHO GHO Data'!$S$8:$S$201,MATCH($C114,'WHO GHO Data'!$C$8:$C$201,0)),($O114/1000*$K114)),IFERROR($O114/1000*VLOOKUP(E114,$W$9:$Y$12,3,0),0))</f>
        <v>2387430.2520769015</v>
      </c>
      <c r="S114" s="30">
        <f>IFERROR(IFERROR(INDEX('WHO GHO Data'!$U$8:$U$201,MATCH($C114,'WHO GHO Data'!$C$8:$C$201,0)),INDEX('WHO GHO Data'!$AE$9:$AE$13,MATCH($E114,'WHO GHO Data'!$AD$9:$AD$13,0))*'HCW + Staff Summary'!$O114/1000),"")</f>
        <v>510963.56569822278</v>
      </c>
    </row>
    <row r="115" spans="2:19" x14ac:dyDescent="0.75">
      <c r="B115" s="43" t="s">
        <v>489</v>
      </c>
      <c r="C115" s="43" t="s">
        <v>490</v>
      </c>
      <c r="D115" s="132" t="s">
        <v>1124</v>
      </c>
      <c r="E115" s="132" t="s">
        <v>750</v>
      </c>
      <c r="F115" s="132" t="str">
        <f t="shared" si="4"/>
        <v>Not LMIC</v>
      </c>
      <c r="G115" s="646" t="str">
        <f>INDEX('WB HCW &amp; Beds'!$C$558:$BO$821,MATCH($C115,'WB HCW &amp; Beds'!$C$558:$C$821,0),MATCH("Latest value",'WB HCW &amp; Beds'!$C$557:$BO$557,0))</f>
        <v>No reported value</v>
      </c>
      <c r="H115" s="647" t="str">
        <f>INDEX('WB HCW &amp; Beds'!$C$558:$BO$821,MATCH($C115,'WB HCW &amp; Beds'!$C$558:$C$821,0),MATCH("Latest year",'WB HCW &amp; Beds'!$C$557:$BO$557,0))</f>
        <v>No reported value</v>
      </c>
      <c r="I115" s="651">
        <f>INDEX('WB HCW &amp; Beds'!$C$286:$BP$561,MATCH($C115,'WB HCW &amp; Beds'!$C$286:$C$561,0),MATCH("Value",'WB HCW &amp; Beds'!$C$286:$BP$286,0))</f>
        <v>0.4</v>
      </c>
      <c r="J115" s="647" t="str">
        <f>'WB HCW &amp; Beds'!BO395</f>
        <v>No reported value</v>
      </c>
      <c r="K115" s="653" t="str">
        <f>'WB HCW &amp; Beds'!BN123</f>
        <v>No reported value</v>
      </c>
      <c r="L115" s="654" t="str">
        <f>'WB HCW &amp; Beds'!BO123</f>
        <v>No reported value</v>
      </c>
      <c r="M115" s="720" t="str">
        <f>IFERROR(IFERROR(INDEX('WHO GHO Data'!$AB$8:$AB$201,MATCH('HCW + Staff Summary'!$C115,'WHO GHO Data'!$C$8:$C$201,0)),INDEX('WHO GHO Data'!$AE$9:$AE$13,MATCH('HCW + Staff Summary'!$E115,'WHO GHO Data'!$AD$9:$AD$13,0))),"")</f>
        <v/>
      </c>
      <c r="O115" s="29">
        <f>INDEX('WB Population Data'!$D$6:$D$269,MATCH($B115,'WB Population Data'!$B$6:$B$269,0))</f>
        <v>0</v>
      </c>
      <c r="P115" s="30">
        <f t="shared" si="5"/>
        <v>0</v>
      </c>
      <c r="Q115" s="29">
        <f t="shared" si="3"/>
        <v>0</v>
      </c>
      <c r="R115" s="29">
        <f>IFERROR(IFERROR(INDEX('WHO GHO Data'!$S$8:$S$201,MATCH($C115,'WHO GHO Data'!$C$8:$C$201,0)),($O115/1000*$K115)),IFERROR($O115/1000*VLOOKUP(E115,$W$9:$Y$12,3,0),0))</f>
        <v>0</v>
      </c>
      <c r="S115" s="30" t="str">
        <f>IFERROR(IFERROR(INDEX('WHO GHO Data'!$U$8:$U$201,MATCH($C115,'WHO GHO Data'!$C$8:$C$201,0)),INDEX('WHO GHO Data'!$AE$9:$AE$13,MATCH($E115,'WHO GHO Data'!$AD$9:$AD$13,0))*'HCW + Staff Summary'!$O115/1000),"")</f>
        <v/>
      </c>
    </row>
    <row r="116" spans="2:19" x14ac:dyDescent="0.75">
      <c r="B116" s="43" t="s">
        <v>420</v>
      </c>
      <c r="C116" s="43" t="s">
        <v>60</v>
      </c>
      <c r="D116" s="132" t="s">
        <v>1074</v>
      </c>
      <c r="E116" s="132" t="s">
        <v>411</v>
      </c>
      <c r="F116" s="132" t="str">
        <f t="shared" si="4"/>
        <v>Not LMIC</v>
      </c>
      <c r="G116" s="646">
        <f>INDEX('WB HCW &amp; Beds'!$C$558:$BO$821,MATCH($C116,'WB HCW &amp; Beds'!$C$558:$C$821,0),MATCH("Latest value",'WB HCW &amp; Beds'!$C$557:$BO$557,0))</f>
        <v>3.0861000000000001</v>
      </c>
      <c r="H116" s="647">
        <f>INDEX('WB HCW &amp; Beds'!$C$558:$BO$821,MATCH($C116,'WB HCW &amp; Beds'!$C$558:$C$821,0),MATCH("Latest year",'WB HCW &amp; Beds'!$C$557:$BO$557,0))</f>
        <v>2017</v>
      </c>
      <c r="I116" s="651">
        <f>INDEX('WB HCW &amp; Beds'!$C$286:$BP$561,MATCH($C116,'WB HCW &amp; Beds'!$C$286:$C$561,0),MATCH("Value",'WB HCW &amp; Beds'!$C$286:$BP$286,0))</f>
        <v>0.4</v>
      </c>
      <c r="J116" s="647" t="str">
        <f>'WB HCW &amp; Beds'!BO396</f>
        <v>No reported value</v>
      </c>
      <c r="K116" s="653">
        <f>'WB HCW &amp; Beds'!BN124</f>
        <v>14.2949</v>
      </c>
      <c r="L116" s="654">
        <f>'WB HCW &amp; Beds'!BO124</f>
        <v>2016</v>
      </c>
      <c r="M116" s="720">
        <f>IFERROR(IFERROR(INDEX('WHO GHO Data'!$AB$8:$AB$201,MATCH('HCW + Staff Summary'!$C116,'WHO GHO Data'!$C$8:$C$201,0)),INDEX('WHO GHO Data'!$AE$9:$AE$13,MATCH('HCW + Staff Summary'!$E116,'WHO GHO Data'!$AD$9:$AD$13,0))),"")</f>
        <v>0.54650004528486062</v>
      </c>
      <c r="O116" s="29">
        <f>INDEX('WB Population Data'!$D$6:$D$269,MATCH($B116,'WB Population Data'!$B$6:$B$269,0))</f>
        <v>4933000</v>
      </c>
      <c r="P116" s="30">
        <f t="shared" si="5"/>
        <v>15223.731299999999</v>
      </c>
      <c r="Q116" s="29">
        <f t="shared" si="3"/>
        <v>1973.2</v>
      </c>
      <c r="R116" s="29">
        <f>IFERROR(IFERROR(INDEX('WHO GHO Data'!$S$8:$S$201,MATCH($C116,'WHO GHO Data'!$C$8:$C$201,0)),($O116/1000*$K116)),IFERROR($O116/1000*VLOOKUP(E116,$W$9:$Y$12,3,0),0))</f>
        <v>60192.501720308166</v>
      </c>
      <c r="S116" s="30">
        <f>IFERROR(IFERROR(INDEX('WHO GHO Data'!$U$8:$U$201,MATCH($C116,'WHO GHO Data'!$C$8:$C$201,0)),INDEX('WHO GHO Data'!$AE$9:$AE$13,MATCH($E116,'WHO GHO Data'!$AD$9:$AD$13,0))*'HCW + Staff Summary'!$O116/1000),"")</f>
        <v>2695.8847233902175</v>
      </c>
    </row>
    <row r="117" spans="2:19" x14ac:dyDescent="0.75">
      <c r="B117" s="43" t="s">
        <v>418</v>
      </c>
      <c r="C117" s="43" t="s">
        <v>61</v>
      </c>
      <c r="D117" s="132" t="s">
        <v>1072</v>
      </c>
      <c r="E117" s="132" t="s">
        <v>558</v>
      </c>
      <c r="F117" s="132" t="str">
        <f t="shared" si="4"/>
        <v>LMIC</v>
      </c>
      <c r="G117" s="646">
        <f>INDEX('WB HCW &amp; Beds'!$C$558:$BO$821,MATCH($C117,'WB HCW &amp; Beds'!$C$558:$C$821,0),MATCH("Latest value",'WB HCW &amp; Beds'!$C$557:$BO$557,0))</f>
        <v>1.1399999999999999</v>
      </c>
      <c r="H117" s="647">
        <f>INDEX('WB HCW &amp; Beds'!$C$558:$BO$821,MATCH($C117,'WB HCW &amp; Beds'!$C$558:$C$821,0),MATCH("Latest year",'WB HCW &amp; Beds'!$C$557:$BO$557,0))</f>
        <v>2015</v>
      </c>
      <c r="I117" s="651">
        <f>INDEX('WB HCW &amp; Beds'!$C$286:$BP$561,MATCH($C117,'WB HCW &amp; Beds'!$C$286:$C$561,0),MATCH("Value",'WB HCW &amp; Beds'!$C$286:$BP$286,0))</f>
        <v>0.36399999999999999</v>
      </c>
      <c r="J117" s="647">
        <f>'WB HCW &amp; Beds'!BO397</f>
        <v>2004</v>
      </c>
      <c r="K117" s="653">
        <f>'WB HCW &amp; Beds'!BN125</f>
        <v>1.87</v>
      </c>
      <c r="L117" s="654">
        <f>'WB HCW &amp; Beds'!BO125</f>
        <v>2015</v>
      </c>
      <c r="M117" s="720">
        <f>IFERROR(IFERROR(INDEX('WHO GHO Data'!$AB$8:$AB$201,MATCH('HCW + Staff Summary'!$C117,'WHO GHO Data'!$C$8:$C$201,0)),INDEX('WHO GHO Data'!$AE$9:$AE$13,MATCH('HCW + Staff Summary'!$E117,'WHO GHO Data'!$AD$9:$AD$13,0))),"")</f>
        <v>0.1138239636900376</v>
      </c>
      <c r="O117" s="29">
        <f>INDEX('WB Population Data'!$D$6:$D$269,MATCH($B117,'WB Population Data'!$B$6:$B$269,0))</f>
        <v>83993000</v>
      </c>
      <c r="P117" s="30">
        <f t="shared" si="5"/>
        <v>95752.01999999999</v>
      </c>
      <c r="Q117" s="29">
        <f t="shared" si="3"/>
        <v>30573.451999999997</v>
      </c>
      <c r="R117" s="29">
        <f>IFERROR(IFERROR(INDEX('WHO GHO Data'!$S$8:$S$201,MATCH($C117,'WHO GHO Data'!$C$8:$C$201,0)),($O117/1000*$K117)),IFERROR($O117/1000*VLOOKUP(E117,$W$9:$Y$12,3,0),0))</f>
        <v>187207.5197840629</v>
      </c>
      <c r="S117" s="30">
        <f>IFERROR(IFERROR(INDEX('WHO GHO Data'!$U$8:$U$201,MATCH($C117,'WHO GHO Data'!$C$8:$C$201,0)),INDEX('WHO GHO Data'!$AE$9:$AE$13,MATCH($E117,'WHO GHO Data'!$AD$9:$AD$13,0))*'HCW + Staff Summary'!$O117/1000),"")</f>
        <v>9560.4161822173282</v>
      </c>
    </row>
    <row r="118" spans="2:19" x14ac:dyDescent="0.75">
      <c r="B118" s="43" t="s">
        <v>419</v>
      </c>
      <c r="C118" s="43" t="s">
        <v>62</v>
      </c>
      <c r="D118" s="132" t="s">
        <v>1072</v>
      </c>
      <c r="E118" s="132" t="s">
        <v>558</v>
      </c>
      <c r="F118" s="132" t="str">
        <f t="shared" si="4"/>
        <v>LMIC</v>
      </c>
      <c r="G118" s="646">
        <f>INDEX('WB HCW &amp; Beds'!$C$558:$BO$821,MATCH($C118,'WB HCW &amp; Beds'!$C$558:$C$821,0),MATCH("Latest value",'WB HCW &amp; Beds'!$C$557:$BO$557,0))</f>
        <v>0.82169999999999999</v>
      </c>
      <c r="H118" s="647">
        <f>INDEX('WB HCW &amp; Beds'!$C$558:$BO$821,MATCH($C118,'WB HCW &amp; Beds'!$C$558:$C$821,0),MATCH("Latest year",'WB HCW &amp; Beds'!$C$557:$BO$557,0))</f>
        <v>2017</v>
      </c>
      <c r="I118" s="651">
        <f>INDEX('WB HCW &amp; Beds'!$C$286:$BP$561,MATCH($C118,'WB HCW &amp; Beds'!$C$286:$C$561,0),MATCH("Value",'WB HCW &amp; Beds'!$C$286:$BP$286,0))</f>
        <v>6.0000000000000001E-3</v>
      </c>
      <c r="J118" s="647">
        <f>'WB HCW &amp; Beds'!BO398</f>
        <v>2004</v>
      </c>
      <c r="K118" s="653">
        <f>'WB HCW &amp; Beds'!BN126</f>
        <v>1.6798999999999999</v>
      </c>
      <c r="L118" s="654">
        <f>'WB HCW &amp; Beds'!BO126</f>
        <v>2017</v>
      </c>
      <c r="M118" s="720">
        <f>IFERROR(IFERROR(INDEX('WHO GHO Data'!$AB$8:$AB$201,MATCH('HCW + Staff Summary'!$C118,'WHO GHO Data'!$C$8:$C$201,0)),INDEX('WHO GHO Data'!$AE$9:$AE$13,MATCH('HCW + Staff Summary'!$E118,'WHO GHO Data'!$AD$9:$AD$13,0))),"")</f>
        <v>2.2399472142563977E-3</v>
      </c>
      <c r="O118" s="29">
        <f>INDEX('WB Population Data'!$D$6:$D$269,MATCH($B118,'WB Population Data'!$B$6:$B$269,0))</f>
        <v>40222000</v>
      </c>
      <c r="P118" s="30">
        <f t="shared" si="5"/>
        <v>33050.417399999998</v>
      </c>
      <c r="Q118" s="29">
        <f t="shared" si="3"/>
        <v>241.33199999999999</v>
      </c>
      <c r="R118" s="29">
        <f>IFERROR(IFERROR(INDEX('WHO GHO Data'!$S$8:$S$201,MATCH($C118,'WHO GHO Data'!$C$8:$C$201,0)),($O118/1000*$K118)),IFERROR($O118/1000*VLOOKUP(E118,$W$9:$Y$12,3,0),0))</f>
        <v>83298.802196128177</v>
      </c>
      <c r="S118" s="30">
        <f>IFERROR(IFERROR(INDEX('WHO GHO Data'!$U$8:$U$201,MATCH($C118,'WHO GHO Data'!$C$8:$C$201,0)),INDEX('WHO GHO Data'!$AE$9:$AE$13,MATCH($E118,'WHO GHO Data'!$AD$9:$AD$13,0))*'HCW + Staff Summary'!$O118/1000),"")</f>
        <v>90.095156851820832</v>
      </c>
    </row>
    <row r="119" spans="2:19" x14ac:dyDescent="0.75">
      <c r="B119" s="43" t="s">
        <v>416</v>
      </c>
      <c r="C119" s="43" t="s">
        <v>63</v>
      </c>
      <c r="D119" s="132" t="s">
        <v>1074</v>
      </c>
      <c r="E119" s="132" t="s">
        <v>411</v>
      </c>
      <c r="F119" s="132" t="str">
        <f t="shared" si="4"/>
        <v>Not LMIC</v>
      </c>
      <c r="G119" s="646">
        <f>INDEX('WB HCW &amp; Beds'!$C$558:$BO$821,MATCH($C119,'WB HCW &amp; Beds'!$C$558:$C$821,0),MATCH("Latest value",'WB HCW &amp; Beds'!$C$557:$BO$557,0))</f>
        <v>3.9701</v>
      </c>
      <c r="H119" s="647">
        <f>INDEX('WB HCW &amp; Beds'!$C$558:$BO$821,MATCH($C119,'WB HCW &amp; Beds'!$C$558:$C$821,0),MATCH("Latest year",'WB HCW &amp; Beds'!$C$557:$BO$557,0))</f>
        <v>2017</v>
      </c>
      <c r="I119" s="651">
        <f>INDEX('WB HCW &amp; Beds'!$C$286:$BP$561,MATCH($C119,'WB HCW &amp; Beds'!$C$286:$C$561,0),MATCH("Value",'WB HCW &amp; Beds'!$C$286:$BP$286,0))</f>
        <v>0.4</v>
      </c>
      <c r="J119" s="647" t="str">
        <f>'WB HCW &amp; Beds'!BO399</f>
        <v>No reported value</v>
      </c>
      <c r="K119" s="653">
        <f>'WB HCW &amp; Beds'!BN127</f>
        <v>15.6806</v>
      </c>
      <c r="L119" s="654">
        <f>'WB HCW &amp; Beds'!BO127</f>
        <v>2017</v>
      </c>
      <c r="M119" s="720">
        <f>IFERROR(IFERROR(INDEX('WHO GHO Data'!$AB$8:$AB$201,MATCH('HCW + Staff Summary'!$C119,'WHO GHO Data'!$C$8:$C$201,0)),INDEX('WHO GHO Data'!$AE$9:$AE$13,MATCH('HCW + Staff Summary'!$E119,'WHO GHO Data'!$AD$9:$AD$13,0))),"")</f>
        <v>1.0092482459769636</v>
      </c>
      <c r="O119" s="29">
        <f>INDEX('WB Population Data'!$D$6:$D$269,MATCH($B119,'WB Population Data'!$B$6:$B$269,0))</f>
        <v>359000</v>
      </c>
      <c r="P119" s="30">
        <f t="shared" si="5"/>
        <v>1425.2658999999999</v>
      </c>
      <c r="Q119" s="29">
        <f t="shared" si="3"/>
        <v>143.6</v>
      </c>
      <c r="R119" s="29">
        <f>IFERROR(IFERROR(INDEX('WHO GHO Data'!$S$8:$S$201,MATCH($C119,'WHO GHO Data'!$C$8:$C$201,0)),($O119/1000*$K119)),IFERROR($O119/1000*VLOOKUP(E119,$W$9:$Y$12,3,0),0))</f>
        <v>5357.8916500879177</v>
      </c>
      <c r="S119" s="30">
        <f>IFERROR(IFERROR(INDEX('WHO GHO Data'!$U$8:$U$201,MATCH($C119,'WHO GHO Data'!$C$8:$C$201,0)),INDEX('WHO GHO Data'!$AE$9:$AE$13,MATCH($E119,'WHO GHO Data'!$AD$9:$AD$13,0))*'HCW + Staff Summary'!$O119/1000),"")</f>
        <v>362.32012030572992</v>
      </c>
    </row>
    <row r="120" spans="2:19" x14ac:dyDescent="0.75">
      <c r="B120" s="43" t="s">
        <v>423</v>
      </c>
      <c r="C120" s="43" t="s">
        <v>64</v>
      </c>
      <c r="D120" s="132" t="s">
        <v>1074</v>
      </c>
      <c r="E120" s="132" t="s">
        <v>411</v>
      </c>
      <c r="F120" s="132" t="str">
        <f t="shared" si="4"/>
        <v>Not LMIC</v>
      </c>
      <c r="G120" s="646">
        <f>INDEX('WB HCW &amp; Beds'!$C$558:$BO$821,MATCH($C120,'WB HCW &amp; Beds'!$C$558:$C$821,0),MATCH("Latest value",'WB HCW &amp; Beds'!$C$557:$BO$557,0))</f>
        <v>3.2176</v>
      </c>
      <c r="H120" s="647">
        <f>INDEX('WB HCW &amp; Beds'!$C$558:$BO$821,MATCH($C120,'WB HCW &amp; Beds'!$C$558:$C$821,0),MATCH("Latest year",'WB HCW &amp; Beds'!$C$557:$BO$557,0))</f>
        <v>2016</v>
      </c>
      <c r="I120" s="651">
        <f>INDEX('WB HCW &amp; Beds'!$C$286:$BP$561,MATCH($C120,'WB HCW &amp; Beds'!$C$286:$C$561,0),MATCH("Value",'WB HCW &amp; Beds'!$C$286:$BP$286,0))</f>
        <v>0.4</v>
      </c>
      <c r="J120" s="647" t="str">
        <f>'WB HCW &amp; Beds'!BO400</f>
        <v>No reported value</v>
      </c>
      <c r="K120" s="653">
        <f>'WB HCW &amp; Beds'!BN128</f>
        <v>5.2043999999999997</v>
      </c>
      <c r="L120" s="654">
        <f>'WB HCW &amp; Beds'!BO128</f>
        <v>2016</v>
      </c>
      <c r="M120" s="720">
        <f>IFERROR(IFERROR(INDEX('WHO GHO Data'!$AB$8:$AB$201,MATCH('HCW + Staff Summary'!$C120,'WHO GHO Data'!$C$8:$C$201,0)),INDEX('WHO GHO Data'!$AE$9:$AE$13,MATCH('HCW + Staff Summary'!$E120,'WHO GHO Data'!$AD$9:$AD$13,0))),"")</f>
        <v>0.54650004528486062</v>
      </c>
      <c r="O120" s="29">
        <f>INDEX('WB Population Data'!$D$6:$D$269,MATCH($B120,'WB Population Data'!$B$6:$B$269,0))</f>
        <v>9152000</v>
      </c>
      <c r="P120" s="30">
        <f t="shared" si="5"/>
        <v>29447.475200000001</v>
      </c>
      <c r="Q120" s="29">
        <f t="shared" si="3"/>
        <v>3660.8</v>
      </c>
      <c r="R120" s="29">
        <f>IFERROR(IFERROR(INDEX('WHO GHO Data'!$S$8:$S$201,MATCH($C120,'WHO GHO Data'!$C$8:$C$201,0)),($O120/1000*$K120)),IFERROR($O120/1000*VLOOKUP(E120,$W$9:$Y$12,3,0),0))</f>
        <v>46939.039830478447</v>
      </c>
      <c r="S120" s="30">
        <f>IFERROR(IFERROR(INDEX('WHO GHO Data'!$U$8:$U$201,MATCH($C120,'WHO GHO Data'!$C$8:$C$201,0)),INDEX('WHO GHO Data'!$AE$9:$AE$13,MATCH($E120,'WHO GHO Data'!$AD$9:$AD$13,0))*'HCW + Staff Summary'!$O120/1000),"")</f>
        <v>5001.5684144470442</v>
      </c>
    </row>
    <row r="121" spans="2:19" x14ac:dyDescent="0.75">
      <c r="B121" s="43" t="s">
        <v>424</v>
      </c>
      <c r="C121" s="43" t="s">
        <v>65</v>
      </c>
      <c r="D121" s="132" t="s">
        <v>1074</v>
      </c>
      <c r="E121" s="132" t="s">
        <v>411</v>
      </c>
      <c r="F121" s="132" t="str">
        <f t="shared" si="4"/>
        <v>Not LMIC</v>
      </c>
      <c r="G121" s="646">
        <f>INDEX('WB HCW &amp; Beds'!$C$558:$BO$821,MATCH($C121,'WB HCW &amp; Beds'!$C$558:$C$821,0),MATCH("Latest value",'WB HCW &amp; Beds'!$C$557:$BO$557,0))</f>
        <v>4.0930999999999997</v>
      </c>
      <c r="H121" s="647">
        <f>INDEX('WB HCW &amp; Beds'!$C$558:$BO$821,MATCH($C121,'WB HCW &amp; Beds'!$C$558:$C$821,0),MATCH("Latest year",'WB HCW &amp; Beds'!$C$557:$BO$557,0))</f>
        <v>2017</v>
      </c>
      <c r="I121" s="651">
        <f>INDEX('WB HCW &amp; Beds'!$C$286:$BP$561,MATCH($C121,'WB HCW &amp; Beds'!$C$286:$C$561,0),MATCH("Value",'WB HCW &amp; Beds'!$C$286:$BP$286,0))</f>
        <v>0.4</v>
      </c>
      <c r="J121" s="647" t="str">
        <f>'WB HCW &amp; Beds'!BO401</f>
        <v>No reported value</v>
      </c>
      <c r="K121" s="653">
        <f>'WB HCW &amp; Beds'!BN129</f>
        <v>5.8693</v>
      </c>
      <c r="L121" s="654">
        <f>'WB HCW &amp; Beds'!BO129</f>
        <v>2017</v>
      </c>
      <c r="M121" s="720">
        <f>IFERROR(IFERROR(INDEX('WHO GHO Data'!$AB$8:$AB$201,MATCH('HCW + Staff Summary'!$C121,'WHO GHO Data'!$C$8:$C$201,0)),INDEX('WHO GHO Data'!$AE$9:$AE$13,MATCH('HCW + Staff Summary'!$E121,'WHO GHO Data'!$AD$9:$AD$13,0))),"")</f>
        <v>0.54650004528486062</v>
      </c>
      <c r="O121" s="29">
        <f>INDEX('WB Population Data'!$D$6:$D$269,MATCH($B121,'WB Population Data'!$B$6:$B$269,0))</f>
        <v>60250000</v>
      </c>
      <c r="P121" s="30">
        <f t="shared" si="5"/>
        <v>246609.27499999999</v>
      </c>
      <c r="Q121" s="29">
        <f t="shared" si="3"/>
        <v>24100</v>
      </c>
      <c r="R121" s="29">
        <f>IFERROR(IFERROR(INDEX('WHO GHO Data'!$S$8:$S$201,MATCH($C121,'WHO GHO Data'!$C$8:$C$201,0)),($O121/1000*$K121)),IFERROR($O121/1000*VLOOKUP(E121,$W$9:$Y$12,3,0),0))</f>
        <v>332616.74086624169</v>
      </c>
      <c r="S121" s="30">
        <f>IFERROR(IFERROR(INDEX('WHO GHO Data'!$U$8:$U$201,MATCH($C121,'WHO GHO Data'!$C$8:$C$201,0)),INDEX('WHO GHO Data'!$AE$9:$AE$13,MATCH($E121,'WHO GHO Data'!$AD$9:$AD$13,0))*'HCW + Staff Summary'!$O121/1000),"")</f>
        <v>32926.627728412852</v>
      </c>
    </row>
    <row r="122" spans="2:19" x14ac:dyDescent="0.75">
      <c r="B122" s="43" t="s">
        <v>425</v>
      </c>
      <c r="C122" s="43" t="s">
        <v>66</v>
      </c>
      <c r="D122" s="132" t="s">
        <v>1075</v>
      </c>
      <c r="E122" s="132" t="s">
        <v>558</v>
      </c>
      <c r="F122" s="132" t="str">
        <f t="shared" si="4"/>
        <v>LMIC</v>
      </c>
      <c r="G122" s="646">
        <f>INDEX('WB HCW &amp; Beds'!$C$558:$BO$821,MATCH($C122,'WB HCW &amp; Beds'!$C$558:$C$821,0),MATCH("Latest value",'WB HCW &amp; Beds'!$C$557:$BO$557,0))</f>
        <v>1.3199000000000001</v>
      </c>
      <c r="H122" s="647">
        <f>INDEX('WB HCW &amp; Beds'!$C$558:$BO$821,MATCH($C122,'WB HCW &amp; Beds'!$C$558:$C$821,0),MATCH("Latest year",'WB HCW &amp; Beds'!$C$557:$BO$557,0))</f>
        <v>2017</v>
      </c>
      <c r="I122" s="651">
        <f>INDEX('WB HCW &amp; Beds'!$C$286:$BP$561,MATCH($C122,'WB HCW &amp; Beds'!$C$286:$C$561,0),MATCH("Value",'WB HCW &amp; Beds'!$C$286:$BP$286,0))</f>
        <v>0.31900000000000001</v>
      </c>
      <c r="J122" s="647">
        <f>'WB HCW &amp; Beds'!BO402</f>
        <v>2016</v>
      </c>
      <c r="K122" s="653">
        <f>'WB HCW &amp; Beds'!BN130</f>
        <v>1.1396999999999999</v>
      </c>
      <c r="L122" s="654">
        <f>'WB HCW &amp; Beds'!BO130</f>
        <v>2017</v>
      </c>
      <c r="M122" s="720">
        <f>IFERROR(IFERROR(INDEX('WHO GHO Data'!$AB$8:$AB$201,MATCH('HCW + Staff Summary'!$C122,'WHO GHO Data'!$C$8:$C$201,0)),INDEX('WHO GHO Data'!$AE$9:$AE$13,MATCH('HCW + Staff Summary'!$E122,'WHO GHO Data'!$AD$9:$AD$13,0))),"")</f>
        <v>4.4834711476238333E-2</v>
      </c>
      <c r="O122" s="29">
        <f>INDEX('WB Population Data'!$D$6:$D$269,MATCH($B122,'WB Population Data'!$B$6:$B$269,0))</f>
        <v>2961000</v>
      </c>
      <c r="P122" s="30">
        <f t="shared" si="5"/>
        <v>3908.2239000000004</v>
      </c>
      <c r="Q122" s="29">
        <f t="shared" si="3"/>
        <v>944.55899999999997</v>
      </c>
      <c r="R122" s="29">
        <f>IFERROR(IFERROR(INDEX('WHO GHO Data'!$S$8:$S$201,MATCH($C122,'WHO GHO Data'!$C$8:$C$201,0)),($O122/1000*$K122)),IFERROR($O122/1000*VLOOKUP(E122,$W$9:$Y$12,3,0),0))</f>
        <v>2392.9653783302974</v>
      </c>
      <c r="S122" s="30">
        <f>IFERROR(IFERROR(INDEX('WHO GHO Data'!$U$8:$U$201,MATCH($C122,'WHO GHO Data'!$C$8:$C$201,0)),INDEX('WHO GHO Data'!$AE$9:$AE$13,MATCH($E122,'WHO GHO Data'!$AD$9:$AD$13,0))*'HCW + Staff Summary'!$O122/1000),"")</f>
        <v>132.75558068114171</v>
      </c>
    </row>
    <row r="123" spans="2:19" x14ac:dyDescent="0.75">
      <c r="B123" s="43" t="s">
        <v>427</v>
      </c>
      <c r="C123" s="43" t="s">
        <v>67</v>
      </c>
      <c r="D123" s="132" t="s">
        <v>1072</v>
      </c>
      <c r="E123" s="132" t="s">
        <v>558</v>
      </c>
      <c r="F123" s="132" t="str">
        <f t="shared" si="4"/>
        <v>LMIC</v>
      </c>
      <c r="G123" s="646">
        <f>INDEX('WB HCW &amp; Beds'!$C$558:$BO$821,MATCH($C123,'WB HCW &amp; Beds'!$C$558:$C$821,0),MATCH("Latest value",'WB HCW &amp; Beds'!$C$557:$BO$557,0))</f>
        <v>2.3435999999999999</v>
      </c>
      <c r="H123" s="647">
        <f>INDEX('WB HCW &amp; Beds'!$C$558:$BO$821,MATCH($C123,'WB HCW &amp; Beds'!$C$558:$C$821,0),MATCH("Latest year",'WB HCW &amp; Beds'!$C$557:$BO$557,0))</f>
        <v>2017</v>
      </c>
      <c r="I123" s="651">
        <f>INDEX('WB HCW &amp; Beds'!$C$286:$BP$561,MATCH($C123,'WB HCW &amp; Beds'!$C$286:$C$561,0),MATCH("Value",'WB HCW &amp; Beds'!$C$286:$BP$286,0))</f>
        <v>0.193</v>
      </c>
      <c r="J123" s="647">
        <f>'WB HCW &amp; Beds'!BO403</f>
        <v>2004</v>
      </c>
      <c r="K123" s="653">
        <f>'WB HCW &amp; Beds'!BN131</f>
        <v>3.3885999999999998</v>
      </c>
      <c r="L123" s="654">
        <f>'WB HCW &amp; Beds'!BO131</f>
        <v>2017</v>
      </c>
      <c r="M123" s="720">
        <f>IFERROR(IFERROR(INDEX('WHO GHO Data'!$AB$8:$AB$201,MATCH('HCW + Staff Summary'!$C123,'WHO GHO Data'!$C$8:$C$201,0)),INDEX('WHO GHO Data'!$AE$9:$AE$13,MATCH('HCW + Staff Summary'!$E123,'WHO GHO Data'!$AD$9:$AD$13,0))),"")</f>
        <v>0.69639901543649196</v>
      </c>
      <c r="O123" s="29">
        <f>INDEX('WB Population Data'!$D$6:$D$269,MATCH($B123,'WB Population Data'!$B$6:$B$269,0))</f>
        <v>10203000</v>
      </c>
      <c r="P123" s="30">
        <f t="shared" si="5"/>
        <v>23911.750799999998</v>
      </c>
      <c r="Q123" s="29">
        <f t="shared" si="3"/>
        <v>1969.1790000000001</v>
      </c>
      <c r="R123" s="29">
        <f>IFERROR(IFERROR(INDEX('WHO GHO Data'!$S$8:$S$201,MATCH($C123,'WHO GHO Data'!$C$8:$C$201,0)),($O123/1000*$K123)),IFERROR($O123/1000*VLOOKUP(E123,$W$9:$Y$12,3,0),0))</f>
        <v>29892.327914966703</v>
      </c>
      <c r="S123" s="30">
        <f>IFERROR(IFERROR(INDEX('WHO GHO Data'!$U$8:$U$201,MATCH($C123,'WHO GHO Data'!$C$8:$C$201,0)),INDEX('WHO GHO Data'!$AE$9:$AE$13,MATCH($E123,'WHO GHO Data'!$AD$9:$AD$13,0))*'HCW + Staff Summary'!$O123/1000),"")</f>
        <v>7105.3591544985275</v>
      </c>
    </row>
    <row r="124" spans="2:19" x14ac:dyDescent="0.75">
      <c r="B124" s="43" t="s">
        <v>426</v>
      </c>
      <c r="C124" s="43" t="s">
        <v>68</v>
      </c>
      <c r="D124" s="132" t="s">
        <v>1076</v>
      </c>
      <c r="E124" s="132" t="s">
        <v>411</v>
      </c>
      <c r="F124" s="132" t="str">
        <f t="shared" si="4"/>
        <v>Not LMIC</v>
      </c>
      <c r="G124" s="646">
        <f>INDEX('WB HCW &amp; Beds'!$C$558:$BO$821,MATCH($C124,'WB HCW &amp; Beds'!$C$558:$C$821,0),MATCH("Latest value",'WB HCW &amp; Beds'!$C$557:$BO$557,0))</f>
        <v>2.4117999999999999</v>
      </c>
      <c r="H124" s="647">
        <f>INDEX('WB HCW &amp; Beds'!$C$558:$BO$821,MATCH($C124,'WB HCW &amp; Beds'!$C$558:$C$821,0),MATCH("Latest year",'WB HCW &amp; Beds'!$C$557:$BO$557,0))</f>
        <v>2016</v>
      </c>
      <c r="I124" s="651">
        <f>INDEX('WB HCW &amp; Beds'!$C$286:$BP$561,MATCH($C124,'WB HCW &amp; Beds'!$C$286:$C$561,0),MATCH("Value",'WB HCW &amp; Beds'!$C$286:$BP$286,0))</f>
        <v>0.4</v>
      </c>
      <c r="J124" s="647" t="str">
        <f>'WB HCW &amp; Beds'!BO404</f>
        <v>No reported value</v>
      </c>
      <c r="K124" s="653">
        <f>'WB HCW &amp; Beds'!BN132</f>
        <v>11.5184</v>
      </c>
      <c r="L124" s="654">
        <f>'WB HCW &amp; Beds'!BO132</f>
        <v>2016</v>
      </c>
      <c r="M124" s="720">
        <f>IFERROR(IFERROR(INDEX('WHO GHO Data'!$AB$8:$AB$201,MATCH('HCW + Staff Summary'!$C124,'WHO GHO Data'!$C$8:$C$201,0)),INDEX('WHO GHO Data'!$AE$9:$AE$13,MATCH('HCW + Staff Summary'!$E124,'WHO GHO Data'!$AD$9:$AD$13,0))),"")</f>
        <v>0.54650004528486062</v>
      </c>
      <c r="O124" s="29">
        <f>INDEX('WB Population Data'!$D$6:$D$269,MATCH($B124,'WB Population Data'!$B$6:$B$269,0))</f>
        <v>125661000</v>
      </c>
      <c r="P124" s="30">
        <f t="shared" si="5"/>
        <v>303069.1998</v>
      </c>
      <c r="Q124" s="29">
        <f t="shared" si="3"/>
        <v>50264.4</v>
      </c>
      <c r="R124" s="29">
        <f>IFERROR(IFERROR(INDEX('WHO GHO Data'!$S$8:$S$201,MATCH($C124,'WHO GHO Data'!$C$8:$C$201,0)),($O124/1000*$K124)),IFERROR($O124/1000*VLOOKUP(E124,$W$9:$Y$12,3,0),0))</f>
        <v>1541450.2270337134</v>
      </c>
      <c r="S124" s="30">
        <f>IFERROR(IFERROR(INDEX('WHO GHO Data'!$U$8:$U$201,MATCH($C124,'WHO GHO Data'!$C$8:$C$201,0)),INDEX('WHO GHO Data'!$AE$9:$AE$13,MATCH($E124,'WHO GHO Data'!$AD$9:$AD$13,0))*'HCW + Staff Summary'!$O124/1000),"")</f>
        <v>68673.74219054087</v>
      </c>
    </row>
    <row r="125" spans="2:19" x14ac:dyDescent="0.75">
      <c r="B125" s="43" t="s">
        <v>428</v>
      </c>
      <c r="C125" s="43" t="s">
        <v>69</v>
      </c>
      <c r="D125" s="132" t="s">
        <v>1074</v>
      </c>
      <c r="E125" s="132" t="s">
        <v>558</v>
      </c>
      <c r="F125" s="132" t="str">
        <f t="shared" si="4"/>
        <v>LMIC</v>
      </c>
      <c r="G125" s="646">
        <f>INDEX('WB HCW &amp; Beds'!$C$558:$BO$821,MATCH($C125,'WB HCW &amp; Beds'!$C$558:$C$821,0),MATCH("Latest value",'WB HCW &amp; Beds'!$C$557:$BO$557,0))</f>
        <v>3.2522000000000002</v>
      </c>
      <c r="H125" s="647">
        <f>INDEX('WB HCW &amp; Beds'!$C$558:$BO$821,MATCH($C125,'WB HCW &amp; Beds'!$C$558:$C$821,0),MATCH("Latest year",'WB HCW &amp; Beds'!$C$557:$BO$557,0))</f>
        <v>2014</v>
      </c>
      <c r="I125" s="651">
        <f>INDEX('WB HCW &amp; Beds'!$C$286:$BP$561,MATCH($C125,'WB HCW &amp; Beds'!$C$286:$C$561,0),MATCH("Value",'WB HCW &amp; Beds'!$C$286:$BP$286,0))</f>
        <v>0.4</v>
      </c>
      <c r="J125" s="647" t="str">
        <f>'WB HCW &amp; Beds'!BO405</f>
        <v>No reported value</v>
      </c>
      <c r="K125" s="653">
        <f>'WB HCW &amp; Beds'!BN133</f>
        <v>8.4890000000000008</v>
      </c>
      <c r="L125" s="654">
        <f>'WB HCW &amp; Beds'!BO133</f>
        <v>2013</v>
      </c>
      <c r="M125" s="720">
        <f>IFERROR(IFERROR(INDEX('WHO GHO Data'!$AB$8:$AB$201,MATCH('HCW + Staff Summary'!$C125,'WHO GHO Data'!$C$8:$C$201,0)),INDEX('WHO GHO Data'!$AE$9:$AE$13,MATCH('HCW + Staff Summary'!$E125,'WHO GHO Data'!$AD$9:$AD$13,0))),"")</f>
        <v>0.21980423949700909</v>
      </c>
      <c r="O125" s="29">
        <f>INDEX('WB Population Data'!$D$6:$D$269,MATCH($B125,'WB Population Data'!$B$6:$B$269,0))</f>
        <v>18654000</v>
      </c>
      <c r="P125" s="30">
        <f t="shared" si="5"/>
        <v>60666.538800000002</v>
      </c>
      <c r="Q125" s="29">
        <f t="shared" si="3"/>
        <v>7461.6</v>
      </c>
      <c r="R125" s="29">
        <f>IFERROR(IFERROR(INDEX('WHO GHO Data'!$S$8:$S$201,MATCH($C125,'WHO GHO Data'!$C$8:$C$201,0)),($O125/1000*$K125)),IFERROR($O125/1000*VLOOKUP(E125,$W$9:$Y$12,3,0),0))</f>
        <v>127276.79496895516</v>
      </c>
      <c r="S125" s="30">
        <f>IFERROR(IFERROR(INDEX('WHO GHO Data'!$U$8:$U$201,MATCH($C125,'WHO GHO Data'!$C$8:$C$201,0)),INDEX('WHO GHO Data'!$AE$9:$AE$13,MATCH($E125,'WHO GHO Data'!$AD$9:$AD$13,0))*'HCW + Staff Summary'!$O125/1000),"")</f>
        <v>4100.2282835772075</v>
      </c>
    </row>
    <row r="126" spans="2:19" x14ac:dyDescent="0.75">
      <c r="B126" s="43" t="s">
        <v>199</v>
      </c>
      <c r="C126" s="43" t="s">
        <v>70</v>
      </c>
      <c r="D126" s="132" t="s">
        <v>1073</v>
      </c>
      <c r="E126" s="132" t="s">
        <v>455</v>
      </c>
      <c r="F126" s="132" t="str">
        <f t="shared" si="4"/>
        <v>LMIC</v>
      </c>
      <c r="G126" s="646">
        <f>INDEX('WB HCW &amp; Beds'!$C$558:$BO$821,MATCH($C126,'WB HCW &amp; Beds'!$C$558:$C$821,0),MATCH("Latest value",'WB HCW &amp; Beds'!$C$557:$BO$557,0))</f>
        <v>0.1988</v>
      </c>
      <c r="H126" s="647">
        <f>INDEX('WB HCW &amp; Beds'!$C$558:$BO$821,MATCH($C126,'WB HCW &amp; Beds'!$C$558:$C$821,0),MATCH("Latest year",'WB HCW &amp; Beds'!$C$557:$BO$557,0))</f>
        <v>2014</v>
      </c>
      <c r="I126" s="651">
        <f>INDEX('WB HCW &amp; Beds'!$C$286:$BP$561,MATCH($C126,'WB HCW &amp; Beds'!$C$286:$C$561,0),MATCH("Value",'WB HCW &amp; Beds'!$C$286:$BP$286,0))</f>
        <v>0.4</v>
      </c>
      <c r="J126" s="647" t="str">
        <f>'WB HCW &amp; Beds'!BO406</f>
        <v>No reported value</v>
      </c>
      <c r="K126" s="653">
        <f>'WB HCW &amp; Beds'!BN134</f>
        <v>1.5421</v>
      </c>
      <c r="L126" s="654">
        <f>'WB HCW &amp; Beds'!BO134</f>
        <v>2014</v>
      </c>
      <c r="M126" s="720">
        <f>IFERROR(IFERROR(INDEX('WHO GHO Data'!$AB$8:$AB$201,MATCH('HCW + Staff Summary'!$C126,'WHO GHO Data'!$C$8:$C$201,0)),INDEX('WHO GHO Data'!$AE$9:$AE$13,MATCH('HCW + Staff Summary'!$E126,'WHO GHO Data'!$AD$9:$AD$13,0))),"")</f>
        <v>0.16377145498841214</v>
      </c>
      <c r="O126" s="29">
        <f>INDEX('WB Population Data'!$D$6:$D$269,MATCH($B126,'WB Population Data'!$B$6:$B$269,0))</f>
        <v>53771000</v>
      </c>
      <c r="P126" s="30">
        <f t="shared" si="5"/>
        <v>10689.674800000001</v>
      </c>
      <c r="Q126" s="29">
        <f t="shared" si="3"/>
        <v>21508.400000000001</v>
      </c>
      <c r="R126" s="29">
        <f>IFERROR(IFERROR(INDEX('WHO GHO Data'!$S$8:$S$201,MATCH($C126,'WHO GHO Data'!$C$8:$C$201,0)),($O126/1000*$K126)),IFERROR($O126/1000*VLOOKUP(E126,$W$9:$Y$12,3,0),0))</f>
        <v>62843.947399847806</v>
      </c>
      <c r="S126" s="30">
        <f>IFERROR(IFERROR(INDEX('WHO GHO Data'!$U$8:$U$201,MATCH($C126,'WHO GHO Data'!$C$8:$C$201,0)),INDEX('WHO GHO Data'!$AE$9:$AE$13,MATCH($E126,'WHO GHO Data'!$AD$9:$AD$13,0))*'HCW + Staff Summary'!$O126/1000),"")</f>
        <v>8806.1549061819078</v>
      </c>
    </row>
    <row r="127" spans="2:19" x14ac:dyDescent="0.75">
      <c r="B127" s="43" t="s">
        <v>433</v>
      </c>
      <c r="C127" s="43" t="s">
        <v>71</v>
      </c>
      <c r="D127" s="132" t="s">
        <v>1074</v>
      </c>
      <c r="E127" s="132" t="s">
        <v>455</v>
      </c>
      <c r="F127" s="132" t="str">
        <f t="shared" si="4"/>
        <v>LMIC</v>
      </c>
      <c r="G127" s="646">
        <f>INDEX('WB HCW &amp; Beds'!$C$558:$BO$821,MATCH($C127,'WB HCW &amp; Beds'!$C$558:$C$821,0),MATCH("Latest value",'WB HCW &amp; Beds'!$C$557:$BO$557,0))</f>
        <v>1.8759999999999999</v>
      </c>
      <c r="H127" s="647">
        <f>INDEX('WB HCW &amp; Beds'!$C$558:$BO$821,MATCH($C127,'WB HCW &amp; Beds'!$C$558:$C$821,0),MATCH("Latest year",'WB HCW &amp; Beds'!$C$557:$BO$557,0))</f>
        <v>2014</v>
      </c>
      <c r="I127" s="651">
        <f>INDEX('WB HCW &amp; Beds'!$C$286:$BP$561,MATCH($C127,'WB HCW &amp; Beds'!$C$286:$C$561,0),MATCH("Value",'WB HCW &amp; Beds'!$C$286:$BP$286,0))</f>
        <v>0.4</v>
      </c>
      <c r="J127" s="647" t="str">
        <f>'WB HCW &amp; Beds'!BO407</f>
        <v>No reported value</v>
      </c>
      <c r="K127" s="653">
        <f>'WB HCW &amp; Beds'!BN135</f>
        <v>6.4298999999999999</v>
      </c>
      <c r="L127" s="654">
        <f>'WB HCW &amp; Beds'!BO135</f>
        <v>2013</v>
      </c>
      <c r="M127" s="720">
        <f>IFERROR(IFERROR(INDEX('WHO GHO Data'!$AB$8:$AB$201,MATCH('HCW + Staff Summary'!$C127,'WHO GHO Data'!$C$8:$C$201,0)),INDEX('WHO GHO Data'!$AE$9:$AE$13,MATCH('HCW + Staff Summary'!$E127,'WHO GHO Data'!$AD$9:$AD$13,0))),"")</f>
        <v>0.2757388684331506</v>
      </c>
      <c r="O127" s="29">
        <f>INDEX('WB Population Data'!$D$6:$D$269,MATCH($B127,'WB Population Data'!$B$6:$B$269,0))</f>
        <v>6489000</v>
      </c>
      <c r="P127" s="30">
        <f t="shared" si="5"/>
        <v>12173.364</v>
      </c>
      <c r="Q127" s="29">
        <f t="shared" si="3"/>
        <v>2595.6000000000004</v>
      </c>
      <c r="R127" s="29">
        <f>IFERROR(IFERROR(INDEX('WHO GHO Data'!$S$8:$S$201,MATCH($C127,'WHO GHO Data'!$C$8:$C$201,0)),($O127/1000*$K127)),IFERROR($O127/1000*VLOOKUP(E127,$W$9:$Y$12,3,0),0))</f>
        <v>36496.43004762815</v>
      </c>
      <c r="S127" s="30">
        <f>IFERROR(IFERROR(INDEX('WHO GHO Data'!$U$8:$U$201,MATCH($C127,'WHO GHO Data'!$C$8:$C$201,0)),INDEX('WHO GHO Data'!$AE$9:$AE$13,MATCH($E127,'WHO GHO Data'!$AD$9:$AD$13,0))*'HCW + Staff Summary'!$O127/1000),"")</f>
        <v>1789.2695172627143</v>
      </c>
    </row>
    <row r="128" spans="2:19" x14ac:dyDescent="0.75">
      <c r="B128" s="43" t="s">
        <v>247</v>
      </c>
      <c r="C128" s="43" t="s">
        <v>72</v>
      </c>
      <c r="D128" s="132" t="s">
        <v>1076</v>
      </c>
      <c r="E128" s="132" t="s">
        <v>455</v>
      </c>
      <c r="F128" s="132" t="str">
        <f t="shared" si="4"/>
        <v>LMIC</v>
      </c>
      <c r="G128" s="646">
        <f>INDEX('WB HCW &amp; Beds'!$C$558:$BO$821,MATCH($C128,'WB HCW &amp; Beds'!$C$558:$C$821,0),MATCH("Latest value",'WB HCW &amp; Beds'!$C$557:$BO$557,0))</f>
        <v>0.16819999999999999</v>
      </c>
      <c r="H128" s="647">
        <f>INDEX('WB HCW &amp; Beds'!$C$558:$BO$821,MATCH($C128,'WB HCW &amp; Beds'!$C$558:$C$821,0),MATCH("Latest year",'WB HCW &amp; Beds'!$C$557:$BO$557,0))</f>
        <v>2014</v>
      </c>
      <c r="I128" s="651">
        <f>INDEX('WB HCW &amp; Beds'!$C$286:$BP$561,MATCH($C128,'WB HCW &amp; Beds'!$C$286:$C$561,0),MATCH("Value",'WB HCW &amp; Beds'!$C$286:$BP$286,0))</f>
        <v>0.125</v>
      </c>
      <c r="J128" s="647">
        <f>'WB HCW &amp; Beds'!BO408</f>
        <v>2004</v>
      </c>
      <c r="K128" s="653">
        <f>'WB HCW &amp; Beds'!BN136</f>
        <v>0.95469999999999999</v>
      </c>
      <c r="L128" s="654">
        <f>'WB HCW &amp; Beds'!BO136</f>
        <v>2014</v>
      </c>
      <c r="M128" s="720">
        <f>IFERROR(IFERROR(INDEX('WHO GHO Data'!$AB$8:$AB$201,MATCH('HCW + Staff Summary'!$C128,'WHO GHO Data'!$C$8:$C$201,0)),INDEX('WHO GHO Data'!$AE$9:$AE$13,MATCH('HCW + Staff Summary'!$E128,'WHO GHO Data'!$AD$9:$AD$13,0))),"")</f>
        <v>3.6372857773518348E-2</v>
      </c>
      <c r="O128" s="29">
        <f>INDEX('WB Population Data'!$D$6:$D$269,MATCH($B128,'WB Population Data'!$B$6:$B$269,0))</f>
        <v>16719000</v>
      </c>
      <c r="P128" s="30">
        <f t="shared" si="5"/>
        <v>2812.1358</v>
      </c>
      <c r="Q128" s="29">
        <f t="shared" si="3"/>
        <v>2089.875</v>
      </c>
      <c r="R128" s="29">
        <f>IFERROR(IFERROR(INDEX('WHO GHO Data'!$S$8:$S$201,MATCH($C128,'WHO GHO Data'!$C$8:$C$201,0)),($O128/1000*$K128)),IFERROR($O128/1000*VLOOKUP(E128,$W$9:$Y$12,3,0),0))</f>
        <v>11491.529686452657</v>
      </c>
      <c r="S128" s="30">
        <f>IFERROR(IFERROR(INDEX('WHO GHO Data'!$U$8:$U$201,MATCH($C128,'WHO GHO Data'!$C$8:$C$201,0)),INDEX('WHO GHO Data'!$AE$9:$AE$13,MATCH($E128,'WHO GHO Data'!$AD$9:$AD$13,0))*'HCW + Staff Summary'!$O128/1000),"")</f>
        <v>608.11780911545327</v>
      </c>
    </row>
    <row r="129" spans="2:19" x14ac:dyDescent="0.75">
      <c r="B129" s="43" t="s">
        <v>249</v>
      </c>
      <c r="C129" s="43" t="s">
        <v>73</v>
      </c>
      <c r="D129" s="132" t="s">
        <v>1076</v>
      </c>
      <c r="E129" s="132" t="s">
        <v>455</v>
      </c>
      <c r="F129" s="132" t="str">
        <f t="shared" si="4"/>
        <v>LMIC</v>
      </c>
      <c r="G129" s="646">
        <f>INDEX('WB HCW &amp; Beds'!$C$558:$BO$821,MATCH($C129,'WB HCW &amp; Beds'!$C$558:$C$821,0),MATCH("Latest value",'WB HCW &amp; Beds'!$C$557:$BO$557,0))</f>
        <v>0.20280000000000001</v>
      </c>
      <c r="H129" s="647">
        <f>INDEX('WB HCW &amp; Beds'!$C$558:$BO$821,MATCH($C129,'WB HCW &amp; Beds'!$C$558:$C$821,0),MATCH("Latest year",'WB HCW &amp; Beds'!$C$557:$BO$557,0))</f>
        <v>2013</v>
      </c>
      <c r="I129" s="651">
        <f>INDEX('WB HCW &amp; Beds'!$C$286:$BP$561,MATCH($C129,'WB HCW &amp; Beds'!$C$286:$C$561,0),MATCH("Value",'WB HCW &amp; Beds'!$C$286:$BP$286,0))</f>
        <v>0.4</v>
      </c>
      <c r="J129" s="647" t="str">
        <f>'WB HCW &amp; Beds'!BO409</f>
        <v>No reported value</v>
      </c>
      <c r="K129" s="653">
        <f>'WB HCW &amp; Beds'!BN137</f>
        <v>4.8287000000000004</v>
      </c>
      <c r="L129" s="654">
        <f>'WB HCW &amp; Beds'!BO137</f>
        <v>2016</v>
      </c>
      <c r="M129" s="720">
        <f>IFERROR(IFERROR(INDEX('WHO GHO Data'!$AB$8:$AB$201,MATCH('HCW + Staff Summary'!$C129,'WHO GHO Data'!$C$8:$C$201,0)),INDEX('WHO GHO Data'!$AE$9:$AE$13,MATCH('HCW + Staff Summary'!$E129,'WHO GHO Data'!$AD$9:$AD$13,0))),"")</f>
        <v>0.1855423685699851</v>
      </c>
      <c r="O129" s="29">
        <f>INDEX('WB Population Data'!$D$6:$D$269,MATCH($B129,'WB Population Data'!$B$6:$B$269,0))</f>
        <v>119000</v>
      </c>
      <c r="P129" s="30">
        <f t="shared" si="5"/>
        <v>24.133200000000002</v>
      </c>
      <c r="Q129" s="29">
        <f t="shared" si="3"/>
        <v>47.6</v>
      </c>
      <c r="R129" s="29">
        <f>IFERROR(IFERROR(INDEX('WHO GHO Data'!$S$8:$S$201,MATCH($C129,'WHO GHO Data'!$C$8:$C$201,0)),($O129/1000*$K129)),IFERROR($O129/1000*VLOOKUP(E129,$W$9:$Y$12,3,0),0))</f>
        <v>456.72761766436219</v>
      </c>
      <c r="S129" s="30">
        <f>IFERROR(IFERROR(INDEX('WHO GHO Data'!$U$8:$U$201,MATCH($C129,'WHO GHO Data'!$C$8:$C$201,0)),INDEX('WHO GHO Data'!$AE$9:$AE$13,MATCH($E129,'WHO GHO Data'!$AD$9:$AD$13,0))*'HCW + Staff Summary'!$O129/1000),"")</f>
        <v>22.079541859828225</v>
      </c>
    </row>
    <row r="130" spans="2:19" x14ac:dyDescent="0.75">
      <c r="B130" s="43" t="s">
        <v>531</v>
      </c>
      <c r="C130" s="43" t="s">
        <v>532</v>
      </c>
      <c r="D130" s="132" t="s">
        <v>1075</v>
      </c>
      <c r="E130" s="132" t="s">
        <v>411</v>
      </c>
      <c r="F130" s="132" t="str">
        <f t="shared" si="4"/>
        <v>Not LMIC</v>
      </c>
      <c r="G130" s="646">
        <f>INDEX('WB HCW &amp; Beds'!$C$558:$BO$821,MATCH($C130,'WB HCW &amp; Beds'!$C$558:$C$821,0),MATCH("Latest value",'WB HCW &amp; Beds'!$C$557:$BO$557,0))</f>
        <v>2.5230000000000001</v>
      </c>
      <c r="H130" s="647">
        <f>INDEX('WB HCW &amp; Beds'!$C$558:$BO$821,MATCH($C130,'WB HCW &amp; Beds'!$C$558:$C$821,0),MATCH("Latest year",'WB HCW &amp; Beds'!$C$557:$BO$557,0))</f>
        <v>2015</v>
      </c>
      <c r="I130" s="651">
        <f>INDEX('WB HCW &amp; Beds'!$C$286:$BP$561,MATCH($C130,'WB HCW &amp; Beds'!$C$286:$C$561,0),MATCH("Value",'WB HCW &amp; Beds'!$C$286:$BP$286,0))</f>
        <v>1.0389999999999999</v>
      </c>
      <c r="J130" s="647">
        <f>'WB HCW &amp; Beds'!BO410</f>
        <v>2001</v>
      </c>
      <c r="K130" s="653">
        <f>'WB HCW &amp; Beds'!BN138</f>
        <v>3.9779</v>
      </c>
      <c r="L130" s="654">
        <f>'WB HCW &amp; Beds'!BO138</f>
        <v>2015</v>
      </c>
      <c r="M130" s="720">
        <f>IFERROR(IFERROR(INDEX('WHO GHO Data'!$AB$8:$AB$201,MATCH('HCW + Staff Summary'!$C130,'WHO GHO Data'!$C$8:$C$201,0)),INDEX('WHO GHO Data'!$AE$9:$AE$13,MATCH('HCW + Staff Summary'!$E130,'WHO GHO Data'!$AD$9:$AD$13,0))),"")</f>
        <v>0.54650004528486062</v>
      </c>
      <c r="O130" s="29">
        <f>INDEX('WB Population Data'!$D$6:$D$269,MATCH($B130,'WB Population Data'!$B$6:$B$269,0))</f>
        <v>53000</v>
      </c>
      <c r="P130" s="30">
        <f t="shared" si="5"/>
        <v>133.71899999999999</v>
      </c>
      <c r="Q130" s="29">
        <f t="shared" si="3"/>
        <v>55.066999999999993</v>
      </c>
      <c r="R130" s="29">
        <f>IFERROR(IFERROR(INDEX('WHO GHO Data'!$S$8:$S$201,MATCH($C130,'WHO GHO Data'!$C$8:$C$201,0)),($O130/1000*$K130)),IFERROR($O130/1000*VLOOKUP(E130,$W$9:$Y$12,3,0),0))</f>
        <v>225.01750741814186</v>
      </c>
      <c r="S130" s="30">
        <f>IFERROR(IFERROR(INDEX('WHO GHO Data'!$U$8:$U$201,MATCH($C130,'WHO GHO Data'!$C$8:$C$201,0)),INDEX('WHO GHO Data'!$AE$9:$AE$13,MATCH($E130,'WHO GHO Data'!$AD$9:$AD$13,0))*'HCW + Staff Summary'!$O130/1000),"")</f>
        <v>28.964502400097611</v>
      </c>
    </row>
    <row r="131" spans="2:19" x14ac:dyDescent="0.75">
      <c r="B131" s="43" t="s">
        <v>430</v>
      </c>
      <c r="C131" s="43" t="s">
        <v>74</v>
      </c>
      <c r="D131" s="132" t="s">
        <v>1076</v>
      </c>
      <c r="E131" s="132" t="s">
        <v>411</v>
      </c>
      <c r="F131" s="132" t="str">
        <f t="shared" si="4"/>
        <v>Not LMIC</v>
      </c>
      <c r="G131" s="646">
        <f>INDEX('WB HCW &amp; Beds'!$C$558:$BO$821,MATCH($C131,'WB HCW &amp; Beds'!$C$558:$C$821,0),MATCH("Latest value",'WB HCW &amp; Beds'!$C$557:$BO$557,0))</f>
        <v>2.3660999999999999</v>
      </c>
      <c r="H131" s="647">
        <f>INDEX('WB HCW &amp; Beds'!$C$558:$BO$821,MATCH($C131,'WB HCW &amp; Beds'!$C$558:$C$821,0),MATCH("Latest year",'WB HCW &amp; Beds'!$C$557:$BO$557,0))</f>
        <v>2017</v>
      </c>
      <c r="I131" s="651">
        <f>INDEX('WB HCW &amp; Beds'!$C$286:$BP$561,MATCH($C131,'WB HCW &amp; Beds'!$C$286:$C$561,0),MATCH("Value",'WB HCW &amp; Beds'!$C$286:$BP$286,0))</f>
        <v>0.377</v>
      </c>
      <c r="J131" s="647">
        <f>'WB HCW &amp; Beds'!BO411</f>
        <v>2009</v>
      </c>
      <c r="K131" s="653">
        <f>'WB HCW &amp; Beds'!BN139</f>
        <v>6.9734999999999996</v>
      </c>
      <c r="L131" s="654">
        <f>'WB HCW &amp; Beds'!BO139</f>
        <v>2017</v>
      </c>
      <c r="M131" s="720">
        <f>IFERROR(IFERROR(INDEX('WHO GHO Data'!$AB$8:$AB$201,MATCH('HCW + Staff Summary'!$C131,'WHO GHO Data'!$C$8:$C$201,0)),INDEX('WHO GHO Data'!$AE$9:$AE$13,MATCH('HCW + Staff Summary'!$E131,'WHO GHO Data'!$AD$9:$AD$13,0))),"")</f>
        <v>0.73150044323293295</v>
      </c>
      <c r="O131" s="29">
        <f>INDEX('WB Population Data'!$D$6:$D$269,MATCH($B131,'WB Population Data'!$B$6:$B$269,0))</f>
        <v>51922000</v>
      </c>
      <c r="P131" s="30">
        <f t="shared" si="5"/>
        <v>122852.6442</v>
      </c>
      <c r="Q131" s="29">
        <f t="shared" si="3"/>
        <v>19574.594000000001</v>
      </c>
      <c r="R131" s="29">
        <f>IFERROR(IFERROR(INDEX('WHO GHO Data'!$S$8:$S$201,MATCH($C131,'WHO GHO Data'!$C$8:$C$201,0)),($O131/1000*$K131)),IFERROR($O131/1000*VLOOKUP(E131,$W$9:$Y$12,3,0),0))</f>
        <v>377142.18414112751</v>
      </c>
      <c r="S131" s="30">
        <f>IFERROR(IFERROR(INDEX('WHO GHO Data'!$U$8:$U$201,MATCH($C131,'WHO GHO Data'!$C$8:$C$201,0)),INDEX('WHO GHO Data'!$AE$9:$AE$13,MATCH($E131,'WHO GHO Data'!$AD$9:$AD$13,0))*'HCW + Staff Summary'!$O131/1000),"")</f>
        <v>37980.966013540346</v>
      </c>
    </row>
    <row r="132" spans="2:19" x14ac:dyDescent="0.75">
      <c r="B132" s="43" t="s">
        <v>432</v>
      </c>
      <c r="C132" s="43" t="s">
        <v>75</v>
      </c>
      <c r="D132" s="132" t="s">
        <v>1072</v>
      </c>
      <c r="E132" s="132" t="s">
        <v>411</v>
      </c>
      <c r="F132" s="132" t="str">
        <f t="shared" si="4"/>
        <v>Not LMIC</v>
      </c>
      <c r="G132" s="646">
        <f>INDEX('WB HCW &amp; Beds'!$C$558:$BO$821,MATCH($C132,'WB HCW &amp; Beds'!$C$558:$C$821,0),MATCH("Latest value",'WB HCW &amp; Beds'!$C$557:$BO$557,0))</f>
        <v>2.5789</v>
      </c>
      <c r="H132" s="647">
        <f>INDEX('WB HCW &amp; Beds'!$C$558:$BO$821,MATCH($C132,'WB HCW &amp; Beds'!$C$558:$C$821,0),MATCH("Latest year",'WB HCW &amp; Beds'!$C$557:$BO$557,0))</f>
        <v>2015</v>
      </c>
      <c r="I132" s="651">
        <f>INDEX('WB HCW &amp; Beds'!$C$286:$BP$561,MATCH($C132,'WB HCW &amp; Beds'!$C$286:$C$561,0),MATCH("Value",'WB HCW &amp; Beds'!$C$286:$BP$286,0))</f>
        <v>0.4</v>
      </c>
      <c r="J132" s="647" t="str">
        <f>'WB HCW &amp; Beds'!BO412</f>
        <v>No reported value</v>
      </c>
      <c r="K132" s="653">
        <f>'WB HCW &amp; Beds'!BN140</f>
        <v>6.9694000000000003</v>
      </c>
      <c r="L132" s="654">
        <f>'WB HCW &amp; Beds'!BO140</f>
        <v>2015</v>
      </c>
      <c r="M132" s="720">
        <f>IFERROR(IFERROR(INDEX('WHO GHO Data'!$AB$8:$AB$201,MATCH('HCW + Staff Summary'!$C132,'WHO GHO Data'!$C$8:$C$201,0)),INDEX('WHO GHO Data'!$AE$9:$AE$13,MATCH('HCW + Staff Summary'!$E132,'WHO GHO Data'!$AD$9:$AD$13,0))),"")</f>
        <v>0.54650004528486062</v>
      </c>
      <c r="O132" s="29">
        <f>INDEX('WB Population Data'!$D$6:$D$269,MATCH($B132,'WB Population Data'!$B$6:$B$269,0))</f>
        <v>4271000</v>
      </c>
      <c r="P132" s="30">
        <f t="shared" si="5"/>
        <v>11014.481900000001</v>
      </c>
      <c r="Q132" s="29">
        <f t="shared" si="3"/>
        <v>1708.4</v>
      </c>
      <c r="R132" s="29">
        <f>IFERROR(IFERROR(INDEX('WHO GHO Data'!$S$8:$S$201,MATCH($C132,'WHO GHO Data'!$C$8:$C$201,0)),($O132/1000*$K132)),IFERROR($O132/1000*VLOOKUP(E132,$W$9:$Y$12,3,0),0))</f>
        <v>32667.818167563371</v>
      </c>
      <c r="S132" s="30">
        <f>IFERROR(IFERROR(INDEX('WHO GHO Data'!$U$8:$U$201,MATCH($C132,'WHO GHO Data'!$C$8:$C$201,0)),INDEX('WHO GHO Data'!$AE$9:$AE$13,MATCH($E132,'WHO GHO Data'!$AD$9:$AD$13,0))*'HCW + Staff Summary'!$O132/1000),"")</f>
        <v>2334.1016934116401</v>
      </c>
    </row>
    <row r="133" spans="2:19" x14ac:dyDescent="0.75">
      <c r="B133" s="43" t="s">
        <v>439</v>
      </c>
      <c r="C133" s="43" t="s">
        <v>440</v>
      </c>
      <c r="D133" s="132" t="s">
        <v>1124</v>
      </c>
      <c r="E133" s="132" t="s">
        <v>750</v>
      </c>
      <c r="F133" s="132" t="str">
        <f t="shared" si="4"/>
        <v>Not LMIC</v>
      </c>
      <c r="G133" s="646">
        <f>INDEX('WB HCW &amp; Beds'!$C$558:$BO$821,MATCH($C133,'WB HCW &amp; Beds'!$C$558:$C$821,0),MATCH("Latest value",'WB HCW &amp; Beds'!$C$557:$BO$557,0))</f>
        <v>2.1902000281646443</v>
      </c>
      <c r="H133" s="647">
        <f>INDEX('WB HCW &amp; Beds'!$C$558:$BO$821,MATCH($C133,'WB HCW &amp; Beds'!$C$558:$C$821,0),MATCH("Latest year",'WB HCW &amp; Beds'!$C$557:$BO$557,0))</f>
        <v>2015</v>
      </c>
      <c r="I133" s="651">
        <f>INDEX('WB HCW &amp; Beds'!$C$286:$BP$561,MATCH($C133,'WB HCW &amp; Beds'!$C$286:$C$561,0),MATCH("Value",'WB HCW &amp; Beds'!$C$286:$BP$286,0))</f>
        <v>0.4</v>
      </c>
      <c r="J133" s="647" t="str">
        <f>'WB HCW &amp; Beds'!BO413</f>
        <v>No reported value</v>
      </c>
      <c r="K133" s="653">
        <f>'WB HCW &amp; Beds'!BN141</f>
        <v>4.8899261545117172</v>
      </c>
      <c r="L133" s="654">
        <f>'WB HCW &amp; Beds'!BO141</f>
        <v>2015</v>
      </c>
      <c r="M133" s="720" t="str">
        <f>IFERROR(IFERROR(INDEX('WHO GHO Data'!$AB$8:$AB$201,MATCH('HCW + Staff Summary'!$C133,'WHO GHO Data'!$C$8:$C$201,0)),INDEX('WHO GHO Data'!$AE$9:$AE$13,MATCH('HCW + Staff Summary'!$E133,'WHO GHO Data'!$AD$9:$AD$13,0))),"")</f>
        <v/>
      </c>
      <c r="O133" s="29">
        <f>INDEX('WB Population Data'!$D$6:$D$269,MATCH($B133,'WB Population Data'!$B$6:$B$269,0))</f>
        <v>620352000</v>
      </c>
      <c r="P133" s="30">
        <f t="shared" si="5"/>
        <v>0</v>
      </c>
      <c r="Q133" s="29">
        <f t="shared" si="3"/>
        <v>248140.80000000002</v>
      </c>
      <c r="R133" s="29">
        <f>IFERROR(IFERROR(INDEX('WHO GHO Data'!$S$8:$S$201,MATCH($C133,'WHO GHO Data'!$C$8:$C$201,0)),($O133/1000*$K133)),IFERROR($O133/1000*VLOOKUP(E133,$W$9:$Y$12,3,0),0))</f>
        <v>3033475.4698036527</v>
      </c>
      <c r="S133" s="30" t="str">
        <f>IFERROR(IFERROR(INDEX('WHO GHO Data'!$U$8:$U$201,MATCH($C133,'WHO GHO Data'!$C$8:$C$201,0)),INDEX('WHO GHO Data'!$AE$9:$AE$13,MATCH($E133,'WHO GHO Data'!$AD$9:$AD$13,0))*'HCW + Staff Summary'!$O133/1000),"")</f>
        <v/>
      </c>
    </row>
    <row r="134" spans="2:19" x14ac:dyDescent="0.75">
      <c r="B134" s="43" t="s">
        <v>434</v>
      </c>
      <c r="C134" s="43" t="s">
        <v>76</v>
      </c>
      <c r="D134" s="132" t="s">
        <v>1076</v>
      </c>
      <c r="E134" s="132" t="s">
        <v>455</v>
      </c>
      <c r="F134" s="132" t="str">
        <f t="shared" si="4"/>
        <v>LMIC</v>
      </c>
      <c r="G134" s="646">
        <f>INDEX('WB HCW &amp; Beds'!$C$558:$BO$821,MATCH($C134,'WB HCW &amp; Beds'!$C$558:$C$821,0),MATCH("Latest value",'WB HCW &amp; Beds'!$C$557:$BO$557,0))</f>
        <v>0.49969999999999998</v>
      </c>
      <c r="H134" s="647">
        <f>INDEX('WB HCW &amp; Beds'!$C$558:$BO$821,MATCH($C134,'WB HCW &amp; Beds'!$C$558:$C$821,0),MATCH("Latest year",'WB HCW &amp; Beds'!$C$557:$BO$557,0))</f>
        <v>2014</v>
      </c>
      <c r="I134" s="651">
        <f>INDEX('WB HCW &amp; Beds'!$C$286:$BP$561,MATCH($C134,'WB HCW &amp; Beds'!$C$286:$C$561,0),MATCH("Value",'WB HCW &amp; Beds'!$C$286:$BP$286,0))</f>
        <v>0.4</v>
      </c>
      <c r="J134" s="647" t="str">
        <f>'WB HCW &amp; Beds'!BO414</f>
        <v>No reported value</v>
      </c>
      <c r="K134" s="653">
        <f>'WB HCW &amp; Beds'!BN142</f>
        <v>0.97560000000000002</v>
      </c>
      <c r="L134" s="654">
        <f>'WB HCW &amp; Beds'!BO142</f>
        <v>2014</v>
      </c>
      <c r="M134" s="720">
        <f>IFERROR(IFERROR(INDEX('WHO GHO Data'!$AB$8:$AB$201,MATCH('HCW + Staff Summary'!$C134,'WHO GHO Data'!$C$8:$C$201,0)),INDEX('WHO GHO Data'!$AE$9:$AE$13,MATCH('HCW + Staff Summary'!$E134,'WHO GHO Data'!$AD$9:$AD$13,0))),"")</f>
        <v>9.5750711481293826E-2</v>
      </c>
      <c r="O134" s="29">
        <f>INDEX('WB Population Data'!$D$6:$D$269,MATCH($B134,'WB Population Data'!$B$6:$B$269,0))</f>
        <v>7276000</v>
      </c>
      <c r="P134" s="30">
        <f t="shared" si="5"/>
        <v>3635.8172</v>
      </c>
      <c r="Q134" s="29">
        <f t="shared" si="3"/>
        <v>2910.4</v>
      </c>
      <c r="R134" s="29">
        <f>IFERROR(IFERROR(INDEX('WHO GHO Data'!$S$8:$S$201,MATCH($C134,'WHO GHO Data'!$C$8:$C$201,0)),($O134/1000*$K134)),IFERROR($O134/1000*VLOOKUP(E134,$W$9:$Y$12,3,0),0))</f>
        <v>6931.3883635767133</v>
      </c>
      <c r="S134" s="30">
        <f>IFERROR(IFERROR(INDEX('WHO GHO Data'!$U$8:$U$201,MATCH($C134,'WHO GHO Data'!$C$8:$C$201,0)),INDEX('WHO GHO Data'!$AE$9:$AE$13,MATCH($E134,'WHO GHO Data'!$AD$9:$AD$13,0))*'HCW + Staff Summary'!$O134/1000),"")</f>
        <v>696.68217673789388</v>
      </c>
    </row>
    <row r="135" spans="2:19" x14ac:dyDescent="0.75">
      <c r="B135" s="43" t="s">
        <v>446</v>
      </c>
      <c r="C135" s="43" t="s">
        <v>77</v>
      </c>
      <c r="D135" s="132" t="s">
        <v>1072</v>
      </c>
      <c r="E135" s="132" t="s">
        <v>558</v>
      </c>
      <c r="F135" s="132" t="str">
        <f t="shared" si="4"/>
        <v>LMIC</v>
      </c>
      <c r="G135" s="646">
        <f>INDEX('WB HCW &amp; Beds'!$C$558:$BO$821,MATCH($C135,'WB HCW &amp; Beds'!$C$558:$C$821,0),MATCH("Latest value",'WB HCW &amp; Beds'!$C$557:$BO$557,0))</f>
        <v>2.2709999999999999</v>
      </c>
      <c r="H135" s="647">
        <f>INDEX('WB HCW &amp; Beds'!$C$558:$BO$821,MATCH($C135,'WB HCW &amp; Beds'!$C$558:$C$821,0),MATCH("Latest year",'WB HCW &amp; Beds'!$C$557:$BO$557,0))</f>
        <v>2017</v>
      </c>
      <c r="I135" s="651">
        <f>INDEX('WB HCW &amp; Beds'!$C$286:$BP$561,MATCH($C135,'WB HCW &amp; Beds'!$C$286:$C$561,0),MATCH("Value",'WB HCW &amp; Beds'!$C$286:$BP$286,0))</f>
        <v>0.4</v>
      </c>
      <c r="J135" s="647" t="str">
        <f>'WB HCW &amp; Beds'!BO415</f>
        <v>No reported value</v>
      </c>
      <c r="K135" s="653">
        <f>'WB HCW &amp; Beds'!BN143</f>
        <v>2.6448</v>
      </c>
      <c r="L135" s="654">
        <f>'WB HCW &amp; Beds'!BO143</f>
        <v>2017</v>
      </c>
      <c r="M135" s="720">
        <f>IFERROR(IFERROR(INDEX('WHO GHO Data'!$AB$8:$AB$201,MATCH('HCW + Staff Summary'!$C135,'WHO GHO Data'!$C$8:$C$201,0)),INDEX('WHO GHO Data'!$AE$9:$AE$13,MATCH('HCW + Staff Summary'!$E135,'WHO GHO Data'!$AD$9:$AD$13,0))),"")</f>
        <v>0.12094520791221851</v>
      </c>
      <c r="O135" s="29">
        <f>INDEX('WB Population Data'!$D$6:$D$269,MATCH($B135,'WB Population Data'!$B$6:$B$269,0))</f>
        <v>6825000</v>
      </c>
      <c r="P135" s="30">
        <f t="shared" si="5"/>
        <v>15499.574999999999</v>
      </c>
      <c r="Q135" s="29">
        <f t="shared" ref="Q135:Q198" si="6">IFERROR($O135/1000*$I135,0)</f>
        <v>2730</v>
      </c>
      <c r="R135" s="29">
        <f>IFERROR(IFERROR(INDEX('WHO GHO Data'!$S$8:$S$201,MATCH($C135,'WHO GHO Data'!$C$8:$C$201,0)),($O135/1000*$K135)),IFERROR($O135/1000*VLOOKUP(E135,$W$9:$Y$12,3,0),0))</f>
        <v>10996.821707011732</v>
      </c>
      <c r="S135" s="30">
        <f>IFERROR(IFERROR(INDEX('WHO GHO Data'!$U$8:$U$201,MATCH($C135,'WHO GHO Data'!$C$8:$C$201,0)),INDEX('WHO GHO Data'!$AE$9:$AE$13,MATCH($E135,'WHO GHO Data'!$AD$9:$AD$13,0))*'HCW + Staff Summary'!$O135/1000),"")</f>
        <v>825.45104400089133</v>
      </c>
    </row>
    <row r="136" spans="2:19" x14ac:dyDescent="0.75">
      <c r="B136" s="43" t="s">
        <v>201</v>
      </c>
      <c r="C136" s="43" t="s">
        <v>78</v>
      </c>
      <c r="D136" s="132" t="s">
        <v>1073</v>
      </c>
      <c r="E136" s="132" t="s">
        <v>453</v>
      </c>
      <c r="F136" s="132" t="str">
        <f t="shared" ref="F136:F199" si="7">IF(OR(E136="High income",E136="Out"),"Not LMIC","LMIC")</f>
        <v>LMIC</v>
      </c>
      <c r="G136" s="646">
        <f>INDEX('WB HCW &amp; Beds'!$C$558:$BO$821,MATCH($C136,'WB HCW &amp; Beds'!$C$558:$C$821,0),MATCH("Latest value",'WB HCW &amp; Beds'!$C$557:$BO$557,0))</f>
        <v>3.73E-2</v>
      </c>
      <c r="H136" s="647">
        <f>INDEX('WB HCW &amp; Beds'!$C$558:$BO$821,MATCH($C136,'WB HCW &amp; Beds'!$C$558:$C$821,0),MATCH("Latest year",'WB HCW &amp; Beds'!$C$557:$BO$557,0))</f>
        <v>2015</v>
      </c>
      <c r="I136" s="651">
        <f>INDEX('WB HCW &amp; Beds'!$C$286:$BP$561,MATCH($C136,'WB HCW &amp; Beds'!$C$286:$C$561,0),MATCH("Value",'WB HCW &amp; Beds'!$C$286:$BP$286,0))</f>
        <v>6.0999999999999999E-2</v>
      </c>
      <c r="J136" s="647">
        <f>'WB HCW &amp; Beds'!BO416</f>
        <v>2010</v>
      </c>
      <c r="K136" s="653">
        <f>'WB HCW &amp; Beds'!BN144</f>
        <v>0.1007</v>
      </c>
      <c r="L136" s="654">
        <f>'WB HCW &amp; Beds'!BO144</f>
        <v>2015</v>
      </c>
      <c r="M136" s="720">
        <f>IFERROR(IFERROR(INDEX('WHO GHO Data'!$AB$8:$AB$201,MATCH('HCW + Staff Summary'!$C136,'WHO GHO Data'!$C$8:$C$201,0)),INDEX('WHO GHO Data'!$AE$9:$AE$13,MATCH('HCW + Staff Summary'!$E136,'WHO GHO Data'!$AD$9:$AD$13,0))),"")</f>
        <v>9.5350822563037146E-2</v>
      </c>
      <c r="O136" s="29">
        <f>INDEX('WB Population Data'!$D$6:$D$269,MATCH($B136,'WB Population Data'!$B$6:$B$269,0))</f>
        <v>5058000</v>
      </c>
      <c r="P136" s="30">
        <f t="shared" ref="P136:P199" si="8">IF(E136="OUT",0,IFERROR($O136/1000*$G136,$O136/1000*VLOOKUP(E136,$W$9:$X$12,2,0)))</f>
        <v>188.6634</v>
      </c>
      <c r="Q136" s="29">
        <f t="shared" si="6"/>
        <v>308.53800000000001</v>
      </c>
      <c r="R136" s="29">
        <f>IFERROR(IFERROR(INDEX('WHO GHO Data'!$S$8:$S$201,MATCH($C136,'WHO GHO Data'!$C$8:$C$201,0)),($O136/1000*$K136)),IFERROR($O136/1000*VLOOKUP(E136,$W$9:$Y$12,3,0),0))</f>
        <v>2694.890389642067</v>
      </c>
      <c r="S136" s="30">
        <f>IFERROR(IFERROR(INDEX('WHO GHO Data'!$U$8:$U$201,MATCH($C136,'WHO GHO Data'!$C$8:$C$201,0)),INDEX('WHO GHO Data'!$AE$9:$AE$13,MATCH($E136,'WHO GHO Data'!$AD$9:$AD$13,0))*'HCW + Staff Summary'!$O136/1000),"")</f>
        <v>482.28446052384186</v>
      </c>
    </row>
    <row r="137" spans="2:19" x14ac:dyDescent="0.75">
      <c r="B137" s="43" t="s">
        <v>447</v>
      </c>
      <c r="C137" s="43" t="s">
        <v>79</v>
      </c>
      <c r="D137" s="132" t="s">
        <v>1072</v>
      </c>
      <c r="E137" s="132" t="s">
        <v>558</v>
      </c>
      <c r="F137" s="132" t="str">
        <f t="shared" si="7"/>
        <v>LMIC</v>
      </c>
      <c r="G137" s="646">
        <f>INDEX('WB HCW &amp; Beds'!$C$558:$BO$821,MATCH($C137,'WB HCW &amp; Beds'!$C$558:$C$821,0),MATCH("Latest value",'WB HCW &amp; Beds'!$C$557:$BO$557,0))</f>
        <v>2.1581000000000001</v>
      </c>
      <c r="H137" s="647">
        <f>INDEX('WB HCW &amp; Beds'!$C$558:$BO$821,MATCH($C137,'WB HCW &amp; Beds'!$C$558:$C$821,0),MATCH("Latest year",'WB HCW &amp; Beds'!$C$557:$BO$557,0))</f>
        <v>2017</v>
      </c>
      <c r="I137" s="651">
        <f>INDEX('WB HCW &amp; Beds'!$C$286:$BP$561,MATCH($C137,'WB HCW &amp; Beds'!$C$286:$C$561,0),MATCH("Value",'WB HCW &amp; Beds'!$C$286:$BP$286,0))</f>
        <v>0.4</v>
      </c>
      <c r="J137" s="647" t="str">
        <f>'WB HCW &amp; Beds'!BO417</f>
        <v>No reported value</v>
      </c>
      <c r="K137" s="653">
        <f>'WB HCW &amp; Beds'!BN145</f>
        <v>6.7416</v>
      </c>
      <c r="L137" s="654">
        <f>'WB HCW &amp; Beds'!BO145</f>
        <v>2017</v>
      </c>
      <c r="M137" s="720">
        <f>IFERROR(IFERROR(INDEX('WHO GHO Data'!$AB$8:$AB$201,MATCH('HCW + Staff Summary'!$C137,'WHO GHO Data'!$C$8:$C$201,0)),INDEX('WHO GHO Data'!$AE$9:$AE$13,MATCH('HCW + Staff Summary'!$E137,'WHO GHO Data'!$AD$9:$AD$13,0))),"")</f>
        <v>0.21980423949700909</v>
      </c>
      <c r="O137" s="29">
        <f>INDEX('WB Population Data'!$D$6:$D$269,MATCH($B137,'WB Population Data'!$B$6:$B$269,0))</f>
        <v>6871000</v>
      </c>
      <c r="P137" s="30">
        <f t="shared" si="8"/>
        <v>14828.305100000001</v>
      </c>
      <c r="Q137" s="29">
        <f t="shared" si="6"/>
        <v>2748.4</v>
      </c>
      <c r="R137" s="29">
        <f>IFERROR(IFERROR(INDEX('WHO GHO Data'!$S$8:$S$201,MATCH($C137,'WHO GHO Data'!$C$8:$C$201,0)),($O137/1000*$K137)),IFERROR($O137/1000*VLOOKUP(E137,$W$9:$Y$12,3,0),0))</f>
        <v>43336.377135850715</v>
      </c>
      <c r="S137" s="30">
        <f>IFERROR(IFERROR(INDEX('WHO GHO Data'!$U$8:$U$201,MATCH($C137,'WHO GHO Data'!$C$8:$C$201,0)),INDEX('WHO GHO Data'!$AE$9:$AE$13,MATCH($E137,'WHO GHO Data'!$AD$9:$AD$13,0))*'HCW + Staff Summary'!$O137/1000),"")</f>
        <v>1510.2749295839494</v>
      </c>
    </row>
    <row r="138" spans="2:19" x14ac:dyDescent="0.75">
      <c r="B138" s="43" t="s">
        <v>533</v>
      </c>
      <c r="C138" s="43" t="s">
        <v>80</v>
      </c>
      <c r="D138" s="132" t="s">
        <v>1075</v>
      </c>
      <c r="E138" s="132" t="s">
        <v>558</v>
      </c>
      <c r="F138" s="132" t="str">
        <f t="shared" si="7"/>
        <v>LMIC</v>
      </c>
      <c r="G138" s="646">
        <f>INDEX('WB HCW &amp; Beds'!$C$558:$BO$821,MATCH($C138,'WB HCW &amp; Beds'!$C$558:$C$821,0),MATCH("Latest value",'WB HCW &amp; Beds'!$C$557:$BO$557,0))</f>
        <v>0.1053</v>
      </c>
      <c r="H138" s="647">
        <f>INDEX('WB HCW &amp; Beds'!$C$558:$BO$821,MATCH($C138,'WB HCW &amp; Beds'!$C$558:$C$821,0),MATCH("Latest year",'WB HCW &amp; Beds'!$C$557:$BO$557,0))</f>
        <v>2009</v>
      </c>
      <c r="I138" s="651">
        <f>INDEX('WB HCW &amp; Beds'!$C$286:$BP$561,MATCH($C138,'WB HCW &amp; Beds'!$C$286:$C$561,0),MATCH("Value",'WB HCW &amp; Beds'!$C$286:$BP$286,0))</f>
        <v>0.4</v>
      </c>
      <c r="J138" s="647" t="str">
        <f>'WB HCW &amp; Beds'!BO418</f>
        <v>No reported value</v>
      </c>
      <c r="K138" s="653">
        <f>'WB HCW &amp; Beds'!BN146</f>
        <v>1.5872999999999999</v>
      </c>
      <c r="L138" s="654">
        <f>'WB HCW &amp; Beds'!BO146</f>
        <v>2014</v>
      </c>
      <c r="M138" s="720">
        <f>IFERROR(IFERROR(INDEX('WHO GHO Data'!$AB$8:$AB$201,MATCH('HCW + Staff Summary'!$C138,'WHO GHO Data'!$C$8:$C$201,0)),INDEX('WHO GHO Data'!$AE$9:$AE$13,MATCH('HCW + Staff Summary'!$E138,'WHO GHO Data'!$AD$9:$AD$13,0))),"")</f>
        <v>0.21980423949700909</v>
      </c>
      <c r="O138" s="29">
        <f>INDEX('WB Population Data'!$D$6:$D$269,MATCH($B138,'WB Population Data'!$B$6:$B$269,0))</f>
        <v>184000</v>
      </c>
      <c r="P138" s="30">
        <f t="shared" si="8"/>
        <v>19.3752</v>
      </c>
      <c r="Q138" s="29">
        <f t="shared" si="6"/>
        <v>73.600000000000009</v>
      </c>
      <c r="R138" s="29">
        <f>IFERROR(IFERROR(INDEX('WHO GHO Data'!$S$8:$S$201,MATCH($C138,'WHO GHO Data'!$C$8:$C$201,0)),($O138/1000*$K138)),IFERROR($O138/1000*VLOOKUP(E138,$W$9:$Y$12,3,0),0))</f>
        <v>482.98908017516533</v>
      </c>
      <c r="S138" s="30">
        <f>IFERROR(IFERROR(INDEX('WHO GHO Data'!$U$8:$U$201,MATCH($C138,'WHO GHO Data'!$C$8:$C$201,0)),INDEX('WHO GHO Data'!$AE$9:$AE$13,MATCH($E138,'WHO GHO Data'!$AD$9:$AD$13,0))*'HCW + Staff Summary'!$O138/1000),"")</f>
        <v>40.443980067449672</v>
      </c>
    </row>
    <row r="139" spans="2:19" x14ac:dyDescent="0.75">
      <c r="B139" s="43" t="s">
        <v>437</v>
      </c>
      <c r="C139" s="43" t="s">
        <v>438</v>
      </c>
      <c r="D139" s="132" t="s">
        <v>1124</v>
      </c>
      <c r="E139" s="132" t="s">
        <v>750</v>
      </c>
      <c r="F139" s="132" t="str">
        <f t="shared" si="7"/>
        <v>Not LMIC</v>
      </c>
      <c r="G139" s="646">
        <f>INDEX('WB HCW &amp; Beds'!$C$558:$BO$821,MATCH($C139,'WB HCW &amp; Beds'!$C$558:$C$821,0),MATCH("Latest value",'WB HCW &amp; Beds'!$C$557:$BO$557,0))</f>
        <v>2.1699311232596692</v>
      </c>
      <c r="H139" s="647">
        <f>INDEX('WB HCW &amp; Beds'!$C$558:$BO$821,MATCH($C139,'WB HCW &amp; Beds'!$C$558:$C$821,0),MATCH("Latest year",'WB HCW &amp; Beds'!$C$557:$BO$557,0))</f>
        <v>2015</v>
      </c>
      <c r="I139" s="651">
        <f>INDEX('WB HCW &amp; Beds'!$C$286:$BP$561,MATCH($C139,'WB HCW &amp; Beds'!$C$286:$C$561,0),MATCH("Value",'WB HCW &amp; Beds'!$C$286:$BP$286,0))</f>
        <v>0.4</v>
      </c>
      <c r="J139" s="647" t="str">
        <f>'WB HCW &amp; Beds'!BO419</f>
        <v>No reported value</v>
      </c>
      <c r="K139" s="653">
        <f>'WB HCW &amp; Beds'!BN147</f>
        <v>4.7222119135516918</v>
      </c>
      <c r="L139" s="654">
        <f>'WB HCW &amp; Beds'!BO147</f>
        <v>2015</v>
      </c>
      <c r="M139" s="720" t="str">
        <f>IFERROR(IFERROR(INDEX('WHO GHO Data'!$AB$8:$AB$201,MATCH('HCW + Staff Summary'!$C139,'WHO GHO Data'!$C$8:$C$201,0)),INDEX('WHO GHO Data'!$AE$9:$AE$13,MATCH('HCW + Staff Summary'!$E139,'WHO GHO Data'!$AD$9:$AD$13,0))),"")</f>
        <v/>
      </c>
      <c r="O139" s="29">
        <f>INDEX('WB Population Data'!$D$6:$D$269,MATCH($B139,'WB Population Data'!$B$6:$B$269,0))</f>
        <v>653182000</v>
      </c>
      <c r="P139" s="30">
        <f t="shared" si="8"/>
        <v>0</v>
      </c>
      <c r="Q139" s="29">
        <f t="shared" si="6"/>
        <v>261272.80000000002</v>
      </c>
      <c r="R139" s="29">
        <f>IFERROR(IFERROR(INDEX('WHO GHO Data'!$S$8:$S$201,MATCH($C139,'WHO GHO Data'!$C$8:$C$201,0)),($O139/1000*$K139)),IFERROR($O139/1000*VLOOKUP(E139,$W$9:$Y$12,3,0),0))</f>
        <v>3084463.822117521</v>
      </c>
      <c r="S139" s="30" t="str">
        <f>IFERROR(IFERROR(INDEX('WHO GHO Data'!$U$8:$U$201,MATCH($C139,'WHO GHO Data'!$C$8:$C$201,0)),INDEX('WHO GHO Data'!$AE$9:$AE$13,MATCH($E139,'WHO GHO Data'!$AD$9:$AD$13,0))*'HCW + Staff Summary'!$O139/1000),"")</f>
        <v/>
      </c>
    </row>
    <row r="140" spans="2:19" x14ac:dyDescent="0.75">
      <c r="B140" s="43" t="s">
        <v>444</v>
      </c>
      <c r="C140" s="43" t="s">
        <v>445</v>
      </c>
      <c r="D140" s="132" t="s">
        <v>1124</v>
      </c>
      <c r="E140" s="132" t="s">
        <v>750</v>
      </c>
      <c r="F140" s="132" t="str">
        <f t="shared" si="7"/>
        <v>Not LMIC</v>
      </c>
      <c r="G140" s="646">
        <f>INDEX('WB HCW &amp; Beds'!$C$558:$BO$821,MATCH($C140,'WB HCW &amp; Beds'!$C$558:$C$821,0),MATCH("Latest value",'WB HCW &amp; Beds'!$C$557:$BO$557,0))</f>
        <v>0.25851559412471237</v>
      </c>
      <c r="H140" s="647">
        <f>INDEX('WB HCW &amp; Beds'!$C$558:$BO$821,MATCH($C140,'WB HCW &amp; Beds'!$C$558:$C$821,0),MATCH("Latest year",'WB HCW &amp; Beds'!$C$557:$BO$557,0))</f>
        <v>2015</v>
      </c>
      <c r="I140" s="651">
        <f>INDEX('WB HCW &amp; Beds'!$C$286:$BP$561,MATCH($C140,'WB HCW &amp; Beds'!$C$286:$C$561,0),MATCH("Value",'WB HCW &amp; Beds'!$C$286:$BP$286,0))</f>
        <v>0.4</v>
      </c>
      <c r="J140" s="647" t="str">
        <f>'WB HCW &amp; Beds'!BO420</f>
        <v>No reported value</v>
      </c>
      <c r="K140" s="653">
        <f>'WB HCW &amp; Beds'!BN148</f>
        <v>0.63515333632387161</v>
      </c>
      <c r="L140" s="654">
        <f>'WB HCW &amp; Beds'!BO148</f>
        <v>2015</v>
      </c>
      <c r="M140" s="720" t="str">
        <f>IFERROR(IFERROR(INDEX('WHO GHO Data'!$AB$8:$AB$201,MATCH('HCW + Staff Summary'!$C140,'WHO GHO Data'!$C$8:$C$201,0)),INDEX('WHO GHO Data'!$AE$9:$AE$13,MATCH('HCW + Staff Summary'!$E140,'WHO GHO Data'!$AD$9:$AD$13,0))),"")</f>
        <v/>
      </c>
      <c r="O140" s="29">
        <f>INDEX('WB Population Data'!$D$6:$D$269,MATCH($B140,'WB Population Data'!$B$6:$B$269,0))</f>
        <v>1057439000</v>
      </c>
      <c r="P140" s="30">
        <f t="shared" si="8"/>
        <v>0</v>
      </c>
      <c r="Q140" s="29">
        <f t="shared" si="6"/>
        <v>422975.60000000003</v>
      </c>
      <c r="R140" s="29">
        <f>IFERROR(IFERROR(INDEX('WHO GHO Data'!$S$8:$S$201,MATCH($C140,'WHO GHO Data'!$C$8:$C$201,0)),($O140/1000*$K140)),IFERROR($O140/1000*VLOOKUP(E140,$W$9:$Y$12,3,0),0))</f>
        <v>671635.90880897851</v>
      </c>
      <c r="S140" s="30" t="str">
        <f>IFERROR(IFERROR(INDEX('WHO GHO Data'!$U$8:$U$201,MATCH($C140,'WHO GHO Data'!$C$8:$C$201,0)),INDEX('WHO GHO Data'!$AE$9:$AE$13,MATCH($E140,'WHO GHO Data'!$AD$9:$AD$13,0))*'HCW + Staff Summary'!$O140/1000),"")</f>
        <v/>
      </c>
    </row>
    <row r="141" spans="2:19" x14ac:dyDescent="0.75">
      <c r="B141" s="43" t="s">
        <v>453</v>
      </c>
      <c r="C141" s="43" t="s">
        <v>454</v>
      </c>
      <c r="D141" s="132" t="s">
        <v>1124</v>
      </c>
      <c r="E141" s="132" t="s">
        <v>750</v>
      </c>
      <c r="F141" s="132" t="str">
        <f t="shared" si="7"/>
        <v>Not LMIC</v>
      </c>
      <c r="G141" s="646">
        <f>INDEX('WB HCW &amp; Beds'!$C$558:$BO$821,MATCH($C141,'WB HCW &amp; Beds'!$C$558:$C$821,0),MATCH("Latest value",'WB HCW &amp; Beds'!$C$557:$BO$557,0))</f>
        <v>0.32490662919929747</v>
      </c>
      <c r="H141" s="647">
        <f>INDEX('WB HCW &amp; Beds'!$C$558:$BO$821,MATCH($C141,'WB HCW &amp; Beds'!$C$558:$C$821,0),MATCH("Latest year",'WB HCW &amp; Beds'!$C$557:$BO$557,0))</f>
        <v>2015</v>
      </c>
      <c r="I141" s="651">
        <f>INDEX('WB HCW &amp; Beds'!$C$286:$BP$561,MATCH($C141,'WB HCW &amp; Beds'!$C$286:$C$561,0),MATCH("Value",'WB HCW &amp; Beds'!$C$286:$BP$286,0))</f>
        <v>0.4</v>
      </c>
      <c r="J141" s="647" t="str">
        <f>'WB HCW &amp; Beds'!BO421</f>
        <v>No reported value</v>
      </c>
      <c r="K141" s="653">
        <f>'WB HCW &amp; Beds'!BN149</f>
        <v>0.86037058799742272</v>
      </c>
      <c r="L141" s="654">
        <f>'WB HCW &amp; Beds'!BO149</f>
        <v>2015</v>
      </c>
      <c r="M141" s="720" t="str">
        <f>IFERROR(IFERROR(INDEX('WHO GHO Data'!$AB$8:$AB$201,MATCH('HCW + Staff Summary'!$C141,'WHO GHO Data'!$C$8:$C$201,0)),INDEX('WHO GHO Data'!$AE$9:$AE$13,MATCH('HCW + Staff Summary'!$E141,'WHO GHO Data'!$AD$9:$AD$13,0))),"")</f>
        <v/>
      </c>
      <c r="O141" s="29">
        <f>INDEX('WB Population Data'!$D$6:$D$269,MATCH($B141,'WB Population Data'!$B$6:$B$269,0))</f>
        <v>743236000</v>
      </c>
      <c r="P141" s="30">
        <f t="shared" si="8"/>
        <v>0</v>
      </c>
      <c r="Q141" s="29">
        <f t="shared" si="6"/>
        <v>297294.40000000002</v>
      </c>
      <c r="R141" s="29">
        <f>IFERROR(IFERROR(INDEX('WHO GHO Data'!$S$8:$S$201,MATCH($C141,'WHO GHO Data'!$C$8:$C$201,0)),($O141/1000*$K141)),IFERROR($O141/1000*VLOOKUP(E141,$W$9:$Y$12,3,0),0))</f>
        <v>639458.39434085251</v>
      </c>
      <c r="S141" s="30" t="str">
        <f>IFERROR(IFERROR(INDEX('WHO GHO Data'!$U$8:$U$201,MATCH($C141,'WHO GHO Data'!$C$8:$C$201,0)),INDEX('WHO GHO Data'!$AE$9:$AE$13,MATCH($E141,'WHO GHO Data'!$AD$9:$AD$13,0))*'HCW + Staff Summary'!$O141/1000),"")</f>
        <v/>
      </c>
    </row>
    <row r="142" spans="2:19" x14ac:dyDescent="0.75">
      <c r="B142" s="43" t="s">
        <v>448</v>
      </c>
      <c r="C142" s="43" t="s">
        <v>449</v>
      </c>
      <c r="D142" s="132" t="s">
        <v>1124</v>
      </c>
      <c r="E142" s="132" t="s">
        <v>411</v>
      </c>
      <c r="F142" s="132" t="str">
        <f t="shared" si="7"/>
        <v>Not LMIC</v>
      </c>
      <c r="G142" s="646" t="str">
        <f>INDEX('WB HCW &amp; Beds'!$C$558:$BO$821,MATCH($C142,'WB HCW &amp; Beds'!$C$558:$C$821,0),MATCH("Latest value",'WB HCW &amp; Beds'!$C$557:$BO$557,0))</f>
        <v>No reported value</v>
      </c>
      <c r="H142" s="647" t="str">
        <f>INDEX('WB HCW &amp; Beds'!$C$558:$BO$821,MATCH($C142,'WB HCW &amp; Beds'!$C$558:$C$821,0),MATCH("Latest year",'WB HCW &amp; Beds'!$C$557:$BO$557,0))</f>
        <v>No reported value</v>
      </c>
      <c r="I142" s="651">
        <f>INDEX('WB HCW &amp; Beds'!$C$286:$BP$561,MATCH($C142,'WB HCW &amp; Beds'!$C$286:$C$561,0),MATCH("Value",'WB HCW &amp; Beds'!$C$286:$BP$286,0))</f>
        <v>0.4</v>
      </c>
      <c r="J142" s="647" t="str">
        <f>'WB HCW &amp; Beds'!BO422</f>
        <v>No reported value</v>
      </c>
      <c r="K142" s="653" t="str">
        <f>'WB HCW &amp; Beds'!BN150</f>
        <v>No reported value</v>
      </c>
      <c r="L142" s="654" t="str">
        <f>'WB HCW &amp; Beds'!BO150</f>
        <v>No reported value</v>
      </c>
      <c r="M142" s="720">
        <f>IFERROR(IFERROR(INDEX('WHO GHO Data'!$AB$8:$AB$201,MATCH('HCW + Staff Summary'!$C142,'WHO GHO Data'!$C$8:$C$201,0)),INDEX('WHO GHO Data'!$AE$9:$AE$13,MATCH('HCW + Staff Summary'!$E142,'WHO GHO Data'!$AD$9:$AD$13,0))),"")</f>
        <v>0.54650004528486062</v>
      </c>
      <c r="O142" s="29">
        <f>INDEX('WB Population Data'!$D$6:$D$269,MATCH($B142,'WB Population Data'!$B$6:$B$269,0))</f>
        <v>38000</v>
      </c>
      <c r="P142" s="30">
        <f t="shared" si="8"/>
        <v>106.4666338028169</v>
      </c>
      <c r="Q142" s="29">
        <f t="shared" si="6"/>
        <v>15.200000000000001</v>
      </c>
      <c r="R142" s="29">
        <f>IFERROR(IFERROR(INDEX('WHO GHO Data'!$S$8:$S$201,MATCH($C142,'WHO GHO Data'!$C$8:$C$201,0)),($O142/1000*$K142)),IFERROR($O142/1000*VLOOKUP(E142,$W$9:$Y$12,3,0),0))</f>
        <v>299.53041379310349</v>
      </c>
      <c r="S142" s="30">
        <f>IFERROR(IFERROR(INDEX('WHO GHO Data'!$U$8:$U$201,MATCH($C142,'WHO GHO Data'!$C$8:$C$201,0)),INDEX('WHO GHO Data'!$AE$9:$AE$13,MATCH($E142,'WHO GHO Data'!$AD$9:$AD$13,0))*'HCW + Staff Summary'!$O142/1000),"")</f>
        <v>20.767001720824705</v>
      </c>
    </row>
    <row r="143" spans="2:19" x14ac:dyDescent="0.75">
      <c r="B143" s="43" t="s">
        <v>245</v>
      </c>
      <c r="C143" s="43" t="s">
        <v>81</v>
      </c>
      <c r="D143" s="132" t="s">
        <v>1077</v>
      </c>
      <c r="E143" s="132" t="s">
        <v>558</v>
      </c>
      <c r="F143" s="132" t="str">
        <f t="shared" si="7"/>
        <v>LMIC</v>
      </c>
      <c r="G143" s="646">
        <f>INDEX('WB HCW &amp; Beds'!$C$558:$BO$821,MATCH($C143,'WB HCW &amp; Beds'!$C$558:$C$821,0),MATCH("Latest value",'WB HCW &amp; Beds'!$C$557:$BO$557,0))</f>
        <v>0.95799999999999996</v>
      </c>
      <c r="H143" s="647">
        <f>INDEX('WB HCW &amp; Beds'!$C$558:$BO$821,MATCH($C143,'WB HCW &amp; Beds'!$C$558:$C$821,0),MATCH("Latest year",'WB HCW &amp; Beds'!$C$557:$BO$557,0))</f>
        <v>2017</v>
      </c>
      <c r="I143" s="651">
        <f>INDEX('WB HCW &amp; Beds'!$C$286:$BP$561,MATCH($C143,'WB HCW &amp; Beds'!$C$286:$C$561,0),MATCH("Value",'WB HCW &amp; Beds'!$C$286:$BP$286,0))</f>
        <v>0.4</v>
      </c>
      <c r="J143" s="647" t="str">
        <f>'WB HCW &amp; Beds'!BO423</f>
        <v>No reported value</v>
      </c>
      <c r="K143" s="653">
        <f>'WB HCW &amp; Beds'!BN151</f>
        <v>2.1154999999999999</v>
      </c>
      <c r="L143" s="654">
        <f>'WB HCW &amp; Beds'!BO151</f>
        <v>2016</v>
      </c>
      <c r="M143" s="720">
        <f>IFERROR(IFERROR(INDEX('WHO GHO Data'!$AB$8:$AB$201,MATCH('HCW + Staff Summary'!$C143,'WHO GHO Data'!$C$8:$C$201,0)),INDEX('WHO GHO Data'!$AE$9:$AE$13,MATCH('HCW + Staff Summary'!$E143,'WHO GHO Data'!$AD$9:$AD$13,0))),"")</f>
        <v>8.6468205629945019E-2</v>
      </c>
      <c r="O143" s="29">
        <f>INDEX('WB Population Data'!$D$6:$D$269,MATCH($B143,'WB Population Data'!$B$6:$B$269,0))</f>
        <v>21837000</v>
      </c>
      <c r="P143" s="30">
        <f t="shared" si="8"/>
        <v>20919.845999999998</v>
      </c>
      <c r="Q143" s="29">
        <f t="shared" si="6"/>
        <v>8734.8000000000011</v>
      </c>
      <c r="R143" s="29">
        <f>IFERROR(IFERROR(INDEX('WHO GHO Data'!$S$8:$S$201,MATCH($C143,'WHO GHO Data'!$C$8:$C$201,0)),($O143/1000*$K143)),IFERROR($O143/1000*VLOOKUP(E143,$W$9:$Y$12,3,0),0))</f>
        <v>37764.124126822193</v>
      </c>
      <c r="S143" s="30">
        <f>IFERROR(IFERROR(INDEX('WHO GHO Data'!$U$8:$U$201,MATCH($C143,'WHO GHO Data'!$C$8:$C$201,0)),INDEX('WHO GHO Data'!$AE$9:$AE$13,MATCH($E143,'WHO GHO Data'!$AD$9:$AD$13,0))*'HCW + Staff Summary'!$O143/1000),"")</f>
        <v>1888.2062063411095</v>
      </c>
    </row>
    <row r="144" spans="2:19" x14ac:dyDescent="0.75">
      <c r="B144" s="43" t="s">
        <v>455</v>
      </c>
      <c r="C144" s="43" t="s">
        <v>456</v>
      </c>
      <c r="D144" s="132" t="s">
        <v>1124</v>
      </c>
      <c r="E144" s="132" t="s">
        <v>750</v>
      </c>
      <c r="F144" s="132" t="str">
        <f t="shared" si="7"/>
        <v>Not LMIC</v>
      </c>
      <c r="G144" s="646">
        <f>INDEX('WB HCW &amp; Beds'!$C$558:$BO$821,MATCH($C144,'WB HCW &amp; Beds'!$C$558:$C$821,0),MATCH("Latest value",'WB HCW &amp; Beds'!$C$557:$BO$557,0))</f>
        <v>0.74709085356064975</v>
      </c>
      <c r="H144" s="647">
        <f>INDEX('WB HCW &amp; Beds'!$C$558:$BO$821,MATCH($C144,'WB HCW &amp; Beds'!$C$558:$C$821,0),MATCH("Latest year",'WB HCW &amp; Beds'!$C$557:$BO$557,0))</f>
        <v>2015</v>
      </c>
      <c r="I144" s="651">
        <f>INDEX('WB HCW &amp; Beds'!$C$286:$BP$561,MATCH($C144,'WB HCW &amp; Beds'!$C$286:$C$561,0),MATCH("Value",'WB HCW &amp; Beds'!$C$286:$BP$286,0))</f>
        <v>0.40748886297282155</v>
      </c>
      <c r="J144" s="647">
        <f>'WB HCW &amp; Beds'!BO424</f>
        <v>2011</v>
      </c>
      <c r="K144" s="653">
        <f>'WB HCW &amp; Beds'!BN152</f>
        <v>1.801820778406602</v>
      </c>
      <c r="L144" s="654">
        <f>'WB HCW &amp; Beds'!BO152</f>
        <v>2015</v>
      </c>
      <c r="M144" s="720" t="str">
        <f>IFERROR(IFERROR(INDEX('WHO GHO Data'!$AB$8:$AB$201,MATCH('HCW + Staff Summary'!$C144,'WHO GHO Data'!$C$8:$C$201,0)),INDEX('WHO GHO Data'!$AE$9:$AE$13,MATCH('HCW + Staff Summary'!$E144,'WHO GHO Data'!$AD$9:$AD$13,0))),"")</f>
        <v/>
      </c>
      <c r="O144" s="29">
        <f>INDEX('WB Population Data'!$D$6:$D$269,MATCH($B144,'WB Population Data'!$B$6:$B$269,0))</f>
        <v>3105181000</v>
      </c>
      <c r="P144" s="30">
        <f t="shared" si="8"/>
        <v>0</v>
      </c>
      <c r="Q144" s="29">
        <f t="shared" si="6"/>
        <v>1265326.675014809</v>
      </c>
      <c r="R144" s="29">
        <f>IFERROR(IFERROR(INDEX('WHO GHO Data'!$S$8:$S$201,MATCH($C144,'WHO GHO Data'!$C$8:$C$201,0)),($O144/1000*$K144)),IFERROR($O144/1000*VLOOKUP(E144,$W$9:$Y$12,3,0),0))</f>
        <v>5594979.6465133913</v>
      </c>
      <c r="S144" s="30" t="str">
        <f>IFERROR(IFERROR(INDEX('WHO GHO Data'!$U$8:$U$201,MATCH($C144,'WHO GHO Data'!$C$8:$C$201,0)),INDEX('WHO GHO Data'!$AE$9:$AE$13,MATCH($E144,'WHO GHO Data'!$AD$9:$AD$13,0))*'HCW + Staff Summary'!$O144/1000),"")</f>
        <v/>
      </c>
    </row>
    <row r="145" spans="2:19" x14ac:dyDescent="0.75">
      <c r="B145" s="43" t="s">
        <v>451</v>
      </c>
      <c r="C145" s="43" t="s">
        <v>452</v>
      </c>
      <c r="D145" s="132" t="s">
        <v>1124</v>
      </c>
      <c r="E145" s="132" t="s">
        <v>750</v>
      </c>
      <c r="F145" s="132" t="str">
        <f t="shared" si="7"/>
        <v>Not LMIC</v>
      </c>
      <c r="G145" s="646">
        <f>INDEX('WB HCW &amp; Beds'!$C$558:$BO$821,MATCH($C145,'WB HCW &amp; Beds'!$C$558:$C$821,0),MATCH("Latest value",'WB HCW &amp; Beds'!$C$557:$BO$557,0))</f>
        <v>1.2178516305659948</v>
      </c>
      <c r="H145" s="647">
        <f>INDEX('WB HCW &amp; Beds'!$C$558:$BO$821,MATCH($C145,'WB HCW &amp; Beds'!$C$558:$C$821,0),MATCH("Latest year",'WB HCW &amp; Beds'!$C$557:$BO$557,0))</f>
        <v>2015</v>
      </c>
      <c r="I145" s="651">
        <f>INDEX('WB HCW &amp; Beds'!$C$286:$BP$561,MATCH($C145,'WB HCW &amp; Beds'!$C$286:$C$561,0),MATCH("Value",'WB HCW &amp; Beds'!$C$286:$BP$286,0))</f>
        <v>0.4</v>
      </c>
      <c r="J145" s="647" t="str">
        <f>'WB HCW &amp; Beds'!BO425</f>
        <v>No reported value</v>
      </c>
      <c r="K145" s="653">
        <f>'WB HCW &amp; Beds'!BN153</f>
        <v>2.4076816361680979</v>
      </c>
      <c r="L145" s="654">
        <f>'WB HCW &amp; Beds'!BO153</f>
        <v>2015</v>
      </c>
      <c r="M145" s="720" t="str">
        <f>IFERROR(IFERROR(INDEX('WHO GHO Data'!$AB$8:$AB$201,MATCH('HCW + Staff Summary'!$C145,'WHO GHO Data'!$C$8:$C$201,0)),INDEX('WHO GHO Data'!$AE$9:$AE$13,MATCH('HCW + Staff Summary'!$E145,'WHO GHO Data'!$AD$9:$AD$13,0))),"")</f>
        <v/>
      </c>
      <c r="O145" s="29">
        <f>INDEX('WB Population Data'!$D$6:$D$269,MATCH($B145,'WB Population Data'!$B$6:$B$269,0))</f>
        <v>6534303000</v>
      </c>
      <c r="P145" s="30">
        <f t="shared" si="8"/>
        <v>0</v>
      </c>
      <c r="Q145" s="29">
        <f t="shared" si="6"/>
        <v>2613721.2000000002</v>
      </c>
      <c r="R145" s="29">
        <f>IFERROR(IFERROR(INDEX('WHO GHO Data'!$S$8:$S$201,MATCH($C145,'WHO GHO Data'!$C$8:$C$201,0)),($O145/1000*$K145)),IFERROR($O145/1000*VLOOKUP(E145,$W$9:$Y$12,3,0),0))</f>
        <v>15732521.33825811</v>
      </c>
      <c r="S145" s="30" t="str">
        <f>IFERROR(IFERROR(INDEX('WHO GHO Data'!$U$8:$U$201,MATCH($C145,'WHO GHO Data'!$C$8:$C$201,0)),INDEX('WHO GHO Data'!$AE$9:$AE$13,MATCH($E145,'WHO GHO Data'!$AD$9:$AD$13,0))*'HCW + Staff Summary'!$O145/1000),"")</f>
        <v/>
      </c>
    </row>
    <row r="146" spans="2:19" x14ac:dyDescent="0.75">
      <c r="B146" s="43" t="s">
        <v>200</v>
      </c>
      <c r="C146" s="43" t="s">
        <v>167</v>
      </c>
      <c r="D146" s="132" t="s">
        <v>1073</v>
      </c>
      <c r="E146" s="132" t="s">
        <v>455</v>
      </c>
      <c r="F146" s="132" t="str">
        <f t="shared" si="7"/>
        <v>LMIC</v>
      </c>
      <c r="G146" s="646">
        <f>INDEX('WB HCW &amp; Beds'!$C$558:$BO$821,MATCH($C146,'WB HCW &amp; Beds'!$C$558:$C$821,0),MATCH("Latest value",'WB HCW &amp; Beds'!$C$557:$BO$557,0))</f>
        <v>6.7599999999999993E-2</v>
      </c>
      <c r="H146" s="647">
        <f>INDEX('WB HCW &amp; Beds'!$C$558:$BO$821,MATCH($C146,'WB HCW &amp; Beds'!$C$558:$C$821,0),MATCH("Latest year",'WB HCW &amp; Beds'!$C$557:$BO$557,0))</f>
        <v>2010</v>
      </c>
      <c r="I146" s="651">
        <f>INDEX('WB HCW &amp; Beds'!$C$286:$BP$561,MATCH($C146,'WB HCW &amp; Beds'!$C$286:$C$561,0),MATCH("Value",'WB HCW &amp; Beds'!$C$286:$BP$286,0))</f>
        <v>0.4</v>
      </c>
      <c r="J146" s="647" t="str">
        <f>'WB HCW &amp; Beds'!BO426</f>
        <v>No reported value</v>
      </c>
      <c r="K146" s="653">
        <f>'WB HCW &amp; Beds'!BN154</f>
        <v>0.65080000000000005</v>
      </c>
      <c r="L146" s="654">
        <f>'WB HCW &amp; Beds'!BO154</f>
        <v>2010</v>
      </c>
      <c r="M146" s="720">
        <f>IFERROR(IFERROR(INDEX('WHO GHO Data'!$AB$8:$AB$201,MATCH('HCW + Staff Summary'!$C146,'WHO GHO Data'!$C$8:$C$201,0)),INDEX('WHO GHO Data'!$AE$9:$AE$13,MATCH('HCW + Staff Summary'!$E146,'WHO GHO Data'!$AD$9:$AD$13,0))),"")</f>
        <v>3.8826597539593319E-2</v>
      </c>
      <c r="O146" s="29">
        <f>INDEX('WB Population Data'!$D$6:$D$269,MATCH($B146,'WB Population Data'!$B$6:$B$269,0))</f>
        <v>2142000</v>
      </c>
      <c r="P146" s="30">
        <f t="shared" si="8"/>
        <v>144.79919999999998</v>
      </c>
      <c r="Q146" s="29">
        <f t="shared" si="6"/>
        <v>856.80000000000007</v>
      </c>
      <c r="R146" s="29">
        <f>IFERROR(IFERROR(INDEX('WHO GHO Data'!$S$8:$S$201,MATCH($C146,'WHO GHO Data'!$C$8:$C$201,0)),($O146/1000*$K146)),IFERROR($O146/1000*VLOOKUP(E146,$W$9:$Y$12,3,0),0))</f>
        <v>6972.1331820274336</v>
      </c>
      <c r="S146" s="30">
        <f>IFERROR(IFERROR(INDEX('WHO GHO Data'!$U$8:$U$201,MATCH($C146,'WHO GHO Data'!$C$8:$C$201,0)),INDEX('WHO GHO Data'!$AE$9:$AE$13,MATCH($E146,'WHO GHO Data'!$AD$9:$AD$13,0))*'HCW + Staff Summary'!$O146/1000),"")</f>
        <v>83.166571929808882</v>
      </c>
    </row>
    <row r="147" spans="2:19" x14ac:dyDescent="0.75">
      <c r="B147" s="43" t="s">
        <v>435</v>
      </c>
      <c r="C147" s="43" t="s">
        <v>436</v>
      </c>
      <c r="D147" s="132" t="s">
        <v>1124</v>
      </c>
      <c r="E147" s="132" t="s">
        <v>750</v>
      </c>
      <c r="F147" s="132" t="str">
        <f t="shared" si="7"/>
        <v>Not LMIC</v>
      </c>
      <c r="G147" s="646">
        <f>INDEX('WB HCW &amp; Beds'!$C$558:$BO$821,MATCH($C147,'WB HCW &amp; Beds'!$C$558:$C$821,0),MATCH("Latest value",'WB HCW &amp; Beds'!$C$557:$BO$557,0))</f>
        <v>1.9456894274001637</v>
      </c>
      <c r="H147" s="647">
        <f>INDEX('WB HCW &amp; Beds'!$C$558:$BO$821,MATCH($C147,'WB HCW &amp; Beds'!$C$558:$C$821,0),MATCH("Latest year",'WB HCW &amp; Beds'!$C$557:$BO$557,0))</f>
        <v>2015</v>
      </c>
      <c r="I147" s="651">
        <f>INDEX('WB HCW &amp; Beds'!$C$286:$BP$561,MATCH($C147,'WB HCW &amp; Beds'!$C$286:$C$561,0),MATCH("Value",'WB HCW &amp; Beds'!$C$286:$BP$286,0))</f>
        <v>0.4</v>
      </c>
      <c r="J147" s="647" t="str">
        <f>'WB HCW &amp; Beds'!BO427</f>
        <v>No reported value</v>
      </c>
      <c r="K147" s="653">
        <f>'WB HCW &amp; Beds'!BN155</f>
        <v>3.6438938535158214</v>
      </c>
      <c r="L147" s="654">
        <f>'WB HCW &amp; Beds'!BO155</f>
        <v>2015</v>
      </c>
      <c r="M147" s="720" t="str">
        <f>IFERROR(IFERROR(INDEX('WHO GHO Data'!$AB$8:$AB$201,MATCH('HCW + Staff Summary'!$C147,'WHO GHO Data'!$C$8:$C$201,0)),INDEX('WHO GHO Data'!$AE$9:$AE$13,MATCH('HCW + Staff Summary'!$E147,'WHO GHO Data'!$AD$9:$AD$13,0))),"")</f>
        <v/>
      </c>
      <c r="O147" s="29">
        <f>INDEX('WB Population Data'!$D$6:$D$269,MATCH($B147,'WB Population Data'!$B$6:$B$269,0))</f>
        <v>2307681000</v>
      </c>
      <c r="P147" s="30">
        <f t="shared" si="8"/>
        <v>0</v>
      </c>
      <c r="Q147" s="29">
        <f t="shared" si="6"/>
        <v>923072.4</v>
      </c>
      <c r="R147" s="29">
        <f>IFERROR(IFERROR(INDEX('WHO GHO Data'!$S$8:$S$201,MATCH($C147,'WHO GHO Data'!$C$8:$C$201,0)),($O147/1000*$K147)),IFERROR($O147/1000*VLOOKUP(E147,$W$9:$Y$12,3,0),0))</f>
        <v>8408944.6117752437</v>
      </c>
      <c r="S147" s="30" t="str">
        <f>IFERROR(IFERROR(INDEX('WHO GHO Data'!$U$8:$U$201,MATCH($C147,'WHO GHO Data'!$C$8:$C$201,0)),INDEX('WHO GHO Data'!$AE$9:$AE$13,MATCH($E147,'WHO GHO Data'!$AD$9:$AD$13,0))*'HCW + Staff Summary'!$O147/1000),"")</f>
        <v/>
      </c>
    </row>
    <row r="148" spans="2:19" x14ac:dyDescent="0.75">
      <c r="B148" s="43" t="s">
        <v>450</v>
      </c>
      <c r="C148" s="43" t="s">
        <v>82</v>
      </c>
      <c r="D148" s="132" t="s">
        <v>1074</v>
      </c>
      <c r="E148" s="132" t="s">
        <v>411</v>
      </c>
      <c r="F148" s="132" t="str">
        <f t="shared" si="7"/>
        <v>Not LMIC</v>
      </c>
      <c r="G148" s="646">
        <f>INDEX('WB HCW &amp; Beds'!$C$558:$BO$821,MATCH($C148,'WB HCW &amp; Beds'!$C$558:$C$821,0),MATCH("Latest value",'WB HCW &amp; Beds'!$C$557:$BO$557,0))</f>
        <v>4.3369999999999997</v>
      </c>
      <c r="H148" s="647">
        <f>INDEX('WB HCW &amp; Beds'!$C$558:$BO$821,MATCH($C148,'WB HCW &amp; Beds'!$C$558:$C$821,0),MATCH("Latest year",'WB HCW &amp; Beds'!$C$557:$BO$557,0))</f>
        <v>2016</v>
      </c>
      <c r="I148" s="651">
        <f>INDEX('WB HCW &amp; Beds'!$C$286:$BP$561,MATCH($C148,'WB HCW &amp; Beds'!$C$286:$C$561,0),MATCH("Value",'WB HCW &amp; Beds'!$C$286:$BP$286,0))</f>
        <v>0.4</v>
      </c>
      <c r="J148" s="647" t="str">
        <f>'WB HCW &amp; Beds'!BO428</f>
        <v>No reported value</v>
      </c>
      <c r="K148" s="653">
        <f>'WB HCW &amp; Beds'!BN156</f>
        <v>7.9154999999999998</v>
      </c>
      <c r="L148" s="654">
        <f>'WB HCW &amp; Beds'!BO156</f>
        <v>2016</v>
      </c>
      <c r="M148" s="720">
        <f>IFERROR(IFERROR(INDEX('WHO GHO Data'!$AB$8:$AB$201,MATCH('HCW + Staff Summary'!$C148,'WHO GHO Data'!$C$8:$C$201,0)),INDEX('WHO GHO Data'!$AE$9:$AE$13,MATCH('HCW + Staff Summary'!$E148,'WHO GHO Data'!$AD$9:$AD$13,0))),"")</f>
        <v>0.54650004528486062</v>
      </c>
      <c r="O148" s="29">
        <f>INDEX('WB Population Data'!$D$6:$D$269,MATCH($B148,'WB Population Data'!$B$6:$B$269,0))</f>
        <v>2767000</v>
      </c>
      <c r="P148" s="30">
        <f t="shared" si="8"/>
        <v>12000.478999999999</v>
      </c>
      <c r="Q148" s="29">
        <f t="shared" si="6"/>
        <v>1106.8</v>
      </c>
      <c r="R148" s="29">
        <f>IFERROR(IFERROR(INDEX('WHO GHO Data'!$S$8:$S$201,MATCH($C148,'WHO GHO Data'!$C$8:$C$201,0)),($O148/1000*$K148)),IFERROR($O148/1000*VLOOKUP(E148,$W$9:$Y$12,3,0),0))</f>
        <v>25822.614320762517</v>
      </c>
      <c r="S148" s="30">
        <f>IFERROR(IFERROR(INDEX('WHO GHO Data'!$U$8:$U$201,MATCH($C148,'WHO GHO Data'!$C$8:$C$201,0)),INDEX('WHO GHO Data'!$AE$9:$AE$13,MATCH($E148,'WHO GHO Data'!$AD$9:$AD$13,0))*'HCW + Staff Summary'!$O148/1000),"")</f>
        <v>1512.1656253032093</v>
      </c>
    </row>
    <row r="149" spans="2:19" x14ac:dyDescent="0.75">
      <c r="B149" s="43" t="s">
        <v>457</v>
      </c>
      <c r="C149" s="43" t="s">
        <v>83</v>
      </c>
      <c r="D149" s="132" t="s">
        <v>1074</v>
      </c>
      <c r="E149" s="132" t="s">
        <v>411</v>
      </c>
      <c r="F149" s="132" t="str">
        <f t="shared" si="7"/>
        <v>Not LMIC</v>
      </c>
      <c r="G149" s="646">
        <f>INDEX('WB HCW &amp; Beds'!$C$558:$BO$821,MATCH($C149,'WB HCW &amp; Beds'!$C$558:$C$821,0),MATCH("Latest value",'WB HCW &amp; Beds'!$C$557:$BO$557,0))</f>
        <v>3.0266000000000002</v>
      </c>
      <c r="H149" s="647">
        <f>INDEX('WB HCW &amp; Beds'!$C$558:$BO$821,MATCH($C149,'WB HCW &amp; Beds'!$C$558:$C$821,0),MATCH("Latest year",'WB HCW &amp; Beds'!$C$557:$BO$557,0))</f>
        <v>2017</v>
      </c>
      <c r="I149" s="651">
        <f>INDEX('WB HCW &amp; Beds'!$C$286:$BP$561,MATCH($C149,'WB HCW &amp; Beds'!$C$286:$C$561,0),MATCH("Value",'WB HCW &amp; Beds'!$C$286:$BP$286,0))</f>
        <v>0.4</v>
      </c>
      <c r="J149" s="647" t="str">
        <f>'WB HCW &amp; Beds'!BO429</f>
        <v>No reported value</v>
      </c>
      <c r="K149" s="653">
        <f>'WB HCW &amp; Beds'!BN157</f>
        <v>12.349600000000001</v>
      </c>
      <c r="L149" s="654">
        <f>'WB HCW &amp; Beds'!BO157</f>
        <v>2017</v>
      </c>
      <c r="M149" s="720">
        <f>IFERROR(IFERROR(INDEX('WHO GHO Data'!$AB$8:$AB$201,MATCH('HCW + Staff Summary'!$C149,'WHO GHO Data'!$C$8:$C$201,0)),INDEX('WHO GHO Data'!$AE$9:$AE$13,MATCH('HCW + Staff Summary'!$E149,'WHO GHO Data'!$AD$9:$AD$13,0))),"")</f>
        <v>0.54650004528486062</v>
      </c>
      <c r="O149" s="29">
        <f>INDEX('WB Population Data'!$D$6:$D$269,MATCH($B149,'WB Population Data'!$B$6:$B$269,0))</f>
        <v>622000</v>
      </c>
      <c r="P149" s="30">
        <f t="shared" si="8"/>
        <v>1882.5452</v>
      </c>
      <c r="Q149" s="29">
        <f t="shared" si="6"/>
        <v>248.8</v>
      </c>
      <c r="R149" s="29">
        <f>IFERROR(IFERROR(INDEX('WHO GHO Data'!$S$8:$S$201,MATCH($C149,'WHO GHO Data'!$C$8:$C$201,0)),($O149/1000*$K149)),IFERROR($O149/1000*VLOOKUP(E149,$W$9:$Y$12,3,0),0))</f>
        <v>7472.2700153704163</v>
      </c>
      <c r="S149" s="30">
        <f>IFERROR(IFERROR(INDEX('WHO GHO Data'!$U$8:$U$201,MATCH($C149,'WHO GHO Data'!$C$8:$C$201,0)),INDEX('WHO GHO Data'!$AE$9:$AE$13,MATCH($E149,'WHO GHO Data'!$AD$9:$AD$13,0))*'HCW + Staff Summary'!$O149/1000),"")</f>
        <v>339.92302816718336</v>
      </c>
    </row>
    <row r="150" spans="2:19" x14ac:dyDescent="0.75">
      <c r="B150" s="43" t="s">
        <v>443</v>
      </c>
      <c r="C150" s="43" t="s">
        <v>84</v>
      </c>
      <c r="D150" s="132" t="s">
        <v>1074</v>
      </c>
      <c r="E150" s="132" t="s">
        <v>411</v>
      </c>
      <c r="F150" s="132" t="str">
        <f t="shared" si="7"/>
        <v>Not LMIC</v>
      </c>
      <c r="G150" s="646">
        <f>INDEX('WB HCW &amp; Beds'!$C$558:$BO$821,MATCH($C150,'WB HCW &amp; Beds'!$C$558:$C$821,0),MATCH("Latest value",'WB HCW &amp; Beds'!$C$557:$BO$557,0))</f>
        <v>3.1945999999999999</v>
      </c>
      <c r="H150" s="647">
        <f>INDEX('WB HCW &amp; Beds'!$C$558:$BO$821,MATCH($C150,'WB HCW &amp; Beds'!$C$558:$C$821,0),MATCH("Latest year",'WB HCW &amp; Beds'!$C$557:$BO$557,0))</f>
        <v>2016</v>
      </c>
      <c r="I150" s="651">
        <f>INDEX('WB HCW &amp; Beds'!$C$286:$BP$561,MATCH($C150,'WB HCW &amp; Beds'!$C$286:$C$561,0),MATCH("Value",'WB HCW &amp; Beds'!$C$286:$BP$286,0))</f>
        <v>0.4</v>
      </c>
      <c r="J150" s="647" t="str">
        <f>'WB HCW &amp; Beds'!BO430</f>
        <v>No reported value</v>
      </c>
      <c r="K150" s="653">
        <f>'WB HCW &amp; Beds'!BN158</f>
        <v>4.8155000000000001</v>
      </c>
      <c r="L150" s="654">
        <f>'WB HCW &amp; Beds'!BO158</f>
        <v>2016</v>
      </c>
      <c r="M150" s="720">
        <f>IFERROR(IFERROR(INDEX('WHO GHO Data'!$AB$8:$AB$201,MATCH('HCW + Staff Summary'!$C150,'WHO GHO Data'!$C$8:$C$201,0)),INDEX('WHO GHO Data'!$AE$9:$AE$13,MATCH('HCW + Staff Summary'!$E150,'WHO GHO Data'!$AD$9:$AD$13,0))),"")</f>
        <v>0.54650004528486062</v>
      </c>
      <c r="O150" s="29">
        <f>INDEX('WB Population Data'!$D$6:$D$269,MATCH($B150,'WB Population Data'!$B$6:$B$269,0))</f>
        <v>1905000</v>
      </c>
      <c r="P150" s="30">
        <f t="shared" si="8"/>
        <v>6085.7129999999997</v>
      </c>
      <c r="Q150" s="29">
        <f t="shared" si="6"/>
        <v>762</v>
      </c>
      <c r="R150" s="29">
        <f>IFERROR(IFERROR(INDEX('WHO GHO Data'!$S$8:$S$201,MATCH($C150,'WHO GHO Data'!$C$8:$C$201,0)),($O150/1000*$K150)),IFERROR($O150/1000*VLOOKUP(E150,$W$9:$Y$12,3,0),0))</f>
        <v>8641.2773913903657</v>
      </c>
      <c r="S150" s="30">
        <f>IFERROR(IFERROR(INDEX('WHO GHO Data'!$U$8:$U$201,MATCH($C150,'WHO GHO Data'!$C$8:$C$201,0)),INDEX('WHO GHO Data'!$AE$9:$AE$13,MATCH($E150,'WHO GHO Data'!$AD$9:$AD$13,0))*'HCW + Staff Summary'!$O150/1000),"")</f>
        <v>1041.0825862676595</v>
      </c>
    </row>
    <row r="151" spans="2:19" x14ac:dyDescent="0.75">
      <c r="B151" s="43" t="s">
        <v>458</v>
      </c>
      <c r="C151" s="43" t="s">
        <v>459</v>
      </c>
      <c r="D151" s="132" t="s">
        <v>1124</v>
      </c>
      <c r="E151" s="132" t="s">
        <v>411</v>
      </c>
      <c r="F151" s="132" t="str">
        <f t="shared" si="7"/>
        <v>Not LMIC</v>
      </c>
      <c r="G151" s="646">
        <f>INDEX('WB HCW &amp; Beds'!$C$558:$BO$821,MATCH($C151,'WB HCW &amp; Beds'!$C$558:$C$821,0),MATCH("Latest value",'WB HCW &amp; Beds'!$C$557:$BO$557,0))</f>
        <v>1.5620000000000001</v>
      </c>
      <c r="H151" s="647">
        <f>INDEX('WB HCW &amp; Beds'!$C$558:$BO$821,MATCH($C151,'WB HCW &amp; Beds'!$C$558:$C$821,0),MATCH("Latest year",'WB HCW &amp; Beds'!$C$557:$BO$557,0))</f>
        <v>1987</v>
      </c>
      <c r="I151" s="651">
        <f>INDEX('WB HCW &amp; Beds'!$C$286:$BP$561,MATCH($C151,'WB HCW &amp; Beds'!$C$286:$C$561,0),MATCH("Value",'WB HCW &amp; Beds'!$C$286:$BP$286,0))</f>
        <v>0.4</v>
      </c>
      <c r="J151" s="647" t="str">
        <f>'WB HCW &amp; Beds'!BO431</f>
        <v>No reported value</v>
      </c>
      <c r="K151" s="653" t="str">
        <f>'WB HCW &amp; Beds'!BN159</f>
        <v>No reported value</v>
      </c>
      <c r="L151" s="654" t="str">
        <f>'WB HCW &amp; Beds'!BO159</f>
        <v>No reported value</v>
      </c>
      <c r="M151" s="720">
        <f>IFERROR(IFERROR(INDEX('WHO GHO Data'!$AB$8:$AB$201,MATCH('HCW + Staff Summary'!$C151,'WHO GHO Data'!$C$8:$C$201,0)),INDEX('WHO GHO Data'!$AE$9:$AE$13,MATCH('HCW + Staff Summary'!$E151,'WHO GHO Data'!$AD$9:$AD$13,0))),"")</f>
        <v>0.54650004528486062</v>
      </c>
      <c r="O151" s="29">
        <f>INDEX('WB Population Data'!$D$6:$D$269,MATCH($B151,'WB Population Data'!$B$6:$B$269,0))</f>
        <v>649000</v>
      </c>
      <c r="P151" s="30">
        <f t="shared" si="8"/>
        <v>1013.7380000000001</v>
      </c>
      <c r="Q151" s="29">
        <f t="shared" si="6"/>
        <v>259.60000000000002</v>
      </c>
      <c r="R151" s="29">
        <f>IFERROR(IFERROR(INDEX('WHO GHO Data'!$S$8:$S$201,MATCH($C151,'WHO GHO Data'!$C$8:$C$201,0)),($O151/1000*$K151)),IFERROR($O151/1000*VLOOKUP(E151,$W$9:$Y$12,3,0),0))</f>
        <v>5115.6641724137944</v>
      </c>
      <c r="S151" s="30">
        <f>IFERROR(IFERROR(INDEX('WHO GHO Data'!$U$8:$U$201,MATCH($C151,'WHO GHO Data'!$C$8:$C$201,0)),INDEX('WHO GHO Data'!$AE$9:$AE$13,MATCH($E151,'WHO GHO Data'!$AD$9:$AD$13,0))*'HCW + Staff Summary'!$O151/1000),"")</f>
        <v>354.67852938987454</v>
      </c>
    </row>
    <row r="152" spans="2:19" x14ac:dyDescent="0.75">
      <c r="B152" s="43" t="s">
        <v>534</v>
      </c>
      <c r="C152" s="43" t="s">
        <v>535</v>
      </c>
      <c r="D152" s="132" t="s">
        <v>1124</v>
      </c>
      <c r="E152" s="132" t="s">
        <v>411</v>
      </c>
      <c r="F152" s="132" t="str">
        <f t="shared" si="7"/>
        <v>Not LMIC</v>
      </c>
      <c r="G152" s="646" t="str">
        <f>INDEX('WB HCW &amp; Beds'!$C$558:$BO$821,MATCH($C152,'WB HCW &amp; Beds'!$C$558:$C$821,0),MATCH("Latest value",'WB HCW &amp; Beds'!$C$557:$BO$557,0))</f>
        <v>No reported value</v>
      </c>
      <c r="H152" s="647" t="str">
        <f>INDEX('WB HCW &amp; Beds'!$C$558:$BO$821,MATCH($C152,'WB HCW &amp; Beds'!$C$558:$C$821,0),MATCH("Latest year",'WB HCW &amp; Beds'!$C$557:$BO$557,0))</f>
        <v>No reported value</v>
      </c>
      <c r="I152" s="651">
        <f>INDEX('WB HCW &amp; Beds'!$C$286:$BP$561,MATCH($C152,'WB HCW &amp; Beds'!$C$286:$C$561,0),MATCH("Value",'WB HCW &amp; Beds'!$C$286:$BP$286,0))</f>
        <v>0.4</v>
      </c>
      <c r="J152" s="647" t="str">
        <f>'WB HCW &amp; Beds'!BO432</f>
        <v>No reported value</v>
      </c>
      <c r="K152" s="653" t="str">
        <f>'WB HCW &amp; Beds'!BN160</f>
        <v>No reported value</v>
      </c>
      <c r="L152" s="654" t="str">
        <f>'WB HCW &amp; Beds'!BO160</f>
        <v>No reported value</v>
      </c>
      <c r="M152" s="720">
        <f>IFERROR(IFERROR(INDEX('WHO GHO Data'!$AB$8:$AB$201,MATCH('HCW + Staff Summary'!$C152,'WHO GHO Data'!$C$8:$C$201,0)),INDEX('WHO GHO Data'!$AE$9:$AE$13,MATCH('HCW + Staff Summary'!$E152,'WHO GHO Data'!$AD$9:$AD$13,0))),"")</f>
        <v>0.54650004528486062</v>
      </c>
      <c r="O152" s="29">
        <f>INDEX('WB Population Data'!$D$6:$D$269,MATCH($B152,'WB Population Data'!$B$6:$B$269,0))</f>
        <v>32556</v>
      </c>
      <c r="P152" s="30">
        <f t="shared" si="8"/>
        <v>91.213887633802813</v>
      </c>
      <c r="Q152" s="29">
        <f t="shared" si="6"/>
        <v>13.022399999999999</v>
      </c>
      <c r="R152" s="29">
        <f>IFERROR(IFERROR(INDEX('WHO GHO Data'!$S$8:$S$201,MATCH($C152,'WHO GHO Data'!$C$8:$C$201,0)),($O152/1000*$K152)),IFERROR($O152/1000*VLOOKUP(E152,$W$9:$Y$12,3,0),0))</f>
        <v>256.61874082758624</v>
      </c>
      <c r="S152" s="30">
        <f>IFERROR(IFERROR(INDEX('WHO GHO Data'!$U$8:$U$201,MATCH($C152,'WHO GHO Data'!$C$8:$C$201,0)),INDEX('WHO GHO Data'!$AE$9:$AE$13,MATCH($E152,'WHO GHO Data'!$AD$9:$AD$13,0))*'HCW + Staff Summary'!$O152/1000),"")</f>
        <v>17.791855474293921</v>
      </c>
    </row>
    <row r="153" spans="2:19" x14ac:dyDescent="0.75">
      <c r="B153" s="43" t="s">
        <v>477</v>
      </c>
      <c r="C153" s="43" t="s">
        <v>85</v>
      </c>
      <c r="D153" s="132" t="s">
        <v>1072</v>
      </c>
      <c r="E153" s="132" t="s">
        <v>455</v>
      </c>
      <c r="F153" s="132" t="str">
        <f t="shared" si="7"/>
        <v>LMIC</v>
      </c>
      <c r="G153" s="646">
        <f>INDEX('WB HCW &amp; Beds'!$C$558:$BO$821,MATCH($C153,'WB HCW &amp; Beds'!$C$558:$C$821,0),MATCH("Latest value",'WB HCW &amp; Beds'!$C$557:$BO$557,0))</f>
        <v>0.72729999999999995</v>
      </c>
      <c r="H153" s="647">
        <f>INDEX('WB HCW &amp; Beds'!$C$558:$BO$821,MATCH($C153,'WB HCW &amp; Beds'!$C$558:$C$821,0),MATCH("Latest year",'WB HCW &amp; Beds'!$C$557:$BO$557,0))</f>
        <v>2017</v>
      </c>
      <c r="I153" s="651">
        <f>INDEX('WB HCW &amp; Beds'!$C$286:$BP$561,MATCH($C153,'WB HCW &amp; Beds'!$C$286:$C$561,0),MATCH("Value",'WB HCW &amp; Beds'!$C$286:$BP$286,0))</f>
        <v>0.4</v>
      </c>
      <c r="J153" s="647" t="str">
        <f>'WB HCW &amp; Beds'!BO433</f>
        <v>No reported value</v>
      </c>
      <c r="K153" s="653">
        <f>'WB HCW &amp; Beds'!BN161</f>
        <v>1.0979000000000001</v>
      </c>
      <c r="L153" s="654">
        <f>'WB HCW &amp; Beds'!BO161</f>
        <v>2017</v>
      </c>
      <c r="M153" s="720">
        <f>IFERROR(IFERROR(INDEX('WHO GHO Data'!$AB$8:$AB$201,MATCH('HCW + Staff Summary'!$C153,'WHO GHO Data'!$C$8:$C$201,0)),INDEX('WHO GHO Data'!$AE$9:$AE$13,MATCH('HCW + Staff Summary'!$E153,'WHO GHO Data'!$AD$9:$AD$13,0))),"")</f>
        <v>4.1855251095392287E-2</v>
      </c>
      <c r="O153" s="29">
        <f>INDEX('WB Population Data'!$D$6:$D$269,MATCH($B153,'WB Population Data'!$B$6:$B$269,0))</f>
        <v>36911000</v>
      </c>
      <c r="P153" s="30">
        <f t="shared" si="8"/>
        <v>26845.370299999999</v>
      </c>
      <c r="Q153" s="29">
        <f t="shared" si="6"/>
        <v>14764.400000000001</v>
      </c>
      <c r="R153" s="29">
        <f>IFERROR(IFERROR(INDEX('WHO GHO Data'!$S$8:$S$201,MATCH($C153,'WHO GHO Data'!$C$8:$C$201,0)),($O153/1000*$K153)),IFERROR($O153/1000*VLOOKUP(E153,$W$9:$Y$12,3,0),0))</f>
        <v>47154.886494039361</v>
      </c>
      <c r="S153" s="30">
        <f>IFERROR(IFERROR(INDEX('WHO GHO Data'!$U$8:$U$201,MATCH($C153,'WHO GHO Data'!$C$8:$C$201,0)),INDEX('WHO GHO Data'!$AE$9:$AE$13,MATCH($E153,'WHO GHO Data'!$AD$9:$AD$13,0))*'HCW + Staff Summary'!$O153/1000),"")</f>
        <v>1544.9191731820247</v>
      </c>
    </row>
    <row r="154" spans="2:19" x14ac:dyDescent="0.75">
      <c r="B154" s="43" t="s">
        <v>475</v>
      </c>
      <c r="C154" s="43" t="s">
        <v>86</v>
      </c>
      <c r="D154" s="132" t="s">
        <v>1074</v>
      </c>
      <c r="E154" s="132" t="s">
        <v>411</v>
      </c>
      <c r="F154" s="132" t="str">
        <f t="shared" si="7"/>
        <v>Not LMIC</v>
      </c>
      <c r="G154" s="646">
        <f>INDEX('WB HCW &amp; Beds'!$C$558:$BO$821,MATCH($C154,'WB HCW &amp; Beds'!$C$558:$C$821,0),MATCH("Latest value",'WB HCW &amp; Beds'!$C$557:$BO$557,0))</f>
        <v>6.5617000000000001</v>
      </c>
      <c r="H154" s="647">
        <f>INDEX('WB HCW &amp; Beds'!$C$558:$BO$821,MATCH($C154,'WB HCW &amp; Beds'!$C$558:$C$821,0),MATCH("Latest year",'WB HCW &amp; Beds'!$C$557:$BO$557,0))</f>
        <v>2014</v>
      </c>
      <c r="I154" s="651">
        <f>INDEX('WB HCW &amp; Beds'!$C$286:$BP$561,MATCH($C154,'WB HCW &amp; Beds'!$C$286:$C$561,0),MATCH("Value",'WB HCW &amp; Beds'!$C$286:$BP$286,0))</f>
        <v>0.4</v>
      </c>
      <c r="J154" s="647" t="str">
        <f>'WB HCW &amp; Beds'!BO434</f>
        <v>No reported value</v>
      </c>
      <c r="K154" s="653">
        <f>'WB HCW &amp; Beds'!BN162</f>
        <v>20.262499999999999</v>
      </c>
      <c r="L154" s="654">
        <f>'WB HCW &amp; Beds'!BO162</f>
        <v>2014</v>
      </c>
      <c r="M154" s="720">
        <f>IFERROR(IFERROR(INDEX('WHO GHO Data'!$AB$8:$AB$201,MATCH('HCW + Staff Summary'!$C154,'WHO GHO Data'!$C$8:$C$201,0)),INDEX('WHO GHO Data'!$AE$9:$AE$13,MATCH('HCW + Staff Summary'!$E154,'WHO GHO Data'!$AD$9:$AD$13,0))),"")</f>
        <v>0.54650004528486062</v>
      </c>
      <c r="O154" s="29">
        <f>INDEX('WB Population Data'!$D$6:$D$269,MATCH($B154,'WB Population Data'!$B$6:$B$269,0))</f>
        <v>39000</v>
      </c>
      <c r="P154" s="30">
        <f t="shared" si="8"/>
        <v>255.90630000000002</v>
      </c>
      <c r="Q154" s="29">
        <f t="shared" si="6"/>
        <v>15.600000000000001</v>
      </c>
      <c r="R154" s="29">
        <f>IFERROR(IFERROR(INDEX('WHO GHO Data'!$S$8:$S$201,MATCH($C154,'WHO GHO Data'!$C$8:$C$201,0)),($O154/1000*$K154)),IFERROR($O154/1000*VLOOKUP(E154,$W$9:$Y$12,3,0),0))</f>
        <v>774.39217719371266</v>
      </c>
      <c r="S154" s="30">
        <f>IFERROR(IFERROR(INDEX('WHO GHO Data'!$U$8:$U$201,MATCH($C154,'WHO GHO Data'!$C$8:$C$201,0)),INDEX('WHO GHO Data'!$AE$9:$AE$13,MATCH($E154,'WHO GHO Data'!$AD$9:$AD$13,0))*'HCW + Staff Summary'!$O154/1000),"")</f>
        <v>21.313501766109564</v>
      </c>
    </row>
    <row r="155" spans="2:19" x14ac:dyDescent="0.75">
      <c r="B155" s="43" t="s">
        <v>474</v>
      </c>
      <c r="C155" s="43" t="s">
        <v>87</v>
      </c>
      <c r="D155" s="132" t="s">
        <v>1074</v>
      </c>
      <c r="E155" s="132" t="s">
        <v>455</v>
      </c>
      <c r="F155" s="132" t="str">
        <f t="shared" si="7"/>
        <v>LMIC</v>
      </c>
      <c r="G155" s="646">
        <f>INDEX('WB HCW &amp; Beds'!$C$558:$BO$821,MATCH($C155,'WB HCW &amp; Beds'!$C$558:$C$821,0),MATCH("Latest value",'WB HCW &amp; Beds'!$C$557:$BO$557,0))</f>
        <v>3.2002000000000002</v>
      </c>
      <c r="H155" s="647">
        <f>INDEX('WB HCW &amp; Beds'!$C$558:$BO$821,MATCH($C155,'WB HCW &amp; Beds'!$C$558:$C$821,0),MATCH("Latest year",'WB HCW &amp; Beds'!$C$557:$BO$557,0))</f>
        <v>2015</v>
      </c>
      <c r="I155" s="651">
        <f>INDEX('WB HCW &amp; Beds'!$C$286:$BP$561,MATCH($C155,'WB HCW &amp; Beds'!$C$286:$C$561,0),MATCH("Value",'WB HCW &amp; Beds'!$C$286:$BP$286,0))</f>
        <v>0.4</v>
      </c>
      <c r="J155" s="647" t="str">
        <f>'WB HCW &amp; Beds'!BO435</f>
        <v>No reported value</v>
      </c>
      <c r="K155" s="653">
        <f>'WB HCW &amp; Beds'!BN163</f>
        <v>4.5113000000000003</v>
      </c>
      <c r="L155" s="654">
        <f>'WB HCW &amp; Beds'!BO163</f>
        <v>2015</v>
      </c>
      <c r="M155" s="720">
        <f>IFERROR(IFERROR(INDEX('WHO GHO Data'!$AB$8:$AB$201,MATCH('HCW + Staff Summary'!$C155,'WHO GHO Data'!$C$8:$C$201,0)),INDEX('WHO GHO Data'!$AE$9:$AE$13,MATCH('HCW + Staff Summary'!$E155,'WHO GHO Data'!$AD$9:$AD$13,0))),"")</f>
        <v>5.024857416304612</v>
      </c>
      <c r="O155" s="29">
        <f>INDEX('WB Population Data'!$D$6:$D$269,MATCH($B155,'WB Population Data'!$B$6:$B$269,0))</f>
        <v>3525000</v>
      </c>
      <c r="P155" s="30">
        <f t="shared" si="8"/>
        <v>11280.705</v>
      </c>
      <c r="Q155" s="29">
        <f t="shared" si="6"/>
        <v>1410</v>
      </c>
      <c r="R155" s="29">
        <f>IFERROR(IFERROR(INDEX('WHO GHO Data'!$S$8:$S$201,MATCH($C155,'WHO GHO Data'!$C$8:$C$201,0)),($O155/1000*$K155)),IFERROR($O155/1000*VLOOKUP(E155,$W$9:$Y$12,3,0),0))</f>
        <v>19269.660244745104</v>
      </c>
      <c r="S155" s="30">
        <f>IFERROR(IFERROR(INDEX('WHO GHO Data'!$U$8:$U$201,MATCH($C155,'WHO GHO Data'!$C$8:$C$201,0)),INDEX('WHO GHO Data'!$AE$9:$AE$13,MATCH($E155,'WHO GHO Data'!$AD$9:$AD$13,0))*'HCW + Staff Summary'!$O155/1000),"")</f>
        <v>17712.622392473757</v>
      </c>
    </row>
    <row r="156" spans="2:19" x14ac:dyDescent="0.75">
      <c r="B156" s="43" t="s">
        <v>202</v>
      </c>
      <c r="C156" s="43" t="s">
        <v>88</v>
      </c>
      <c r="D156" s="132" t="s">
        <v>1073</v>
      </c>
      <c r="E156" s="132" t="s">
        <v>453</v>
      </c>
      <c r="F156" s="132" t="str">
        <f t="shared" si="7"/>
        <v>LMIC</v>
      </c>
      <c r="G156" s="646">
        <f>INDEX('WB HCW &amp; Beds'!$C$558:$BO$821,MATCH($C156,'WB HCW &amp; Beds'!$C$558:$C$821,0),MATCH("Latest value",'WB HCW &amp; Beds'!$C$557:$BO$557,0))</f>
        <v>0.1812</v>
      </c>
      <c r="H156" s="647">
        <f>INDEX('WB HCW &amp; Beds'!$C$558:$BO$821,MATCH($C156,'WB HCW &amp; Beds'!$C$558:$C$821,0),MATCH("Latest year",'WB HCW &amp; Beds'!$C$557:$BO$557,0))</f>
        <v>2014</v>
      </c>
      <c r="I156" s="651">
        <f>INDEX('WB HCW &amp; Beds'!$C$286:$BP$561,MATCH($C156,'WB HCW &amp; Beds'!$C$286:$C$561,0),MATCH("Value",'WB HCW &amp; Beds'!$C$286:$BP$286,0))</f>
        <v>0.4</v>
      </c>
      <c r="J156" s="647" t="str">
        <f>'WB HCW &amp; Beds'!BO436</f>
        <v>No reported value</v>
      </c>
      <c r="K156" s="653">
        <f>'WB HCW &amp; Beds'!BN164</f>
        <v>0.10589999999999999</v>
      </c>
      <c r="L156" s="654">
        <f>'WB HCW &amp; Beds'!BO164</f>
        <v>2014</v>
      </c>
      <c r="M156" s="720">
        <f>IFERROR(IFERROR(INDEX('WHO GHO Data'!$AB$8:$AB$201,MATCH('HCW + Staff Summary'!$C156,'WHO GHO Data'!$C$8:$C$201,0)),INDEX('WHO GHO Data'!$AE$9:$AE$13,MATCH('HCW + Staff Summary'!$E156,'WHO GHO Data'!$AD$9:$AD$13,0))),"")</f>
        <v>9.849709954994014E-2</v>
      </c>
      <c r="O156" s="29">
        <f>INDEX('WB Population Data'!$D$6:$D$269,MATCH($B156,'WB Population Data'!$B$6:$B$269,0))</f>
        <v>27691000</v>
      </c>
      <c r="P156" s="30">
        <f t="shared" si="8"/>
        <v>5017.6091999999999</v>
      </c>
      <c r="Q156" s="29">
        <f t="shared" si="6"/>
        <v>11076.400000000001</v>
      </c>
      <c r="R156" s="29">
        <f>IFERROR(IFERROR(INDEX('WHO GHO Data'!$S$8:$S$201,MATCH($C156,'WHO GHO Data'!$C$8:$C$201,0)),($O156/1000*$K156)),IFERROR($O156/1000*VLOOKUP(E156,$W$9:$Y$12,3,0),0))</f>
        <v>4041.7196094441274</v>
      </c>
      <c r="S156" s="30">
        <f>IFERROR(IFERROR(INDEX('WHO GHO Data'!$U$8:$U$201,MATCH($C156,'WHO GHO Data'!$C$8:$C$201,0)),INDEX('WHO GHO Data'!$AE$9:$AE$13,MATCH($E156,'WHO GHO Data'!$AD$9:$AD$13,0))*'HCW + Staff Summary'!$O156/1000),"")</f>
        <v>2727.4831836373924</v>
      </c>
    </row>
    <row r="157" spans="2:19" x14ac:dyDescent="0.75">
      <c r="B157" s="43" t="s">
        <v>243</v>
      </c>
      <c r="C157" s="43" t="s">
        <v>89</v>
      </c>
      <c r="D157" s="132" t="s">
        <v>1077</v>
      </c>
      <c r="E157" s="132" t="s">
        <v>558</v>
      </c>
      <c r="F157" s="132" t="str">
        <f t="shared" si="7"/>
        <v>LMIC</v>
      </c>
      <c r="G157" s="646">
        <f>INDEX('WB HCW &amp; Beds'!$C$558:$BO$821,MATCH($C157,'WB HCW &amp; Beds'!$C$558:$C$821,0),MATCH("Latest value",'WB HCW &amp; Beds'!$C$557:$BO$557,0))</f>
        <v>1.0379</v>
      </c>
      <c r="H157" s="647">
        <f>INDEX('WB HCW &amp; Beds'!$C$558:$BO$821,MATCH($C157,'WB HCW &amp; Beds'!$C$558:$C$821,0),MATCH("Latest year",'WB HCW &amp; Beds'!$C$557:$BO$557,0))</f>
        <v>2016</v>
      </c>
      <c r="I157" s="651">
        <f>INDEX('WB HCW &amp; Beds'!$C$286:$BP$561,MATCH($C157,'WB HCW &amp; Beds'!$C$286:$C$561,0),MATCH("Value",'WB HCW &amp; Beds'!$C$286:$BP$286,0))</f>
        <v>1.4239999999999999</v>
      </c>
      <c r="J157" s="647">
        <f>'WB HCW &amp; Beds'!BO437</f>
        <v>2014</v>
      </c>
      <c r="K157" s="653">
        <f>'WB HCW &amp; Beds'!BN165</f>
        <v>3.9504000000000001</v>
      </c>
      <c r="L157" s="654">
        <f>'WB HCW &amp; Beds'!BO165</f>
        <v>2016</v>
      </c>
      <c r="M157" s="720">
        <f>IFERROR(IFERROR(INDEX('WHO GHO Data'!$AB$8:$AB$201,MATCH('HCW + Staff Summary'!$C157,'WHO GHO Data'!$C$8:$C$201,0)),INDEX('WHO GHO Data'!$AE$9:$AE$13,MATCH('HCW + Staff Summary'!$E157,'WHO GHO Data'!$AD$9:$AD$13,0))),"")</f>
        <v>0.48877917772646945</v>
      </c>
      <c r="O157" s="29">
        <f>INDEX('WB Population Data'!$D$6:$D$269,MATCH($B157,'WB Population Data'!$B$6:$B$269,0))</f>
        <v>541000</v>
      </c>
      <c r="P157" s="30">
        <f t="shared" si="8"/>
        <v>561.50390000000004</v>
      </c>
      <c r="Q157" s="29">
        <f t="shared" si="6"/>
        <v>770.38400000000001</v>
      </c>
      <c r="R157" s="29">
        <f>IFERROR(IFERROR(INDEX('WHO GHO Data'!$S$8:$S$201,MATCH($C157,'WHO GHO Data'!$C$8:$C$201,0)),($O157/1000*$K157)),IFERROR($O157/1000*VLOOKUP(E157,$W$9:$Y$12,3,0),0))</f>
        <v>3607.3411893922475</v>
      </c>
      <c r="S157" s="30">
        <f>IFERROR(IFERROR(INDEX('WHO GHO Data'!$U$8:$U$201,MATCH($C157,'WHO GHO Data'!$C$8:$C$201,0)),INDEX('WHO GHO Data'!$AE$9:$AE$13,MATCH($E157,'WHO GHO Data'!$AD$9:$AD$13,0))*'HCW + Staff Summary'!$O157/1000),"")</f>
        <v>264.42953515001994</v>
      </c>
    </row>
    <row r="158" spans="2:19" x14ac:dyDescent="0.75">
      <c r="B158" s="43" t="s">
        <v>466</v>
      </c>
      <c r="C158" s="43" t="s">
        <v>467</v>
      </c>
      <c r="D158" s="132" t="s">
        <v>1124</v>
      </c>
      <c r="E158" s="132" t="s">
        <v>750</v>
      </c>
      <c r="F158" s="132" t="str">
        <f t="shared" si="7"/>
        <v>Not LMIC</v>
      </c>
      <c r="G158" s="646">
        <f>INDEX('WB HCW &amp; Beds'!$C$558:$BO$821,MATCH($C158,'WB HCW &amp; Beds'!$C$558:$C$821,0),MATCH("Latest value",'WB HCW &amp; Beds'!$C$557:$BO$557,0))</f>
        <v>1.2594005996531696</v>
      </c>
      <c r="H158" s="647">
        <f>INDEX('WB HCW &amp; Beds'!$C$558:$BO$821,MATCH($C158,'WB HCW &amp; Beds'!$C$558:$C$821,0),MATCH("Latest year",'WB HCW &amp; Beds'!$C$557:$BO$557,0))</f>
        <v>2015</v>
      </c>
      <c r="I158" s="651">
        <f>INDEX('WB HCW &amp; Beds'!$C$286:$BP$561,MATCH($C158,'WB HCW &amp; Beds'!$C$286:$C$561,0),MATCH("Value",'WB HCW &amp; Beds'!$C$286:$BP$286,0))</f>
        <v>0.4</v>
      </c>
      <c r="J158" s="647" t="str">
        <f>'WB HCW &amp; Beds'!BO438</f>
        <v>No reported value</v>
      </c>
      <c r="K158" s="653">
        <f>'WB HCW &amp; Beds'!BN166</f>
        <v>2.3152418654853513</v>
      </c>
      <c r="L158" s="654">
        <f>'WB HCW &amp; Beds'!BO166</f>
        <v>2015</v>
      </c>
      <c r="M158" s="720" t="str">
        <f>IFERROR(IFERROR(INDEX('WHO GHO Data'!$AB$8:$AB$201,MATCH('HCW + Staff Summary'!$C158,'WHO GHO Data'!$C$8:$C$201,0)),INDEX('WHO GHO Data'!$AE$9:$AE$13,MATCH('HCW + Staff Summary'!$E158,'WHO GHO Data'!$AD$9:$AD$13,0))),"")</f>
        <v/>
      </c>
      <c r="O158" s="29">
        <f>INDEX('WB Population Data'!$D$6:$D$269,MATCH($B158,'WB Population Data'!$B$6:$B$269,0))</f>
        <v>464460000</v>
      </c>
      <c r="P158" s="30">
        <f t="shared" si="8"/>
        <v>0</v>
      </c>
      <c r="Q158" s="29">
        <f t="shared" si="6"/>
        <v>185784</v>
      </c>
      <c r="R158" s="29">
        <f>IFERROR(IFERROR(INDEX('WHO GHO Data'!$S$8:$S$201,MATCH($C158,'WHO GHO Data'!$C$8:$C$201,0)),($O158/1000*$K158)),IFERROR($O158/1000*VLOOKUP(E158,$W$9:$Y$12,3,0),0))</f>
        <v>1075337.2368433264</v>
      </c>
      <c r="S158" s="30" t="str">
        <f>IFERROR(IFERROR(INDEX('WHO GHO Data'!$U$8:$U$201,MATCH($C158,'WHO GHO Data'!$C$8:$C$201,0)),INDEX('WHO GHO Data'!$AE$9:$AE$13,MATCH($E158,'WHO GHO Data'!$AD$9:$AD$13,0))*'HCW + Staff Summary'!$O158/1000),"")</f>
        <v/>
      </c>
    </row>
    <row r="159" spans="2:19" x14ac:dyDescent="0.75">
      <c r="B159" s="43" t="s">
        <v>463</v>
      </c>
      <c r="C159" s="43" t="s">
        <v>90</v>
      </c>
      <c r="D159" s="132" t="s">
        <v>1075</v>
      </c>
      <c r="E159" s="132" t="s">
        <v>558</v>
      </c>
      <c r="F159" s="132" t="str">
        <f t="shared" si="7"/>
        <v>LMIC</v>
      </c>
      <c r="G159" s="646">
        <f>INDEX('WB HCW &amp; Beds'!$C$558:$BO$821,MATCH($C159,'WB HCW &amp; Beds'!$C$558:$C$821,0),MATCH("Latest value",'WB HCW &amp; Beds'!$C$557:$BO$557,0))</f>
        <v>2.2477999999999998</v>
      </c>
      <c r="H159" s="647">
        <f>INDEX('WB HCW &amp; Beds'!$C$558:$BO$821,MATCH($C159,'WB HCW &amp; Beds'!$C$558:$C$821,0),MATCH("Latest year",'WB HCW &amp; Beds'!$C$557:$BO$557,0))</f>
        <v>2016</v>
      </c>
      <c r="I159" s="651">
        <f>INDEX('WB HCW &amp; Beds'!$C$286:$BP$561,MATCH($C159,'WB HCW &amp; Beds'!$C$286:$C$561,0),MATCH("Value",'WB HCW &amp; Beds'!$C$286:$BP$286,0))</f>
        <v>0.4</v>
      </c>
      <c r="J159" s="647" t="str">
        <f>'WB HCW &amp; Beds'!BO439</f>
        <v>No reported value</v>
      </c>
      <c r="K159" s="653">
        <f>'WB HCW &amp; Beds'!BN167</f>
        <v>2.9</v>
      </c>
      <c r="L159" s="654">
        <f>'WB HCW &amp; Beds'!BO167</f>
        <v>2016</v>
      </c>
      <c r="M159" s="720">
        <f>IFERROR(IFERROR(INDEX('WHO GHO Data'!$AB$8:$AB$201,MATCH('HCW + Staff Summary'!$C159,'WHO GHO Data'!$C$8:$C$201,0)),INDEX('WHO GHO Data'!$AE$9:$AE$13,MATCH('HCW + Staff Summary'!$E159,'WHO GHO Data'!$AD$9:$AD$13,0))),"")</f>
        <v>0.18944682993167425</v>
      </c>
      <c r="O159" s="29">
        <f>INDEX('WB Population Data'!$D$6:$D$269,MATCH($B159,'WB Population Data'!$B$6:$B$269,0))</f>
        <v>128933000</v>
      </c>
      <c r="P159" s="30">
        <f t="shared" si="8"/>
        <v>289815.59739999997</v>
      </c>
      <c r="Q159" s="29">
        <f t="shared" si="6"/>
        <v>51573.200000000004</v>
      </c>
      <c r="R159" s="29">
        <f>IFERROR(IFERROR(INDEX('WHO GHO Data'!$S$8:$S$201,MATCH($C159,'WHO GHO Data'!$C$8:$C$201,0)),($O159/1000*$K159)),IFERROR($O159/1000*VLOOKUP(E159,$W$9:$Y$12,3,0),0))</f>
        <v>309678.54510755907</v>
      </c>
      <c r="S159" s="30">
        <f>IFERROR(IFERROR(INDEX('WHO GHO Data'!$U$8:$U$201,MATCH($C159,'WHO GHO Data'!$C$8:$C$201,0)),INDEX('WHO GHO Data'!$AE$9:$AE$13,MATCH($E159,'WHO GHO Data'!$AD$9:$AD$13,0))*'HCW + Staff Summary'!$O159/1000),"")</f>
        <v>24425.948123580554</v>
      </c>
    </row>
    <row r="160" spans="2:19" x14ac:dyDescent="0.75">
      <c r="B160" s="43" t="s">
        <v>462</v>
      </c>
      <c r="C160" s="43" t="s">
        <v>91</v>
      </c>
      <c r="D160" s="132" t="s">
        <v>1076</v>
      </c>
      <c r="E160" s="132" t="s">
        <v>558</v>
      </c>
      <c r="F160" s="132" t="str">
        <f t="shared" si="7"/>
        <v>LMIC</v>
      </c>
      <c r="G160" s="646">
        <f>INDEX('WB HCW &amp; Beds'!$C$558:$BO$821,MATCH($C160,'WB HCW &amp; Beds'!$C$558:$C$821,0),MATCH("Latest value",'WB HCW &amp; Beds'!$C$557:$BO$557,0))</f>
        <v>0.45540000000000003</v>
      </c>
      <c r="H160" s="647">
        <f>INDEX('WB HCW &amp; Beds'!$C$558:$BO$821,MATCH($C160,'WB HCW &amp; Beds'!$C$558:$C$821,0),MATCH("Latest year",'WB HCW &amp; Beds'!$C$557:$BO$557,0))</f>
        <v>2012</v>
      </c>
      <c r="I160" s="651">
        <f>INDEX('WB HCW &amp; Beds'!$C$286:$BP$561,MATCH($C160,'WB HCW &amp; Beds'!$C$286:$C$561,0),MATCH("Value",'WB HCW &amp; Beds'!$C$286:$BP$286,0))</f>
        <v>0.4</v>
      </c>
      <c r="J160" s="647" t="str">
        <f>'WB HCW &amp; Beds'!BO440</f>
        <v>No reported value</v>
      </c>
      <c r="K160" s="653">
        <f>'WB HCW &amp; Beds'!BN168</f>
        <v>3.5484</v>
      </c>
      <c r="L160" s="654">
        <f>'WB HCW &amp; Beds'!BO168</f>
        <v>2012</v>
      </c>
      <c r="M160" s="720">
        <f>IFERROR(IFERROR(INDEX('WHO GHO Data'!$AB$8:$AB$201,MATCH('HCW + Staff Summary'!$C160,'WHO GHO Data'!$C$8:$C$201,0)),INDEX('WHO GHO Data'!$AE$9:$AE$13,MATCH('HCW + Staff Summary'!$E160,'WHO GHO Data'!$AD$9:$AD$13,0))),"")</f>
        <v>0.33545013977935578</v>
      </c>
      <c r="O160" s="29">
        <f>INDEX('WB Population Data'!$D$6:$D$269,MATCH($B160,'WB Population Data'!$B$6:$B$269,0))</f>
        <v>59000</v>
      </c>
      <c r="P160" s="30">
        <f t="shared" si="8"/>
        <v>26.868600000000001</v>
      </c>
      <c r="Q160" s="29">
        <f t="shared" si="6"/>
        <v>23.6</v>
      </c>
      <c r="R160" s="29">
        <f>IFERROR(IFERROR(INDEX('WHO GHO Data'!$S$8:$S$201,MATCH($C160,'WHO GHO Data'!$C$8:$C$201,0)),($O160/1000*$K160)),IFERROR($O160/1000*VLOOKUP(E160,$W$9:$Y$12,3,0),0))</f>
        <v>196.99999191123229</v>
      </c>
      <c r="S160" s="30">
        <f>IFERROR(IFERROR(INDEX('WHO GHO Data'!$U$8:$U$201,MATCH($C160,'WHO GHO Data'!$C$8:$C$201,0)),INDEX('WHO GHO Data'!$AE$9:$AE$13,MATCH($E160,'WHO GHO Data'!$AD$9:$AD$13,0))*'HCW + Staff Summary'!$O160/1000),"")</f>
        <v>19.791558246981992</v>
      </c>
    </row>
    <row r="161" spans="2:19" x14ac:dyDescent="0.75">
      <c r="B161" s="43" t="s">
        <v>472</v>
      </c>
      <c r="C161" s="43" t="s">
        <v>473</v>
      </c>
      <c r="D161" s="132" t="s">
        <v>1124</v>
      </c>
      <c r="E161" s="132" t="s">
        <v>750</v>
      </c>
      <c r="F161" s="132" t="str">
        <f t="shared" si="7"/>
        <v>Not LMIC</v>
      </c>
      <c r="G161" s="646">
        <f>INDEX('WB HCW &amp; Beds'!$C$558:$BO$821,MATCH($C161,'WB HCW &amp; Beds'!$C$558:$C$821,0),MATCH("Latest value",'WB HCW &amp; Beds'!$C$557:$BO$557,0))</f>
        <v>1.3224198732485886</v>
      </c>
      <c r="H161" s="647">
        <f>INDEX('WB HCW &amp; Beds'!$C$558:$BO$821,MATCH($C161,'WB HCW &amp; Beds'!$C$558:$C$821,0),MATCH("Latest year",'WB HCW &amp; Beds'!$C$557:$BO$557,0))</f>
        <v>2015</v>
      </c>
      <c r="I161" s="651">
        <f>INDEX('WB HCW &amp; Beds'!$C$286:$BP$561,MATCH($C161,'WB HCW &amp; Beds'!$C$286:$C$561,0),MATCH("Value",'WB HCW &amp; Beds'!$C$286:$BP$286,0))</f>
        <v>0.4</v>
      </c>
      <c r="J161" s="647" t="str">
        <f>'WB HCW &amp; Beds'!BO441</f>
        <v>No reported value</v>
      </c>
      <c r="K161" s="653">
        <f>'WB HCW &amp; Beds'!BN169</f>
        <v>2.5888793548886535</v>
      </c>
      <c r="L161" s="654">
        <f>'WB HCW &amp; Beds'!BO169</f>
        <v>2015</v>
      </c>
      <c r="M161" s="720" t="str">
        <f>IFERROR(IFERROR(INDEX('WHO GHO Data'!$AB$8:$AB$201,MATCH('HCW + Staff Summary'!$C161,'WHO GHO Data'!$C$8:$C$201,0)),INDEX('WHO GHO Data'!$AE$9:$AE$13,MATCH('HCW + Staff Summary'!$E161,'WHO GHO Data'!$AD$9:$AD$13,0))),"")</f>
        <v/>
      </c>
      <c r="O161" s="29">
        <f>INDEX('WB Population Data'!$D$6:$D$269,MATCH($B161,'WB Population Data'!$B$6:$B$269,0))</f>
        <v>5791067000</v>
      </c>
      <c r="P161" s="30">
        <f t="shared" si="8"/>
        <v>0</v>
      </c>
      <c r="Q161" s="29">
        <f t="shared" si="6"/>
        <v>2316426.8000000003</v>
      </c>
      <c r="R161" s="29">
        <f>IFERROR(IFERROR(INDEX('WHO GHO Data'!$S$8:$S$201,MATCH($C161,'WHO GHO Data'!$C$8:$C$201,0)),($O161/1000*$K161)),IFERROR($O161/1000*VLOOKUP(E161,$W$9:$Y$12,3,0),0))</f>
        <v>14992373.799076971</v>
      </c>
      <c r="S161" s="30" t="str">
        <f>IFERROR(IFERROR(INDEX('WHO GHO Data'!$U$8:$U$201,MATCH($C161,'WHO GHO Data'!$C$8:$C$201,0)),INDEX('WHO GHO Data'!$AE$9:$AE$13,MATCH($E161,'WHO GHO Data'!$AD$9:$AD$13,0))*'HCW + Staff Summary'!$O161/1000),"")</f>
        <v/>
      </c>
    </row>
    <row r="162" spans="2:19" x14ac:dyDescent="0.75">
      <c r="B162" s="43" t="s">
        <v>484</v>
      </c>
      <c r="C162" s="43" t="s">
        <v>485</v>
      </c>
      <c r="D162" s="132" t="s">
        <v>1074</v>
      </c>
      <c r="E162" s="132" t="s">
        <v>558</v>
      </c>
      <c r="F162" s="132" t="str">
        <f t="shared" si="7"/>
        <v>LMIC</v>
      </c>
      <c r="G162" s="646">
        <f>INDEX('WB HCW &amp; Beds'!$C$558:$BO$821,MATCH($C162,'WB HCW &amp; Beds'!$C$558:$C$821,0),MATCH("Latest value",'WB HCW &amp; Beds'!$C$557:$BO$557,0))</f>
        <v>2.8736000000000002</v>
      </c>
      <c r="H162" s="647">
        <f>INDEX('WB HCW &amp; Beds'!$C$558:$BO$821,MATCH($C162,'WB HCW &amp; Beds'!$C$558:$C$821,0),MATCH("Latest year",'WB HCW &amp; Beds'!$C$557:$BO$557,0))</f>
        <v>2015</v>
      </c>
      <c r="I162" s="651">
        <f>INDEX('WB HCW &amp; Beds'!$C$286:$BP$561,MATCH($C162,'WB HCW &amp; Beds'!$C$286:$C$561,0),MATCH("Value",'WB HCW &amp; Beds'!$C$286:$BP$286,0))</f>
        <v>0.4</v>
      </c>
      <c r="J162" s="647" t="str">
        <f>'WB HCW &amp; Beds'!BO442</f>
        <v>No reported value</v>
      </c>
      <c r="K162" s="653">
        <f>'WB HCW &amp; Beds'!BN170</f>
        <v>3.7917000000000001</v>
      </c>
      <c r="L162" s="654">
        <f>'WB HCW &amp; Beds'!BO170</f>
        <v>2015</v>
      </c>
      <c r="M162" s="720">
        <f>IFERROR(IFERROR(INDEX('WHO GHO Data'!$AB$8:$AB$201,MATCH('HCW + Staff Summary'!$C162,'WHO GHO Data'!$C$8:$C$201,0)),INDEX('WHO GHO Data'!$AE$9:$AE$13,MATCH('HCW + Staff Summary'!$E162,'WHO GHO Data'!$AD$9:$AD$13,0))),"")</f>
        <v>0.21980423949700909</v>
      </c>
      <c r="O162" s="29">
        <f>INDEX('WB Population Data'!$D$6:$D$269,MATCH($B162,'WB Population Data'!$B$6:$B$269,0))</f>
        <v>2083000</v>
      </c>
      <c r="P162" s="30">
        <f t="shared" si="8"/>
        <v>5985.7088000000003</v>
      </c>
      <c r="Q162" s="29">
        <f t="shared" si="6"/>
        <v>833.2</v>
      </c>
      <c r="R162" s="29">
        <f>IFERROR(IFERROR(INDEX('WHO GHO Data'!$S$8:$S$201,MATCH($C162,'WHO GHO Data'!$C$8:$C$201,0)),($O162/1000*$K162)),IFERROR($O162/1000*VLOOKUP(E162,$W$9:$Y$12,3,0),0))</f>
        <v>7910.1603401608299</v>
      </c>
      <c r="S162" s="30">
        <f>IFERROR(IFERROR(INDEX('WHO GHO Data'!$U$8:$U$201,MATCH($C162,'WHO GHO Data'!$C$8:$C$201,0)),INDEX('WHO GHO Data'!$AE$9:$AE$13,MATCH($E162,'WHO GHO Data'!$AD$9:$AD$13,0))*'HCW + Staff Summary'!$O162/1000),"")</f>
        <v>457.85223087226996</v>
      </c>
    </row>
    <row r="163" spans="2:19" x14ac:dyDescent="0.75">
      <c r="B163" s="43" t="s">
        <v>204</v>
      </c>
      <c r="C163" s="43" t="s">
        <v>92</v>
      </c>
      <c r="D163" s="132" t="s">
        <v>1073</v>
      </c>
      <c r="E163" s="132" t="s">
        <v>453</v>
      </c>
      <c r="F163" s="132" t="str">
        <f t="shared" si="7"/>
        <v>LMIC</v>
      </c>
      <c r="G163" s="646">
        <f>INDEX('WB HCW &amp; Beds'!$C$558:$BO$821,MATCH($C163,'WB HCW &amp; Beds'!$C$558:$C$821,0),MATCH("Latest value",'WB HCW &amp; Beds'!$C$557:$BO$557,0))</f>
        <v>0.13930000000000001</v>
      </c>
      <c r="H163" s="647">
        <f>INDEX('WB HCW &amp; Beds'!$C$558:$BO$821,MATCH($C163,'WB HCW &amp; Beds'!$C$558:$C$821,0),MATCH("Latest year",'WB HCW &amp; Beds'!$C$557:$BO$557,0))</f>
        <v>2016</v>
      </c>
      <c r="I163" s="651">
        <f>INDEX('WB HCW &amp; Beds'!$C$286:$BP$561,MATCH($C163,'WB HCW &amp; Beds'!$C$286:$C$561,0),MATCH("Value",'WB HCW &amp; Beds'!$C$286:$BP$286,0))</f>
        <v>7.0000000000000001E-3</v>
      </c>
      <c r="J163" s="647">
        <f>'WB HCW &amp; Beds'!BO443</f>
        <v>2010</v>
      </c>
      <c r="K163" s="653">
        <f>'WB HCW &amp; Beds'!BN171</f>
        <v>0.38200000000000001</v>
      </c>
      <c r="L163" s="654">
        <f>'WB HCW &amp; Beds'!BO171</f>
        <v>2016</v>
      </c>
      <c r="M163" s="720">
        <f>IFERROR(IFERROR(INDEX('WHO GHO Data'!$AB$8:$AB$201,MATCH('HCW + Staff Summary'!$C163,'WHO GHO Data'!$C$8:$C$201,0)),INDEX('WHO GHO Data'!$AE$9:$AE$13,MATCH('HCW + Staff Summary'!$E163,'WHO GHO Data'!$AD$9:$AD$13,0))),"")</f>
        <v>2.8172098117001686E-2</v>
      </c>
      <c r="O163" s="29">
        <f>INDEX('WB Population Data'!$D$6:$D$269,MATCH($B163,'WB Population Data'!$B$6:$B$269,0))</f>
        <v>20251000</v>
      </c>
      <c r="P163" s="30">
        <f t="shared" si="8"/>
        <v>2820.9643000000001</v>
      </c>
      <c r="Q163" s="29">
        <f t="shared" si="6"/>
        <v>141.75700000000001</v>
      </c>
      <c r="R163" s="29">
        <f>IFERROR(IFERROR(INDEX('WHO GHO Data'!$S$8:$S$201,MATCH($C163,'WHO GHO Data'!$C$8:$C$201,0)),($O163/1000*$K163)),IFERROR($O163/1000*VLOOKUP(E163,$W$9:$Y$12,3,0),0))</f>
        <v>5485.265303387243</v>
      </c>
      <c r="S163" s="30">
        <f>IFERROR(IFERROR(INDEX('WHO GHO Data'!$U$8:$U$201,MATCH($C163,'WHO GHO Data'!$C$8:$C$201,0)),INDEX('WHO GHO Data'!$AE$9:$AE$13,MATCH($E163,'WHO GHO Data'!$AD$9:$AD$13,0))*'HCW + Staff Summary'!$O163/1000),"")</f>
        <v>570.51315896740118</v>
      </c>
    </row>
    <row r="164" spans="2:19" x14ac:dyDescent="0.75">
      <c r="B164" s="43" t="s">
        <v>461</v>
      </c>
      <c r="C164" s="43" t="s">
        <v>93</v>
      </c>
      <c r="D164" s="132" t="s">
        <v>1074</v>
      </c>
      <c r="E164" s="132" t="s">
        <v>411</v>
      </c>
      <c r="F164" s="132" t="str">
        <f t="shared" si="7"/>
        <v>Not LMIC</v>
      </c>
      <c r="G164" s="646">
        <f>INDEX('WB HCW &amp; Beds'!$C$558:$BO$821,MATCH($C164,'WB HCW &amp; Beds'!$C$558:$C$821,0),MATCH("Latest value",'WB HCW &amp; Beds'!$C$557:$BO$557,0))</f>
        <v>3.8260000000000001</v>
      </c>
      <c r="H164" s="647">
        <f>INDEX('WB HCW &amp; Beds'!$C$558:$BO$821,MATCH($C164,'WB HCW &amp; Beds'!$C$558:$C$821,0),MATCH("Latest year",'WB HCW &amp; Beds'!$C$557:$BO$557,0))</f>
        <v>2015</v>
      </c>
      <c r="I164" s="651">
        <f>INDEX('WB HCW &amp; Beds'!$C$286:$BP$561,MATCH($C164,'WB HCW &amp; Beds'!$C$286:$C$561,0),MATCH("Value",'WB HCW &amp; Beds'!$C$286:$BP$286,0))</f>
        <v>0.4</v>
      </c>
      <c r="J164" s="647" t="str">
        <f>'WB HCW &amp; Beds'!BO444</f>
        <v>No reported value</v>
      </c>
      <c r="K164" s="653">
        <f>'WB HCW &amp; Beds'!BN172</f>
        <v>8.9499999999999993</v>
      </c>
      <c r="L164" s="654">
        <f>'WB HCW &amp; Beds'!BO172</f>
        <v>2015</v>
      </c>
      <c r="M164" s="720">
        <f>IFERROR(IFERROR(INDEX('WHO GHO Data'!$AB$8:$AB$201,MATCH('HCW + Staff Summary'!$C164,'WHO GHO Data'!$C$8:$C$201,0)),INDEX('WHO GHO Data'!$AE$9:$AE$13,MATCH('HCW + Staff Summary'!$E164,'WHO GHO Data'!$AD$9:$AD$13,0))),"")</f>
        <v>0.54650004528486062</v>
      </c>
      <c r="O164" s="29">
        <f>INDEX('WB Population Data'!$D$6:$D$269,MATCH($B164,'WB Population Data'!$B$6:$B$269,0))</f>
        <v>486000</v>
      </c>
      <c r="P164" s="30">
        <f t="shared" si="8"/>
        <v>1859.4359999999999</v>
      </c>
      <c r="Q164" s="29">
        <f t="shared" si="6"/>
        <v>194.4</v>
      </c>
      <c r="R164" s="29">
        <f>IFERROR(IFERROR(INDEX('WHO GHO Data'!$S$8:$S$201,MATCH($C164,'WHO GHO Data'!$C$8:$C$201,0)),($O164/1000*$K164)),IFERROR($O164/1000*VLOOKUP(E164,$W$9:$Y$12,3,0),0))</f>
        <v>3965.6666648856158</v>
      </c>
      <c r="S164" s="30">
        <f>IFERROR(IFERROR(INDEX('WHO GHO Data'!$U$8:$U$201,MATCH($C164,'WHO GHO Data'!$C$8:$C$201,0)),INDEX('WHO GHO Data'!$AE$9:$AE$13,MATCH($E164,'WHO GHO Data'!$AD$9:$AD$13,0))*'HCW + Staff Summary'!$O164/1000),"")</f>
        <v>265.59902200844226</v>
      </c>
    </row>
    <row r="165" spans="2:19" x14ac:dyDescent="0.75">
      <c r="B165" s="43" t="s">
        <v>244</v>
      </c>
      <c r="C165" s="43" t="s">
        <v>94</v>
      </c>
      <c r="D165" s="132" t="s">
        <v>1077</v>
      </c>
      <c r="E165" s="132" t="s">
        <v>455</v>
      </c>
      <c r="F165" s="132" t="str">
        <f t="shared" si="7"/>
        <v>LMIC</v>
      </c>
      <c r="G165" s="646">
        <f>INDEX('WB HCW &amp; Beds'!$C$558:$BO$821,MATCH($C165,'WB HCW &amp; Beds'!$C$558:$C$821,0),MATCH("Latest value",'WB HCW &amp; Beds'!$C$557:$BO$557,0))</f>
        <v>0.86399999999999999</v>
      </c>
      <c r="H165" s="647">
        <f>INDEX('WB HCW &amp; Beds'!$C$558:$BO$821,MATCH($C165,'WB HCW &amp; Beds'!$C$558:$C$821,0),MATCH("Latest year",'WB HCW &amp; Beds'!$C$557:$BO$557,0))</f>
        <v>2017</v>
      </c>
      <c r="I165" s="651">
        <f>INDEX('WB HCW &amp; Beds'!$C$286:$BP$561,MATCH($C165,'WB HCW &amp; Beds'!$C$286:$C$561,0),MATCH("Value",'WB HCW &amp; Beds'!$C$286:$BP$286,0))</f>
        <v>0.19500000000000001</v>
      </c>
      <c r="J165" s="647">
        <f>'WB HCW &amp; Beds'!BO445</f>
        <v>2012</v>
      </c>
      <c r="K165" s="653">
        <f>'WB HCW &amp; Beds'!BN173</f>
        <v>0.97940000000000005</v>
      </c>
      <c r="L165" s="654">
        <f>'WB HCW &amp; Beds'!BO173</f>
        <v>2017</v>
      </c>
      <c r="M165" s="720">
        <f>IFERROR(IFERROR(INDEX('WHO GHO Data'!$AB$8:$AB$201,MATCH('HCW + Staff Summary'!$C165,'WHO GHO Data'!$C$8:$C$201,0)),INDEX('WHO GHO Data'!$AE$9:$AE$13,MATCH('HCW + Staff Summary'!$E165,'WHO GHO Data'!$AD$9:$AD$13,0))),"")</f>
        <v>7.4646863512668513E-2</v>
      </c>
      <c r="O165" s="29">
        <f>INDEX('WB Population Data'!$D$6:$D$269,MATCH($B165,'WB Population Data'!$B$6:$B$269,0))</f>
        <v>54410000</v>
      </c>
      <c r="P165" s="30">
        <f t="shared" si="8"/>
        <v>47010.239999999998</v>
      </c>
      <c r="Q165" s="29">
        <f t="shared" si="6"/>
        <v>10609.95</v>
      </c>
      <c r="R165" s="29">
        <f>IFERROR(IFERROR(INDEX('WHO GHO Data'!$S$8:$S$201,MATCH($C165,'WHO GHO Data'!$C$8:$C$201,0)),($O165/1000*$K165)),IFERROR($O165/1000*VLOOKUP(E165,$W$9:$Y$12,3,0),0))</f>
        <v>36454.43919459606</v>
      </c>
      <c r="S165" s="30">
        <f>IFERROR(IFERROR(INDEX('WHO GHO Data'!$U$8:$U$201,MATCH($C165,'WHO GHO Data'!$C$8:$C$201,0)),INDEX('WHO GHO Data'!$AE$9:$AE$13,MATCH($E165,'WHO GHO Data'!$AD$9:$AD$13,0))*'HCW + Staff Summary'!$O165/1000),"")</f>
        <v>4061.5358437242944</v>
      </c>
    </row>
    <row r="166" spans="2:19" x14ac:dyDescent="0.75">
      <c r="B166" s="43" t="s">
        <v>468</v>
      </c>
      <c r="C166" s="43" t="s">
        <v>469</v>
      </c>
      <c r="D166" s="132" t="s">
        <v>1124</v>
      </c>
      <c r="E166" s="132" t="s">
        <v>750</v>
      </c>
      <c r="F166" s="132" t="str">
        <f t="shared" si="7"/>
        <v>Not LMIC</v>
      </c>
      <c r="G166" s="646">
        <f>INDEX('WB HCW &amp; Beds'!$C$558:$BO$821,MATCH($C166,'WB HCW &amp; Beds'!$C$558:$C$821,0),MATCH("Latest value",'WB HCW &amp; Beds'!$C$557:$BO$557,0))</f>
        <v>1.0694376664304048</v>
      </c>
      <c r="H166" s="647">
        <f>INDEX('WB HCW &amp; Beds'!$C$558:$BO$821,MATCH($C166,'WB HCW &amp; Beds'!$C$558:$C$821,0),MATCH("Latest year",'WB HCW &amp; Beds'!$C$557:$BO$557,0))</f>
        <v>2015</v>
      </c>
      <c r="I166" s="651">
        <f>INDEX('WB HCW &amp; Beds'!$C$286:$BP$561,MATCH($C166,'WB HCW &amp; Beds'!$C$286:$C$561,0),MATCH("Value",'WB HCW &amp; Beds'!$C$286:$BP$286,0))</f>
        <v>0.4</v>
      </c>
      <c r="J166" s="647" t="str">
        <f>'WB HCW &amp; Beds'!BO446</f>
        <v>No reported value</v>
      </c>
      <c r="K166" s="653">
        <f>'WB HCW &amp; Beds'!BN174</f>
        <v>1.752603675461049</v>
      </c>
      <c r="L166" s="654">
        <f>'WB HCW &amp; Beds'!BO174</f>
        <v>2015</v>
      </c>
      <c r="M166" s="720" t="str">
        <f>IFERROR(IFERROR(INDEX('WHO GHO Data'!$AB$8:$AB$201,MATCH('HCW + Staff Summary'!$C166,'WHO GHO Data'!$C$8:$C$201,0)),INDEX('WHO GHO Data'!$AE$9:$AE$13,MATCH('HCW + Staff Summary'!$E166,'WHO GHO Data'!$AD$9:$AD$13,0))),"")</f>
        <v/>
      </c>
      <c r="O166" s="29">
        <f>INDEX('WB Population Data'!$D$6:$D$269,MATCH($B166,'WB Population Data'!$B$6:$B$269,0))</f>
        <v>396157000</v>
      </c>
      <c r="P166" s="30">
        <f t="shared" si="8"/>
        <v>0</v>
      </c>
      <c r="Q166" s="29">
        <f t="shared" si="6"/>
        <v>158462.80000000002</v>
      </c>
      <c r="R166" s="29">
        <f>IFERROR(IFERROR(INDEX('WHO GHO Data'!$S$8:$S$201,MATCH($C166,'WHO GHO Data'!$C$8:$C$201,0)),($O166/1000*$K166)),IFERROR($O166/1000*VLOOKUP(E166,$W$9:$Y$12,3,0),0))</f>
        <v>694306.21425962273</v>
      </c>
      <c r="S166" s="30" t="str">
        <f>IFERROR(IFERROR(INDEX('WHO GHO Data'!$U$8:$U$201,MATCH($C166,'WHO GHO Data'!$C$8:$C$201,0)),INDEX('WHO GHO Data'!$AE$9:$AE$13,MATCH($E166,'WHO GHO Data'!$AD$9:$AD$13,0))*'HCW + Staff Summary'!$O166/1000),"")</f>
        <v/>
      </c>
    </row>
    <row r="167" spans="2:19" x14ac:dyDescent="0.75">
      <c r="B167" s="43" t="s">
        <v>476</v>
      </c>
      <c r="C167" s="43" t="s">
        <v>95</v>
      </c>
      <c r="D167" s="132" t="s">
        <v>1074</v>
      </c>
      <c r="E167" s="132" t="s">
        <v>558</v>
      </c>
      <c r="F167" s="132" t="str">
        <f t="shared" si="7"/>
        <v>LMIC</v>
      </c>
      <c r="G167" s="646">
        <f>INDEX('WB HCW &amp; Beds'!$C$558:$BO$821,MATCH($C167,'WB HCW &amp; Beds'!$C$558:$C$821,0),MATCH("Latest value",'WB HCW &amp; Beds'!$C$557:$BO$557,0))</f>
        <v>2.3336999999999999</v>
      </c>
      <c r="H167" s="647">
        <f>INDEX('WB HCW &amp; Beds'!$C$558:$BO$821,MATCH($C167,'WB HCW &amp; Beds'!$C$558:$C$821,0),MATCH("Latest year",'WB HCW &amp; Beds'!$C$557:$BO$557,0))</f>
        <v>2015</v>
      </c>
      <c r="I167" s="651">
        <f>INDEX('WB HCW &amp; Beds'!$C$286:$BP$561,MATCH($C167,'WB HCW &amp; Beds'!$C$286:$C$561,0),MATCH("Value",'WB HCW &amp; Beds'!$C$286:$BP$286,0))</f>
        <v>0.4</v>
      </c>
      <c r="J167" s="647" t="str">
        <f>'WB HCW &amp; Beds'!BO447</f>
        <v>No reported value</v>
      </c>
      <c r="K167" s="653">
        <f>'WB HCW &amp; Beds'!BN175</f>
        <v>5.7179000000000002</v>
      </c>
      <c r="L167" s="654">
        <f>'WB HCW &amp; Beds'!BO175</f>
        <v>2015</v>
      </c>
      <c r="M167" s="720">
        <f>IFERROR(IFERROR(INDEX('WHO GHO Data'!$AB$8:$AB$201,MATCH('HCW + Staff Summary'!$C167,'WHO GHO Data'!$C$8:$C$201,0)),INDEX('WHO GHO Data'!$AE$9:$AE$13,MATCH('HCW + Staff Summary'!$E167,'WHO GHO Data'!$AD$9:$AD$13,0))),"")</f>
        <v>0.21980423949700909</v>
      </c>
      <c r="O167" s="29">
        <f>INDEX('WB Population Data'!$D$6:$D$269,MATCH($B167,'WB Population Data'!$B$6:$B$269,0))</f>
        <v>622000</v>
      </c>
      <c r="P167" s="30">
        <f t="shared" si="8"/>
        <v>1451.5613999999998</v>
      </c>
      <c r="Q167" s="29">
        <f t="shared" si="6"/>
        <v>248.8</v>
      </c>
      <c r="R167" s="29">
        <f>IFERROR(IFERROR(INDEX('WHO GHO Data'!$S$8:$S$201,MATCH($C167,'WHO GHO Data'!$C$8:$C$201,0)),($O167/1000*$K167)),IFERROR($O167/1000*VLOOKUP(E167,$W$9:$Y$12,3,0),0))</f>
        <v>3042.2259811518288</v>
      </c>
      <c r="S167" s="30">
        <f>IFERROR(IFERROR(INDEX('WHO GHO Data'!$U$8:$U$201,MATCH($C167,'WHO GHO Data'!$C$8:$C$201,0)),INDEX('WHO GHO Data'!$AE$9:$AE$13,MATCH($E167,'WHO GHO Data'!$AD$9:$AD$13,0))*'HCW + Staff Summary'!$O167/1000),"")</f>
        <v>136.71823696713963</v>
      </c>
    </row>
    <row r="168" spans="2:19" x14ac:dyDescent="0.75">
      <c r="B168" s="43" t="s">
        <v>250</v>
      </c>
      <c r="C168" s="43" t="s">
        <v>96</v>
      </c>
      <c r="D168" s="132" t="s">
        <v>1076</v>
      </c>
      <c r="E168" s="132" t="s">
        <v>455</v>
      </c>
      <c r="F168" s="132" t="str">
        <f t="shared" si="7"/>
        <v>LMIC</v>
      </c>
      <c r="G168" s="646">
        <f>INDEX('WB HCW &amp; Beds'!$C$558:$BO$821,MATCH($C168,'WB HCW &amp; Beds'!$C$558:$C$821,0),MATCH("Latest value",'WB HCW &amp; Beds'!$C$557:$BO$557,0))</f>
        <v>2.8866000000000001</v>
      </c>
      <c r="H168" s="647">
        <f>INDEX('WB HCW &amp; Beds'!$C$558:$BO$821,MATCH($C168,'WB HCW &amp; Beds'!$C$558:$C$821,0),MATCH("Latest year",'WB HCW &amp; Beds'!$C$557:$BO$557,0))</f>
        <v>2016</v>
      </c>
      <c r="I168" s="651">
        <f>INDEX('WB HCW &amp; Beds'!$C$286:$BP$561,MATCH($C168,'WB HCW &amp; Beds'!$C$286:$C$561,0),MATCH("Value",'WB HCW &amp; Beds'!$C$286:$BP$286,0))</f>
        <v>0.161</v>
      </c>
      <c r="J168" s="647">
        <f>'WB HCW &amp; Beds'!BO448</f>
        <v>2010</v>
      </c>
      <c r="K168" s="653">
        <f>'WB HCW &amp; Beds'!BN176</f>
        <v>3.9845999999999999</v>
      </c>
      <c r="L168" s="654">
        <f>'WB HCW &amp; Beds'!BO176</f>
        <v>2016</v>
      </c>
      <c r="M168" s="720">
        <f>IFERROR(IFERROR(INDEX('WHO GHO Data'!$AB$8:$AB$201,MATCH('HCW + Staff Summary'!$C168,'WHO GHO Data'!$C$8:$C$201,0)),INDEX('WHO GHO Data'!$AE$9:$AE$13,MATCH('HCW + Staff Summary'!$E168,'WHO GHO Data'!$AD$9:$AD$13,0))),"")</f>
        <v>0.14312261603683429</v>
      </c>
      <c r="O168" s="29">
        <f>INDEX('WB Population Data'!$D$6:$D$269,MATCH($B168,'WB Population Data'!$B$6:$B$269,0))</f>
        <v>3278000</v>
      </c>
      <c r="P168" s="30">
        <f t="shared" si="8"/>
        <v>9462.2748000000011</v>
      </c>
      <c r="Q168" s="29">
        <f t="shared" si="6"/>
        <v>527.75800000000004</v>
      </c>
      <c r="R168" s="29">
        <f>IFERROR(IFERROR(INDEX('WHO GHO Data'!$S$8:$S$201,MATCH($C168,'WHO GHO Data'!$C$8:$C$201,0)),($O168/1000*$K168)),IFERROR($O168/1000*VLOOKUP(E168,$W$9:$Y$12,3,0),0))</f>
        <v>12819.464737895278</v>
      </c>
      <c r="S168" s="30">
        <f>IFERROR(IFERROR(INDEX('WHO GHO Data'!$U$8:$U$201,MATCH($C168,'WHO GHO Data'!$C$8:$C$201,0)),INDEX('WHO GHO Data'!$AE$9:$AE$13,MATCH($E168,'WHO GHO Data'!$AD$9:$AD$13,0))*'HCW + Staff Summary'!$O168/1000),"")</f>
        <v>469.15593536874275</v>
      </c>
    </row>
    <row r="169" spans="2:19" x14ac:dyDescent="0.75">
      <c r="B169" s="43" t="s">
        <v>486</v>
      </c>
      <c r="C169" s="43" t="s">
        <v>487</v>
      </c>
      <c r="D169" s="132" t="s">
        <v>1124</v>
      </c>
      <c r="E169" s="132" t="s">
        <v>411</v>
      </c>
      <c r="F169" s="132" t="str">
        <f t="shared" si="7"/>
        <v>Not LMIC</v>
      </c>
      <c r="G169" s="646">
        <f>INDEX('WB HCW &amp; Beds'!$C$558:$BO$821,MATCH($C169,'WB HCW &amp; Beds'!$C$558:$C$821,0),MATCH("Latest value",'WB HCW &amp; Beds'!$C$557:$BO$557,0))</f>
        <v>0.44500000000000001</v>
      </c>
      <c r="H169" s="647">
        <f>INDEX('WB HCW &amp; Beds'!$C$558:$BO$821,MATCH($C169,'WB HCW &amp; Beds'!$C$558:$C$821,0),MATCH("Latest year",'WB HCW &amp; Beds'!$C$557:$BO$557,0))</f>
        <v>1999</v>
      </c>
      <c r="I169" s="651">
        <f>INDEX('WB HCW &amp; Beds'!$C$286:$BP$561,MATCH($C169,'WB HCW &amp; Beds'!$C$286:$C$561,0),MATCH("Value",'WB HCW &amp; Beds'!$C$286:$BP$286,0))</f>
        <v>0.4</v>
      </c>
      <c r="J169" s="647" t="str">
        <f>'WB HCW &amp; Beds'!BO449</f>
        <v>No reported value</v>
      </c>
      <c r="K169" s="653" t="str">
        <f>'WB HCW &amp; Beds'!BN177</f>
        <v>No reported value</v>
      </c>
      <c r="L169" s="654" t="str">
        <f>'WB HCW &amp; Beds'!BO177</f>
        <v>No reported value</v>
      </c>
      <c r="M169" s="720">
        <f>IFERROR(IFERROR(INDEX('WHO GHO Data'!$AB$8:$AB$201,MATCH('HCW + Staff Summary'!$C169,'WHO GHO Data'!$C$8:$C$201,0)),INDEX('WHO GHO Data'!$AE$9:$AE$13,MATCH('HCW + Staff Summary'!$E169,'WHO GHO Data'!$AD$9:$AD$13,0))),"")</f>
        <v>0.54650004528486062</v>
      </c>
      <c r="O169" s="29">
        <f>INDEX('WB Population Data'!$D$6:$D$269,MATCH($B169,'WB Population Data'!$B$6:$B$269,0))</f>
        <v>58000</v>
      </c>
      <c r="P169" s="30">
        <f t="shared" si="8"/>
        <v>25.81</v>
      </c>
      <c r="Q169" s="29">
        <f t="shared" si="6"/>
        <v>23.200000000000003</v>
      </c>
      <c r="R169" s="29">
        <f>IFERROR(IFERROR(INDEX('WHO GHO Data'!$S$8:$S$201,MATCH($C169,'WHO GHO Data'!$C$8:$C$201,0)),($O169/1000*$K169)),IFERROR($O169/1000*VLOOKUP(E169,$W$9:$Y$12,3,0),0))</f>
        <v>457.17800000000011</v>
      </c>
      <c r="S169" s="30">
        <f>IFERROR(IFERROR(INDEX('WHO GHO Data'!$U$8:$U$201,MATCH($C169,'WHO GHO Data'!$C$8:$C$201,0)),INDEX('WHO GHO Data'!$AE$9:$AE$13,MATCH($E169,'WHO GHO Data'!$AD$9:$AD$13,0))*'HCW + Staff Summary'!$O169/1000),"")</f>
        <v>31.697002626521918</v>
      </c>
    </row>
    <row r="170" spans="2:19" x14ac:dyDescent="0.75">
      <c r="B170" s="43" t="s">
        <v>207</v>
      </c>
      <c r="C170" s="43" t="s">
        <v>97</v>
      </c>
      <c r="D170" s="132" t="s">
        <v>1073</v>
      </c>
      <c r="E170" s="132" t="s">
        <v>453</v>
      </c>
      <c r="F170" s="132" t="str">
        <f t="shared" si="7"/>
        <v>LMIC</v>
      </c>
      <c r="G170" s="646">
        <f>INDEX('WB HCW &amp; Beds'!$C$558:$BO$821,MATCH($C170,'WB HCW &amp; Beds'!$C$558:$C$821,0),MATCH("Latest value",'WB HCW &amp; Beds'!$C$557:$BO$557,0))</f>
        <v>7.3499999999999996E-2</v>
      </c>
      <c r="H170" s="647">
        <f>INDEX('WB HCW &amp; Beds'!$C$558:$BO$821,MATCH($C170,'WB HCW &amp; Beds'!$C$558:$C$821,0),MATCH("Latest year",'WB HCW &amp; Beds'!$C$557:$BO$557,0))</f>
        <v>2017</v>
      </c>
      <c r="I170" s="651">
        <f>INDEX('WB HCW &amp; Beds'!$C$286:$BP$561,MATCH($C170,'WB HCW &amp; Beds'!$C$286:$C$561,0),MATCH("Value",'WB HCW &amp; Beds'!$C$286:$BP$286,0))</f>
        <v>4.4999999999999998E-2</v>
      </c>
      <c r="J170" s="647">
        <f>'WB HCW &amp; Beds'!BO450</f>
        <v>2013</v>
      </c>
      <c r="K170" s="653">
        <f>'WB HCW &amp; Beds'!BN178</f>
        <v>0.44359999999999999</v>
      </c>
      <c r="L170" s="654">
        <f>'WB HCW &amp; Beds'!BO178</f>
        <v>2017</v>
      </c>
      <c r="M170" s="720">
        <f>IFERROR(IFERROR(INDEX('WHO GHO Data'!$AB$8:$AB$201,MATCH('HCW + Staff Summary'!$C170,'WHO GHO Data'!$C$8:$C$201,0)),INDEX('WHO GHO Data'!$AE$9:$AE$13,MATCH('HCW + Staff Summary'!$E170,'WHO GHO Data'!$AD$9:$AD$13,0))),"")</f>
        <v>6.8184002627900447E-2</v>
      </c>
      <c r="O170" s="29">
        <f>INDEX('WB Population Data'!$D$6:$D$269,MATCH($B170,'WB Population Data'!$B$6:$B$269,0))</f>
        <v>31255000</v>
      </c>
      <c r="P170" s="30">
        <f t="shared" si="8"/>
        <v>2297.2424999999998</v>
      </c>
      <c r="Q170" s="29">
        <f t="shared" si="6"/>
        <v>1406.4749999999999</v>
      </c>
      <c r="R170" s="29">
        <f>IFERROR(IFERROR(INDEX('WHO GHO Data'!$S$8:$S$201,MATCH($C170,'WHO GHO Data'!$C$8:$C$201,0)),($O170/1000*$K170)),IFERROR($O170/1000*VLOOKUP(E170,$W$9:$Y$12,3,0),0))</f>
        <v>14997.491819556382</v>
      </c>
      <c r="S170" s="30">
        <f>IFERROR(IFERROR(INDEX('WHO GHO Data'!$U$8:$U$201,MATCH($C170,'WHO GHO Data'!$C$8:$C$201,0)),INDEX('WHO GHO Data'!$AE$9:$AE$13,MATCH($E170,'WHO GHO Data'!$AD$9:$AD$13,0))*'HCW + Staff Summary'!$O170/1000),"")</f>
        <v>2131.0910021350282</v>
      </c>
    </row>
    <row r="171" spans="2:19" x14ac:dyDescent="0.75">
      <c r="B171" s="43" t="s">
        <v>205</v>
      </c>
      <c r="C171" s="43" t="s">
        <v>98</v>
      </c>
      <c r="D171" s="132" t="s">
        <v>1073</v>
      </c>
      <c r="E171" s="132" t="s">
        <v>455</v>
      </c>
      <c r="F171" s="132" t="str">
        <f t="shared" si="7"/>
        <v>LMIC</v>
      </c>
      <c r="G171" s="646">
        <f>INDEX('WB HCW &amp; Beds'!$C$558:$BO$821,MATCH($C171,'WB HCW &amp; Beds'!$C$558:$C$821,0),MATCH("Latest value",'WB HCW &amp; Beds'!$C$557:$BO$557,0))</f>
        <v>0.17899999999999999</v>
      </c>
      <c r="H171" s="647">
        <f>INDEX('WB HCW &amp; Beds'!$C$558:$BO$821,MATCH($C171,'WB HCW &amp; Beds'!$C$558:$C$821,0),MATCH("Latest year",'WB HCW &amp; Beds'!$C$557:$BO$557,0))</f>
        <v>2017</v>
      </c>
      <c r="I171" s="651">
        <f>INDEX('WB HCW &amp; Beds'!$C$286:$BP$561,MATCH($C171,'WB HCW &amp; Beds'!$C$286:$C$561,0),MATCH("Value",'WB HCW &amp; Beds'!$C$286:$BP$286,0))</f>
        <v>0.3</v>
      </c>
      <c r="J171" s="647">
        <f>'WB HCW &amp; Beds'!BO451</f>
        <v>2013</v>
      </c>
      <c r="K171" s="653">
        <f>'WB HCW &amp; Beds'!BN179</f>
        <v>1.0341</v>
      </c>
      <c r="L171" s="654">
        <f>'WB HCW &amp; Beds'!BO179</f>
        <v>2017</v>
      </c>
      <c r="M171" s="720">
        <f>IFERROR(IFERROR(INDEX('WHO GHO Data'!$AB$8:$AB$201,MATCH('HCW + Staff Summary'!$C171,'WHO GHO Data'!$C$8:$C$201,0)),INDEX('WHO GHO Data'!$AE$9:$AE$13,MATCH('HCW + Staff Summary'!$E171,'WHO GHO Data'!$AD$9:$AD$13,0))),"")</f>
        <v>2.7301187668738059E-3</v>
      </c>
      <c r="O171" s="29">
        <f>INDEX('WB Population Data'!$D$6:$D$269,MATCH($B171,'WB Population Data'!$B$6:$B$269,0))</f>
        <v>4650000</v>
      </c>
      <c r="P171" s="30">
        <f t="shared" si="8"/>
        <v>832.34999999999991</v>
      </c>
      <c r="Q171" s="29">
        <f t="shared" si="6"/>
        <v>1395</v>
      </c>
      <c r="R171" s="29">
        <f>IFERROR(IFERROR(INDEX('WHO GHO Data'!$S$8:$S$201,MATCH($C171,'WHO GHO Data'!$C$8:$C$201,0)),($O171/1000*$K171)),IFERROR($O171/1000*VLOOKUP(E171,$W$9:$Y$12,3,0),0))</f>
        <v>3600.1052384227305</v>
      </c>
      <c r="S171" s="30">
        <f>IFERROR(IFERROR(INDEX('WHO GHO Data'!$U$8:$U$201,MATCH($C171,'WHO GHO Data'!$C$8:$C$201,0)),INDEX('WHO GHO Data'!$AE$9:$AE$13,MATCH($E171,'WHO GHO Data'!$AD$9:$AD$13,0))*'HCW + Staff Summary'!$O171/1000),"")</f>
        <v>12.695052265963199</v>
      </c>
    </row>
    <row r="172" spans="2:19" x14ac:dyDescent="0.75">
      <c r="B172" s="43" t="s">
        <v>206</v>
      </c>
      <c r="C172" s="43" t="s">
        <v>99</v>
      </c>
      <c r="D172" s="132" t="s">
        <v>1073</v>
      </c>
      <c r="E172" s="132" t="s">
        <v>558</v>
      </c>
      <c r="F172" s="132" t="str">
        <f t="shared" si="7"/>
        <v>LMIC</v>
      </c>
      <c r="G172" s="646">
        <f>INDEX('WB HCW &amp; Beds'!$C$558:$BO$821,MATCH($C172,'WB HCW &amp; Beds'!$C$558:$C$821,0),MATCH("Latest value",'WB HCW &amp; Beds'!$C$557:$BO$557,0))</f>
        <v>2.0246</v>
      </c>
      <c r="H172" s="647">
        <f>INDEX('WB HCW &amp; Beds'!$C$558:$BO$821,MATCH($C172,'WB HCW &amp; Beds'!$C$558:$C$821,0),MATCH("Latest year",'WB HCW &amp; Beds'!$C$557:$BO$557,0))</f>
        <v>2015</v>
      </c>
      <c r="I172" s="651">
        <f>INDEX('WB HCW &amp; Beds'!$C$286:$BP$561,MATCH($C172,'WB HCW &amp; Beds'!$C$286:$C$561,0),MATCH("Value",'WB HCW &amp; Beds'!$C$286:$BP$286,0))</f>
        <v>0.19400000000000001</v>
      </c>
      <c r="J172" s="647">
        <f>'WB HCW &amp; Beds'!BO452</f>
        <v>2004</v>
      </c>
      <c r="K172" s="653">
        <f>'WB HCW &amp; Beds'!BN180</f>
        <v>3.3831000000000002</v>
      </c>
      <c r="L172" s="654">
        <f>'WB HCW &amp; Beds'!BO180</f>
        <v>2015</v>
      </c>
      <c r="M172" s="720">
        <f>IFERROR(IFERROR(INDEX('WHO GHO Data'!$AB$8:$AB$201,MATCH('HCW + Staff Summary'!$C172,'WHO GHO Data'!$C$8:$C$201,0)),INDEX('WHO GHO Data'!$AE$9:$AE$13,MATCH('HCW + Staff Summary'!$E172,'WHO GHO Data'!$AD$9:$AD$13,0))),"")</f>
        <v>0.28775443163927666</v>
      </c>
      <c r="O172" s="29">
        <f>INDEX('WB Population Data'!$D$6:$D$269,MATCH($B172,'WB Population Data'!$B$6:$B$269,0))</f>
        <v>1270000</v>
      </c>
      <c r="P172" s="30">
        <f t="shared" si="8"/>
        <v>2571.2419999999997</v>
      </c>
      <c r="Q172" s="29">
        <f t="shared" si="6"/>
        <v>246.38</v>
      </c>
      <c r="R172" s="29">
        <f>IFERROR(IFERROR(INDEX('WHO GHO Data'!$S$8:$S$201,MATCH($C172,'WHO GHO Data'!$C$8:$C$201,0)),($O172/1000*$K172)),IFERROR($O172/1000*VLOOKUP(E172,$W$9:$Y$12,3,0),0))</f>
        <v>4459.068620220226</v>
      </c>
      <c r="S172" s="30">
        <f>IFERROR(IFERROR(INDEX('WHO GHO Data'!$U$8:$U$201,MATCH($C172,'WHO GHO Data'!$C$8:$C$201,0)),INDEX('WHO GHO Data'!$AE$9:$AE$13,MATCH($E172,'WHO GHO Data'!$AD$9:$AD$13,0))*'HCW + Staff Summary'!$O172/1000),"")</f>
        <v>365.44812818188137</v>
      </c>
    </row>
    <row r="173" spans="2:19" x14ac:dyDescent="0.75">
      <c r="B173" s="43" t="s">
        <v>203</v>
      </c>
      <c r="C173" s="43" t="s">
        <v>100</v>
      </c>
      <c r="D173" s="132" t="s">
        <v>1073</v>
      </c>
      <c r="E173" s="132" t="s">
        <v>453</v>
      </c>
      <c r="F173" s="132" t="str">
        <f t="shared" si="7"/>
        <v>LMIC</v>
      </c>
      <c r="G173" s="646">
        <f>INDEX('WB HCW &amp; Beds'!$C$558:$BO$821,MATCH($C173,'WB HCW &amp; Beds'!$C$558:$C$821,0),MATCH("Latest value",'WB HCW &amp; Beds'!$C$557:$BO$557,0))</f>
        <v>1.5699999999999999E-2</v>
      </c>
      <c r="H173" s="647">
        <f>INDEX('WB HCW &amp; Beds'!$C$558:$BO$821,MATCH($C173,'WB HCW &amp; Beds'!$C$558:$C$821,0),MATCH("Latest year",'WB HCW &amp; Beds'!$C$557:$BO$557,0))</f>
        <v>2016</v>
      </c>
      <c r="I173" s="651">
        <f>INDEX('WB HCW &amp; Beds'!$C$286:$BP$561,MATCH($C173,'WB HCW &amp; Beds'!$C$286:$C$561,0),MATCH("Value",'WB HCW &amp; Beds'!$C$286:$BP$286,0))</f>
        <v>0.72299999999999998</v>
      </c>
      <c r="J173" s="647">
        <f>'WB HCW &amp; Beds'!BO453</f>
        <v>2008</v>
      </c>
      <c r="K173" s="653">
        <f>'WB HCW &amp; Beds'!BN181</f>
        <v>0.25280000000000002</v>
      </c>
      <c r="L173" s="654">
        <f>'WB HCW &amp; Beds'!BO181</f>
        <v>2016</v>
      </c>
      <c r="M173" s="720">
        <f>IFERROR(IFERROR(INDEX('WHO GHO Data'!$AB$8:$AB$201,MATCH('HCW + Staff Summary'!$C173,'WHO GHO Data'!$C$8:$C$201,0)),INDEX('WHO GHO Data'!$AE$9:$AE$13,MATCH('HCW + Staff Summary'!$E173,'WHO GHO Data'!$AD$9:$AD$13,0))),"")</f>
        <v>2.310102724793613E-2</v>
      </c>
      <c r="O173" s="29">
        <f>INDEX('WB Population Data'!$D$6:$D$269,MATCH($B173,'WB Population Data'!$B$6:$B$269,0))</f>
        <v>19130000</v>
      </c>
      <c r="P173" s="30">
        <f t="shared" si="8"/>
        <v>300.34099999999995</v>
      </c>
      <c r="Q173" s="29">
        <f t="shared" si="6"/>
        <v>13830.99</v>
      </c>
      <c r="R173" s="29">
        <f>IFERROR(IFERROR(INDEX('WHO GHO Data'!$S$8:$S$201,MATCH($C173,'WHO GHO Data'!$C$8:$C$201,0)),($O173/1000*$K173)),IFERROR($O173/1000*VLOOKUP(E173,$W$9:$Y$12,3,0),0))</f>
        <v>8395.1263316111545</v>
      </c>
      <c r="S173" s="30">
        <f>IFERROR(IFERROR(INDEX('WHO GHO Data'!$U$8:$U$201,MATCH($C173,'WHO GHO Data'!$C$8:$C$201,0)),INDEX('WHO GHO Data'!$AE$9:$AE$13,MATCH($E173,'WHO GHO Data'!$AD$9:$AD$13,0))*'HCW + Staff Summary'!$O173/1000),"")</f>
        <v>441.92265125301816</v>
      </c>
    </row>
    <row r="174" spans="2:19" x14ac:dyDescent="0.75">
      <c r="B174" s="43" t="s">
        <v>460</v>
      </c>
      <c r="C174" s="43" t="s">
        <v>101</v>
      </c>
      <c r="D174" s="132" t="s">
        <v>1076</v>
      </c>
      <c r="E174" s="132" t="s">
        <v>558</v>
      </c>
      <c r="F174" s="132" t="str">
        <f t="shared" si="7"/>
        <v>LMIC</v>
      </c>
      <c r="G174" s="646">
        <f>INDEX('WB HCW &amp; Beds'!$C$558:$BO$821,MATCH($C174,'WB HCW &amp; Beds'!$C$558:$C$821,0),MATCH("Latest value",'WB HCW &amp; Beds'!$C$557:$BO$557,0))</f>
        <v>1.5132000000000001</v>
      </c>
      <c r="H174" s="647">
        <f>INDEX('WB HCW &amp; Beds'!$C$558:$BO$821,MATCH($C174,'WB HCW &amp; Beds'!$C$558:$C$821,0),MATCH("Latest year",'WB HCW &amp; Beds'!$C$557:$BO$557,0))</f>
        <v>2015</v>
      </c>
      <c r="I174" s="651">
        <f>INDEX('WB HCW &amp; Beds'!$C$286:$BP$561,MATCH($C174,'WB HCW &amp; Beds'!$C$286:$C$561,0),MATCH("Value",'WB HCW &amp; Beds'!$C$286:$BP$286,0))</f>
        <v>0.435</v>
      </c>
      <c r="J174" s="647">
        <f>'WB HCW &amp; Beds'!BO454</f>
        <v>2010</v>
      </c>
      <c r="K174" s="653">
        <f>'WB HCW &amp; Beds'!BN182</f>
        <v>4.0717999999999996</v>
      </c>
      <c r="L174" s="654">
        <f>'WB HCW &amp; Beds'!BO182</f>
        <v>2015</v>
      </c>
      <c r="M174" s="720">
        <f>IFERROR(IFERROR(INDEX('WHO GHO Data'!$AB$8:$AB$201,MATCH('HCW + Staff Summary'!$C174,'WHO GHO Data'!$C$8:$C$201,0)),INDEX('WHO GHO Data'!$AE$9:$AE$13,MATCH('HCW + Staff Summary'!$E174,'WHO GHO Data'!$AD$9:$AD$13,0))),"")</f>
        <v>0.20895238814147607</v>
      </c>
      <c r="O174" s="29">
        <f>INDEX('WB Population Data'!$D$6:$D$269,MATCH($B174,'WB Population Data'!$B$6:$B$269,0))</f>
        <v>32366000</v>
      </c>
      <c r="P174" s="30">
        <f t="shared" si="8"/>
        <v>48976.231200000002</v>
      </c>
      <c r="Q174" s="29">
        <f t="shared" si="6"/>
        <v>14079.21</v>
      </c>
      <c r="R174" s="29">
        <f>IFERROR(IFERROR(INDEX('WHO GHO Data'!$S$8:$S$201,MATCH($C174,'WHO GHO Data'!$C$8:$C$201,0)),($O174/1000*$K174)),IFERROR($O174/1000*VLOOKUP(E174,$W$9:$Y$12,3,0),0))</f>
        <v>112289.47918929846</v>
      </c>
      <c r="S174" s="30">
        <f>IFERROR(IFERROR(INDEX('WHO GHO Data'!$U$8:$U$201,MATCH($C174,'WHO GHO Data'!$C$8:$C$201,0)),INDEX('WHO GHO Data'!$AE$9:$AE$13,MATCH($E174,'WHO GHO Data'!$AD$9:$AD$13,0))*'HCW + Staff Summary'!$O174/1000),"")</f>
        <v>6762.9529945870145</v>
      </c>
    </row>
    <row r="175" spans="2:19" x14ac:dyDescent="0.75">
      <c r="B175" s="43" t="s">
        <v>482</v>
      </c>
      <c r="C175" s="43" t="s">
        <v>483</v>
      </c>
      <c r="D175" s="132" t="s">
        <v>1124</v>
      </c>
      <c r="E175" s="132" t="s">
        <v>750</v>
      </c>
      <c r="F175" s="132" t="str">
        <f t="shared" si="7"/>
        <v>Not LMIC</v>
      </c>
      <c r="G175" s="646">
        <f>INDEX('WB HCW &amp; Beds'!$C$558:$BO$821,MATCH($C175,'WB HCW &amp; Beds'!$C$558:$C$821,0),MATCH("Latest value",'WB HCW &amp; Beds'!$C$557:$BO$557,0))</f>
        <v>2.5963425209695612</v>
      </c>
      <c r="H175" s="647">
        <f>INDEX('WB HCW &amp; Beds'!$C$558:$BO$821,MATCH($C175,'WB HCW &amp; Beds'!$C$558:$C$821,0),MATCH("Latest year",'WB HCW &amp; Beds'!$C$557:$BO$557,0))</f>
        <v>2015</v>
      </c>
      <c r="I175" s="651">
        <f>INDEX('WB HCW &amp; Beds'!$C$286:$BP$561,MATCH($C175,'WB HCW &amp; Beds'!$C$286:$C$561,0),MATCH("Value",'WB HCW &amp; Beds'!$C$286:$BP$286,0))</f>
        <v>0.4</v>
      </c>
      <c r="J175" s="647" t="str">
        <f>'WB HCW &amp; Beds'!BO455</f>
        <v>No reported value</v>
      </c>
      <c r="K175" s="653">
        <f>'WB HCW &amp; Beds'!BN183</f>
        <v>8.6857819108011327</v>
      </c>
      <c r="L175" s="654">
        <f>'WB HCW &amp; Beds'!BO183</f>
        <v>2015</v>
      </c>
      <c r="M175" s="720" t="str">
        <f>IFERROR(IFERROR(INDEX('WHO GHO Data'!$AB$8:$AB$201,MATCH('HCW + Staff Summary'!$C175,'WHO GHO Data'!$C$8:$C$201,0)),INDEX('WHO GHO Data'!$AE$9:$AE$13,MATCH('HCW + Staff Summary'!$E175,'WHO GHO Data'!$AD$9:$AD$13,0))),"")</f>
        <v/>
      </c>
      <c r="O175" s="29">
        <f>INDEX('WB Population Data'!$D$6:$D$269,MATCH($B175,'WB Population Data'!$B$6:$B$269,0))</f>
        <v>369599000</v>
      </c>
      <c r="P175" s="30">
        <f t="shared" si="8"/>
        <v>0</v>
      </c>
      <c r="Q175" s="29">
        <f t="shared" si="6"/>
        <v>147839.6</v>
      </c>
      <c r="R175" s="29">
        <f>IFERROR(IFERROR(INDEX('WHO GHO Data'!$S$8:$S$201,MATCH($C175,'WHO GHO Data'!$C$8:$C$201,0)),($O175/1000*$K175)),IFERROR($O175/1000*VLOOKUP(E175,$W$9:$Y$12,3,0),0))</f>
        <v>3210256.308450188</v>
      </c>
      <c r="S175" s="30" t="str">
        <f>IFERROR(IFERROR(INDEX('WHO GHO Data'!$U$8:$U$201,MATCH($C175,'WHO GHO Data'!$C$8:$C$201,0)),INDEX('WHO GHO Data'!$AE$9:$AE$13,MATCH($E175,'WHO GHO Data'!$AD$9:$AD$13,0))*'HCW + Staff Summary'!$O175/1000),"")</f>
        <v/>
      </c>
    </row>
    <row r="176" spans="2:19" x14ac:dyDescent="0.75">
      <c r="B176" s="43" t="s">
        <v>208</v>
      </c>
      <c r="C176" s="43" t="s">
        <v>102</v>
      </c>
      <c r="D176" s="132" t="s">
        <v>1073</v>
      </c>
      <c r="E176" s="132" t="s">
        <v>558</v>
      </c>
      <c r="F176" s="132" t="str">
        <f t="shared" si="7"/>
        <v>LMIC</v>
      </c>
      <c r="G176" s="646">
        <f>INDEX('WB HCW &amp; Beds'!$C$558:$BO$821,MATCH($C176,'WB HCW &amp; Beds'!$C$558:$C$821,0),MATCH("Latest value",'WB HCW &amp; Beds'!$C$557:$BO$557,0))</f>
        <v>0.374</v>
      </c>
      <c r="H176" s="647">
        <f>INDEX('WB HCW &amp; Beds'!$C$558:$BO$821,MATCH($C176,'WB HCW &amp; Beds'!$C$558:$C$821,0),MATCH("Latest year",'WB HCW &amp; Beds'!$C$557:$BO$557,0))</f>
        <v>2010</v>
      </c>
      <c r="I176" s="651">
        <f>INDEX('WB HCW &amp; Beds'!$C$286:$BP$561,MATCH($C176,'WB HCW &amp; Beds'!$C$286:$C$561,0),MATCH("Value",'WB HCW &amp; Beds'!$C$286:$BP$286,0))</f>
        <v>0.4</v>
      </c>
      <c r="J176" s="647" t="str">
        <f>'WB HCW &amp; Beds'!BO456</f>
        <v>No reported value</v>
      </c>
      <c r="K176" s="653">
        <f>'WB HCW &amp; Beds'!BN184</f>
        <v>2.7749999999999999</v>
      </c>
      <c r="L176" s="654">
        <f>'WB HCW &amp; Beds'!BO184</f>
        <v>2010</v>
      </c>
      <c r="M176" s="720">
        <f>IFERROR(IFERROR(INDEX('WHO GHO Data'!$AB$8:$AB$201,MATCH('HCW + Staff Summary'!$C176,'WHO GHO Data'!$C$8:$C$201,0)),INDEX('WHO GHO Data'!$AE$9:$AE$13,MATCH('HCW + Staff Summary'!$E176,'WHO GHO Data'!$AD$9:$AD$13,0))),"")</f>
        <v>8.424385958403928E-2</v>
      </c>
      <c r="O176" s="29">
        <f>INDEX('WB Population Data'!$D$6:$D$269,MATCH($B176,'WB Population Data'!$B$6:$B$269,0))</f>
        <v>2541000</v>
      </c>
      <c r="P176" s="30">
        <f t="shared" si="8"/>
        <v>950.33399999999995</v>
      </c>
      <c r="Q176" s="29">
        <f t="shared" si="6"/>
        <v>1016.4000000000001</v>
      </c>
      <c r="R176" s="29">
        <f>IFERROR(IFERROR(INDEX('WHO GHO Data'!$S$8:$S$201,MATCH($C176,'WHO GHO Data'!$C$8:$C$201,0)),($O176/1000*$K176)),IFERROR($O176/1000*VLOOKUP(E176,$W$9:$Y$12,3,0),0))</f>
        <v>4961.2834294310005</v>
      </c>
      <c r="S176" s="30">
        <f>IFERROR(IFERROR(INDEX('WHO GHO Data'!$U$8:$U$201,MATCH($C176,'WHO GHO Data'!$C$8:$C$201,0)),INDEX('WHO GHO Data'!$AE$9:$AE$13,MATCH($E176,'WHO GHO Data'!$AD$9:$AD$13,0))*'HCW + Staff Summary'!$O176/1000),"")</f>
        <v>214.06364720304381</v>
      </c>
    </row>
    <row r="177" spans="2:19" x14ac:dyDescent="0.75">
      <c r="B177" s="43" t="s">
        <v>479</v>
      </c>
      <c r="C177" s="43" t="s">
        <v>480</v>
      </c>
      <c r="D177" s="132" t="s">
        <v>1124</v>
      </c>
      <c r="E177" s="132" t="s">
        <v>411</v>
      </c>
      <c r="F177" s="132" t="str">
        <f t="shared" si="7"/>
        <v>Not LMIC</v>
      </c>
      <c r="G177" s="646">
        <f>INDEX('WB HCW &amp; Beds'!$C$558:$BO$821,MATCH($C177,'WB HCW &amp; Beds'!$C$558:$C$821,0),MATCH("Latest value",'WB HCW &amp; Beds'!$C$557:$BO$557,0))</f>
        <v>1.982</v>
      </c>
      <c r="H177" s="647">
        <f>INDEX('WB HCW &amp; Beds'!$C$558:$BO$821,MATCH($C177,'WB HCW &amp; Beds'!$C$558:$C$821,0),MATCH("Latest year",'WB HCW &amp; Beds'!$C$557:$BO$557,0))</f>
        <v>1999</v>
      </c>
      <c r="I177" s="651">
        <f>INDEX('WB HCW &amp; Beds'!$C$286:$BP$561,MATCH($C177,'WB HCW &amp; Beds'!$C$286:$C$561,0),MATCH("Value",'WB HCW &amp; Beds'!$C$286:$BP$286,0))</f>
        <v>0.4</v>
      </c>
      <c r="J177" s="647" t="str">
        <f>'WB HCW &amp; Beds'!BO457</f>
        <v>No reported value</v>
      </c>
      <c r="K177" s="653" t="str">
        <f>'WB HCW &amp; Beds'!BN185</f>
        <v>No reported value</v>
      </c>
      <c r="L177" s="654" t="str">
        <f>'WB HCW &amp; Beds'!BO185</f>
        <v>No reported value</v>
      </c>
      <c r="M177" s="720">
        <f>IFERROR(IFERROR(INDEX('WHO GHO Data'!$AB$8:$AB$201,MATCH('HCW + Staff Summary'!$C177,'WHO GHO Data'!$C$8:$C$201,0)),INDEX('WHO GHO Data'!$AE$9:$AE$13,MATCH('HCW + Staff Summary'!$E177,'WHO GHO Data'!$AD$9:$AD$13,0))),"")</f>
        <v>0.54650004528486062</v>
      </c>
      <c r="O177" s="29">
        <f>INDEX('WB Population Data'!$D$6:$D$269,MATCH($B177,'WB Population Data'!$B$6:$B$269,0))</f>
        <v>291000</v>
      </c>
      <c r="P177" s="30">
        <f t="shared" si="8"/>
        <v>576.76199999999994</v>
      </c>
      <c r="Q177" s="29">
        <f t="shared" si="6"/>
        <v>116.4</v>
      </c>
      <c r="R177" s="29">
        <f>IFERROR(IFERROR(INDEX('WHO GHO Data'!$S$8:$S$201,MATCH($C177,'WHO GHO Data'!$C$8:$C$201,0)),($O177/1000*$K177)),IFERROR($O177/1000*VLOOKUP(E177,$W$9:$Y$12,3,0),0))</f>
        <v>2293.7723793103455</v>
      </c>
      <c r="S177" s="30">
        <f>IFERROR(IFERROR(INDEX('WHO GHO Data'!$U$8:$U$201,MATCH($C177,'WHO GHO Data'!$C$8:$C$201,0)),INDEX('WHO GHO Data'!$AE$9:$AE$13,MATCH($E177,'WHO GHO Data'!$AD$9:$AD$13,0))*'HCW + Staff Summary'!$O177/1000),"")</f>
        <v>159.03151317789442</v>
      </c>
    </row>
    <row r="178" spans="2:19" x14ac:dyDescent="0.75">
      <c r="B178" s="43" t="s">
        <v>209</v>
      </c>
      <c r="C178" s="43" t="s">
        <v>103</v>
      </c>
      <c r="D178" s="132" t="s">
        <v>1073</v>
      </c>
      <c r="E178" s="132" t="s">
        <v>453</v>
      </c>
      <c r="F178" s="132" t="str">
        <f t="shared" si="7"/>
        <v>LMIC</v>
      </c>
      <c r="G178" s="646">
        <f>INDEX('WB HCW &amp; Beds'!$C$558:$BO$821,MATCH($C178,'WB HCW &amp; Beds'!$C$558:$C$821,0),MATCH("Latest value",'WB HCW &amp; Beds'!$C$557:$BO$557,0))</f>
        <v>0.05</v>
      </c>
      <c r="H178" s="647">
        <f>INDEX('WB HCW &amp; Beds'!$C$558:$BO$821,MATCH($C178,'WB HCW &amp; Beds'!$C$558:$C$821,0),MATCH("Latest year",'WB HCW &amp; Beds'!$C$557:$BO$557,0))</f>
        <v>2014</v>
      </c>
      <c r="I178" s="651">
        <f>INDEX('WB HCW &amp; Beds'!$C$286:$BP$561,MATCH($C178,'WB HCW &amp; Beds'!$C$286:$C$561,0),MATCH("Value",'WB HCW &amp; Beds'!$C$286:$BP$286,0))</f>
        <v>0.4</v>
      </c>
      <c r="J178" s="647" t="str">
        <f>'WB HCW &amp; Beds'!BO458</f>
        <v>No reported value</v>
      </c>
      <c r="K178" s="653">
        <f>'WB HCW &amp; Beds'!BN186</f>
        <v>0.31090000000000001</v>
      </c>
      <c r="L178" s="654">
        <f>'WB HCW &amp; Beds'!BO186</f>
        <v>2014</v>
      </c>
      <c r="M178" s="720">
        <f>IFERROR(IFERROR(INDEX('WHO GHO Data'!$AB$8:$AB$201,MATCH('HCW + Staff Summary'!$C178,'WHO GHO Data'!$C$8:$C$201,0)),INDEX('WHO GHO Data'!$AE$9:$AE$13,MATCH('HCW + Staff Summary'!$E178,'WHO GHO Data'!$AD$9:$AD$13,0))),"")</f>
        <v>2.3120359255931609E-2</v>
      </c>
      <c r="O178" s="29">
        <f>INDEX('WB Population Data'!$D$6:$D$269,MATCH($B178,'WB Population Data'!$B$6:$B$269,0))</f>
        <v>24207000</v>
      </c>
      <c r="P178" s="30">
        <f t="shared" si="8"/>
        <v>1210.3500000000001</v>
      </c>
      <c r="Q178" s="29">
        <f t="shared" si="6"/>
        <v>9682.8000000000011</v>
      </c>
      <c r="R178" s="29">
        <f>IFERROR(IFERROR(INDEX('WHO GHO Data'!$S$8:$S$201,MATCH($C178,'WHO GHO Data'!$C$8:$C$201,0)),($O178/1000*$K178)),IFERROR($O178/1000*VLOOKUP(E178,$W$9:$Y$12,3,0),0))</f>
        <v>5522.2096558848871</v>
      </c>
      <c r="S178" s="30">
        <f>IFERROR(IFERROR(INDEX('WHO GHO Data'!$U$8:$U$201,MATCH($C178,'WHO GHO Data'!$C$8:$C$201,0)),INDEX('WHO GHO Data'!$AE$9:$AE$13,MATCH($E178,'WHO GHO Data'!$AD$9:$AD$13,0))*'HCW + Staff Summary'!$O178/1000),"")</f>
        <v>559.67453650833647</v>
      </c>
    </row>
    <row r="179" spans="2:19" x14ac:dyDescent="0.75">
      <c r="B179" s="43" t="s">
        <v>177</v>
      </c>
      <c r="C179" s="43" t="s">
        <v>104</v>
      </c>
      <c r="D179" s="132" t="s">
        <v>1073</v>
      </c>
      <c r="E179" s="132" t="s">
        <v>455</v>
      </c>
      <c r="F179" s="132" t="str">
        <f t="shared" si="7"/>
        <v>LMIC</v>
      </c>
      <c r="G179" s="646">
        <f>INDEX('WB HCW &amp; Beds'!$C$558:$BO$821,MATCH($C179,'WB HCW &amp; Beds'!$C$558:$C$821,0),MATCH("Latest value",'WB HCW &amp; Beds'!$C$557:$BO$557,0))</f>
        <v>0.38269999999999998</v>
      </c>
      <c r="H179" s="647">
        <f>INDEX('WB HCW &amp; Beds'!$C$558:$BO$821,MATCH($C179,'WB HCW &amp; Beds'!$C$558:$C$821,0),MATCH("Latest year",'WB HCW &amp; Beds'!$C$557:$BO$557,0))</f>
        <v>2013</v>
      </c>
      <c r="I179" s="651">
        <f>INDEX('WB HCW &amp; Beds'!$C$286:$BP$561,MATCH($C179,'WB HCW &amp; Beds'!$C$286:$C$561,0),MATCH("Value",'WB HCW &amp; Beds'!$C$286:$BP$286,0))</f>
        <v>0.128</v>
      </c>
      <c r="J179" s="647">
        <f>'WB HCW &amp; Beds'!BO459</f>
        <v>2008</v>
      </c>
      <c r="K179" s="653">
        <f>'WB HCW &amp; Beds'!BN187</f>
        <v>1.4523999999999999</v>
      </c>
      <c r="L179" s="654">
        <f>'WB HCW &amp; Beds'!BO187</f>
        <v>2013</v>
      </c>
      <c r="M179" s="720">
        <f>IFERROR(IFERROR(INDEX('WHO GHO Data'!$AB$8:$AB$201,MATCH('HCW + Staff Summary'!$C179,'WHO GHO Data'!$C$8:$C$201,0)),INDEX('WHO GHO Data'!$AE$9:$AE$13,MATCH('HCW + Staff Summary'!$E179,'WHO GHO Data'!$AD$9:$AD$13,0))),"")</f>
        <v>0.28572640647788639</v>
      </c>
      <c r="O179" s="29">
        <f>INDEX('WB Population Data'!$D$6:$D$269,MATCH($B179,'WB Population Data'!$B$6:$B$269,0))</f>
        <v>206140000</v>
      </c>
      <c r="P179" s="30">
        <f t="shared" si="8"/>
        <v>78889.777999999991</v>
      </c>
      <c r="Q179" s="29">
        <f t="shared" si="6"/>
        <v>26385.920000000002</v>
      </c>
      <c r="R179" s="29">
        <f>IFERROR(IFERROR(INDEX('WHO GHO Data'!$S$8:$S$201,MATCH($C179,'WHO GHO Data'!$C$8:$C$201,0)),($O179/1000*$K179)),IFERROR($O179/1000*VLOOKUP(E179,$W$9:$Y$12,3,0),0))</f>
        <v>115965.61378679535</v>
      </c>
      <c r="S179" s="30">
        <f>IFERROR(IFERROR(INDEX('WHO GHO Data'!$U$8:$U$201,MATCH($C179,'WHO GHO Data'!$C$8:$C$201,0)),INDEX('WHO GHO Data'!$AE$9:$AE$13,MATCH($E179,'WHO GHO Data'!$AD$9:$AD$13,0))*'HCW + Staff Summary'!$O179/1000),"")</f>
        <v>58899.641431351498</v>
      </c>
    </row>
    <row r="180" spans="2:19" x14ac:dyDescent="0.75">
      <c r="B180" s="43" t="s">
        <v>227</v>
      </c>
      <c r="C180" s="43" t="s">
        <v>105</v>
      </c>
      <c r="D180" s="132" t="s">
        <v>1075</v>
      </c>
      <c r="E180" s="132" t="s">
        <v>455</v>
      </c>
      <c r="F180" s="132" t="str">
        <f t="shared" si="7"/>
        <v>LMIC</v>
      </c>
      <c r="G180" s="646">
        <f>INDEX('WB HCW &amp; Beds'!$C$558:$BO$821,MATCH($C180,'WB HCW &amp; Beds'!$C$558:$C$821,0),MATCH("Latest value",'WB HCW &amp; Beds'!$C$557:$BO$557,0))</f>
        <v>1.0056</v>
      </c>
      <c r="H180" s="647">
        <f>INDEX('WB HCW &amp; Beds'!$C$558:$BO$821,MATCH($C180,'WB HCW &amp; Beds'!$C$558:$C$821,0),MATCH("Latest year",'WB HCW &amp; Beds'!$C$557:$BO$557,0))</f>
        <v>2018</v>
      </c>
      <c r="I180" s="651">
        <f>INDEX('WB HCW &amp; Beds'!$C$286:$BP$561,MATCH($C180,'WB HCW &amp; Beds'!$C$286:$C$561,0),MATCH("Value",'WB HCW &amp; Beds'!$C$286:$BP$286,0))</f>
        <v>0.4</v>
      </c>
      <c r="J180" s="647" t="str">
        <f>'WB HCW &amp; Beds'!BO460</f>
        <v>No reported value</v>
      </c>
      <c r="K180" s="653">
        <f>'WB HCW &amp; Beds'!BN188</f>
        <v>1.5774999999999999</v>
      </c>
      <c r="L180" s="654">
        <f>'WB HCW &amp; Beds'!BO188</f>
        <v>2018</v>
      </c>
      <c r="M180" s="720">
        <f>IFERROR(IFERROR(INDEX('WHO GHO Data'!$AB$8:$AB$201,MATCH('HCW + Staff Summary'!$C180,'WHO GHO Data'!$C$8:$C$201,0)),INDEX('WHO GHO Data'!$AE$9:$AE$13,MATCH('HCW + Staff Summary'!$E180,'WHO GHO Data'!$AD$9:$AD$13,0))),"")</f>
        <v>0.19666554890207005</v>
      </c>
      <c r="O180" s="29">
        <f>INDEX('WB Population Data'!$D$6:$D$269,MATCH($B180,'WB Population Data'!$B$6:$B$269,0))</f>
        <v>6625000</v>
      </c>
      <c r="P180" s="30">
        <f t="shared" si="8"/>
        <v>6662.1</v>
      </c>
      <c r="Q180" s="29">
        <f t="shared" si="6"/>
        <v>2650</v>
      </c>
      <c r="R180" s="29">
        <f>IFERROR(IFERROR(INDEX('WHO GHO Data'!$S$8:$S$201,MATCH($C180,'WHO GHO Data'!$C$8:$C$201,0)),($O180/1000*$K180)),IFERROR($O180/1000*VLOOKUP(E180,$W$9:$Y$12,3,0),0))</f>
        <v>10170.899541948966</v>
      </c>
      <c r="S180" s="30">
        <f>IFERROR(IFERROR(INDEX('WHO GHO Data'!$U$8:$U$201,MATCH($C180,'WHO GHO Data'!$C$8:$C$201,0)),INDEX('WHO GHO Data'!$AE$9:$AE$13,MATCH($E180,'WHO GHO Data'!$AD$9:$AD$13,0))*'HCW + Staff Summary'!$O180/1000),"")</f>
        <v>1302.9092614762142</v>
      </c>
    </row>
    <row r="181" spans="2:19" x14ac:dyDescent="0.75">
      <c r="B181" s="43" t="s">
        <v>478</v>
      </c>
      <c r="C181" s="43" t="s">
        <v>106</v>
      </c>
      <c r="D181" s="132" t="s">
        <v>1074</v>
      </c>
      <c r="E181" s="132" t="s">
        <v>411</v>
      </c>
      <c r="F181" s="132" t="str">
        <f t="shared" si="7"/>
        <v>Not LMIC</v>
      </c>
      <c r="G181" s="646">
        <f>INDEX('WB HCW &amp; Beds'!$C$558:$BO$821,MATCH($C181,'WB HCW &amp; Beds'!$C$558:$C$821,0),MATCH("Latest value",'WB HCW &amp; Beds'!$C$557:$BO$557,0))</f>
        <v>3.5066999999999999</v>
      </c>
      <c r="H181" s="647">
        <f>INDEX('WB HCW &amp; Beds'!$C$558:$BO$821,MATCH($C181,'WB HCW &amp; Beds'!$C$558:$C$821,0),MATCH("Latest year",'WB HCW &amp; Beds'!$C$557:$BO$557,0))</f>
        <v>2016</v>
      </c>
      <c r="I181" s="651">
        <f>INDEX('WB HCW &amp; Beds'!$C$286:$BP$561,MATCH($C181,'WB HCW &amp; Beds'!$C$286:$C$561,0),MATCH("Value",'WB HCW &amp; Beds'!$C$286:$BP$286,0))</f>
        <v>0.4</v>
      </c>
      <c r="J181" s="647" t="str">
        <f>'WB HCW &amp; Beds'!BO461</f>
        <v>No reported value</v>
      </c>
      <c r="K181" s="653">
        <f>'WB HCW &amp; Beds'!BN189</f>
        <v>11.1043</v>
      </c>
      <c r="L181" s="654">
        <f>'WB HCW &amp; Beds'!BO189</f>
        <v>2016</v>
      </c>
      <c r="M181" s="720">
        <f>IFERROR(IFERROR(INDEX('WHO GHO Data'!$AB$8:$AB$201,MATCH('HCW + Staff Summary'!$C181,'WHO GHO Data'!$C$8:$C$201,0)),INDEX('WHO GHO Data'!$AE$9:$AE$13,MATCH('HCW + Staff Summary'!$E181,'WHO GHO Data'!$AD$9:$AD$13,0))),"")</f>
        <v>0.54650004528486062</v>
      </c>
      <c r="O181" s="29">
        <f>INDEX('WB Population Data'!$D$6:$D$269,MATCH($B181,'WB Population Data'!$B$6:$B$269,0))</f>
        <v>17330000</v>
      </c>
      <c r="P181" s="30">
        <f t="shared" si="8"/>
        <v>60771.110999999997</v>
      </c>
      <c r="Q181" s="29">
        <f t="shared" si="6"/>
        <v>6932</v>
      </c>
      <c r="R181" s="29">
        <f>IFERROR(IFERROR(INDEX('WHO GHO Data'!$S$8:$S$201,MATCH($C181,'WHO GHO Data'!$C$8:$C$201,0)),($O181/1000*$K181)),IFERROR($O181/1000*VLOOKUP(E181,$W$9:$Y$12,3,0),0))</f>
        <v>189187.27787825908</v>
      </c>
      <c r="S181" s="30">
        <f>IFERROR(IFERROR(INDEX('WHO GHO Data'!$U$8:$U$201,MATCH($C181,'WHO GHO Data'!$C$8:$C$201,0)),INDEX('WHO GHO Data'!$AE$9:$AE$13,MATCH($E181,'WHO GHO Data'!$AD$9:$AD$13,0))*'HCW + Staff Summary'!$O181/1000),"")</f>
        <v>9470.8457847866339</v>
      </c>
    </row>
    <row r="182" spans="2:19" x14ac:dyDescent="0.75">
      <c r="B182" s="43" t="s">
        <v>488</v>
      </c>
      <c r="C182" s="43" t="s">
        <v>107</v>
      </c>
      <c r="D182" s="132" t="s">
        <v>1074</v>
      </c>
      <c r="E182" s="132" t="s">
        <v>411</v>
      </c>
      <c r="F182" s="132" t="str">
        <f t="shared" si="7"/>
        <v>Not LMIC</v>
      </c>
      <c r="G182" s="646">
        <f>INDEX('WB HCW &amp; Beds'!$C$558:$BO$821,MATCH($C182,'WB HCW &amp; Beds'!$C$558:$C$821,0),MATCH("Latest value",'WB HCW &amp; Beds'!$C$557:$BO$557,0))</f>
        <v>4.6336000000000004</v>
      </c>
      <c r="H182" s="647">
        <f>INDEX('WB HCW &amp; Beds'!$C$558:$BO$821,MATCH($C182,'WB HCW &amp; Beds'!$C$558:$C$821,0),MATCH("Latest year",'WB HCW &amp; Beds'!$C$557:$BO$557,0))</f>
        <v>2017</v>
      </c>
      <c r="I182" s="651">
        <f>INDEX('WB HCW &amp; Beds'!$C$286:$BP$561,MATCH($C182,'WB HCW &amp; Beds'!$C$286:$C$561,0),MATCH("Value",'WB HCW &amp; Beds'!$C$286:$BP$286,0))</f>
        <v>0.4</v>
      </c>
      <c r="J182" s="647" t="str">
        <f>'WB HCW &amp; Beds'!BO462</f>
        <v>No reported value</v>
      </c>
      <c r="K182" s="653">
        <f>'WB HCW &amp; Beds'!BN190</f>
        <v>18.124700000000001</v>
      </c>
      <c r="L182" s="654">
        <f>'WB HCW &amp; Beds'!BO190</f>
        <v>2017</v>
      </c>
      <c r="M182" s="720">
        <f>IFERROR(IFERROR(INDEX('WHO GHO Data'!$AB$8:$AB$201,MATCH('HCW + Staff Summary'!$C182,'WHO GHO Data'!$C$8:$C$201,0)),INDEX('WHO GHO Data'!$AE$9:$AE$13,MATCH('HCW + Staff Summary'!$E182,'WHO GHO Data'!$AD$9:$AD$13,0))),"")</f>
        <v>0.54650004528486062</v>
      </c>
      <c r="O182" s="29">
        <f>INDEX('WB Population Data'!$D$6:$D$269,MATCH($B182,'WB Population Data'!$B$6:$B$269,0))</f>
        <v>5422000</v>
      </c>
      <c r="P182" s="30">
        <f t="shared" si="8"/>
        <v>25123.379200000003</v>
      </c>
      <c r="Q182" s="29">
        <f t="shared" si="6"/>
        <v>2168.8000000000002</v>
      </c>
      <c r="R182" s="29">
        <f>IFERROR(IFERROR(INDEX('WHO GHO Data'!$S$8:$S$201,MATCH($C182,'WHO GHO Data'!$C$8:$C$201,0)),($O182/1000*$K182)),IFERROR($O182/1000*VLOOKUP(E182,$W$9:$Y$12,3,0),0))</f>
        <v>96041.074009563279</v>
      </c>
      <c r="S182" s="30">
        <f>IFERROR(IFERROR(INDEX('WHO GHO Data'!$U$8:$U$201,MATCH($C182,'WHO GHO Data'!$C$8:$C$201,0)),INDEX('WHO GHO Data'!$AE$9:$AE$13,MATCH($E182,'WHO GHO Data'!$AD$9:$AD$13,0))*'HCW + Staff Summary'!$O182/1000),"")</f>
        <v>2963.1232455345139</v>
      </c>
    </row>
    <row r="183" spans="2:19" x14ac:dyDescent="0.75">
      <c r="B183" s="43" t="s">
        <v>179</v>
      </c>
      <c r="C183" s="43" t="s">
        <v>108</v>
      </c>
      <c r="D183" s="132" t="s">
        <v>1077</v>
      </c>
      <c r="E183" s="132" t="s">
        <v>453</v>
      </c>
      <c r="F183" s="132" t="str">
        <f t="shared" si="7"/>
        <v>LMIC</v>
      </c>
      <c r="G183" s="646">
        <f>INDEX('WB HCW &amp; Beds'!$C$558:$BO$821,MATCH($C183,'WB HCW &amp; Beds'!$C$558:$C$821,0),MATCH("Latest value",'WB HCW &amp; Beds'!$C$557:$BO$557,0))</f>
        <v>0.65069999999999995</v>
      </c>
      <c r="H183" s="647">
        <f>INDEX('WB HCW &amp; Beds'!$C$558:$BO$821,MATCH($C183,'WB HCW &amp; Beds'!$C$558:$C$821,0),MATCH("Latest year",'WB HCW &amp; Beds'!$C$557:$BO$557,0))</f>
        <v>2017</v>
      </c>
      <c r="I183" s="651">
        <f>INDEX('WB HCW &amp; Beds'!$C$286:$BP$561,MATCH($C183,'WB HCW &amp; Beds'!$C$286:$C$561,0),MATCH("Value",'WB HCW &amp; Beds'!$C$286:$BP$286,0))</f>
        <v>0.68400000000000005</v>
      </c>
      <c r="J183" s="647">
        <f>'WB HCW &amp; Beds'!BO463</f>
        <v>2004</v>
      </c>
      <c r="K183" s="653">
        <f>'WB HCW &amp; Beds'!BN191</f>
        <v>2.6854</v>
      </c>
      <c r="L183" s="654">
        <f>'WB HCW &amp; Beds'!BO191</f>
        <v>2017</v>
      </c>
      <c r="M183" s="720">
        <f>IFERROR(IFERROR(INDEX('WHO GHO Data'!$AB$8:$AB$201,MATCH('HCW + Staff Summary'!$C183,'WHO GHO Data'!$C$8:$C$201,0)),INDEX('WHO GHO Data'!$AE$9:$AE$13,MATCH('HCW + Staff Summary'!$E183,'WHO GHO Data'!$AD$9:$AD$13,0))),"")</f>
        <v>0.93980633557160553</v>
      </c>
      <c r="O183" s="29">
        <f>INDEX('WB Population Data'!$D$6:$D$269,MATCH($B183,'WB Population Data'!$B$6:$B$269,0))</f>
        <v>29137000</v>
      </c>
      <c r="P183" s="30">
        <f t="shared" si="8"/>
        <v>18959.445899999999</v>
      </c>
      <c r="Q183" s="29">
        <f t="shared" si="6"/>
        <v>19929.708000000002</v>
      </c>
      <c r="R183" s="29">
        <f>IFERROR(IFERROR(INDEX('WHO GHO Data'!$S$8:$S$201,MATCH($C183,'WHO GHO Data'!$C$8:$C$201,0)),($O183/1000*$K183)),IFERROR($O183/1000*VLOOKUP(E183,$W$9:$Y$12,3,0),0))</f>
        <v>88825.595997782148</v>
      </c>
      <c r="S183" s="30">
        <f>IFERROR(IFERROR(INDEX('WHO GHO Data'!$U$8:$U$201,MATCH($C183,'WHO GHO Data'!$C$8:$C$201,0)),INDEX('WHO GHO Data'!$AE$9:$AE$13,MATCH($E183,'WHO GHO Data'!$AD$9:$AD$13,0))*'HCW + Staff Summary'!$O183/1000),"")</f>
        <v>27383.13719954987</v>
      </c>
    </row>
    <row r="184" spans="2:19" x14ac:dyDescent="0.75">
      <c r="B184" s="43" t="s">
        <v>251</v>
      </c>
      <c r="C184" s="43" t="s">
        <v>109</v>
      </c>
      <c r="D184" s="132" t="s">
        <v>1076</v>
      </c>
      <c r="E184" s="132" t="s">
        <v>558</v>
      </c>
      <c r="F184" s="132" t="str">
        <f t="shared" si="7"/>
        <v>LMIC</v>
      </c>
      <c r="G184" s="646">
        <f>INDEX('WB HCW &amp; Beds'!$C$558:$BO$821,MATCH($C184,'WB HCW &amp; Beds'!$C$558:$C$821,0),MATCH("Latest value",'WB HCW &amp; Beds'!$C$557:$BO$557,0))</f>
        <v>1.2388999999999999</v>
      </c>
      <c r="H184" s="647">
        <f>INDEX('WB HCW &amp; Beds'!$C$558:$BO$821,MATCH($C184,'WB HCW &amp; Beds'!$C$558:$C$821,0),MATCH("Latest year",'WB HCW &amp; Beds'!$C$557:$BO$557,0))</f>
        <v>2015</v>
      </c>
      <c r="I184" s="651">
        <f>INDEX('WB HCW &amp; Beds'!$C$286:$BP$561,MATCH($C184,'WB HCW &amp; Beds'!$C$286:$C$561,0),MATCH("Value",'WB HCW &amp; Beds'!$C$286:$BP$286,0))</f>
        <v>1.6930000000000001</v>
      </c>
      <c r="J184" s="647">
        <f>'WB HCW &amp; Beds'!BO464</f>
        <v>2011</v>
      </c>
      <c r="K184" s="653">
        <f>'WB HCW &amp; Beds'!BN192</f>
        <v>6.1947000000000001</v>
      </c>
      <c r="L184" s="654">
        <f>'WB HCW &amp; Beds'!BO192</f>
        <v>2015</v>
      </c>
      <c r="M184" s="720">
        <f>IFERROR(IFERROR(INDEX('WHO GHO Data'!$AB$8:$AB$201,MATCH('HCW + Staff Summary'!$C184,'WHO GHO Data'!$C$8:$C$201,0)),INDEX('WHO GHO Data'!$AE$9:$AE$13,MATCH('HCW + Staff Summary'!$E184,'WHO GHO Data'!$AD$9:$AD$13,0))),"")</f>
        <v>0.63057009608685932</v>
      </c>
      <c r="O184" s="29">
        <f>INDEX('WB Population Data'!$D$6:$D$269,MATCH($B184,'WB Population Data'!$B$6:$B$269,0))</f>
        <v>13000</v>
      </c>
      <c r="P184" s="30">
        <f t="shared" si="8"/>
        <v>16.105699999999999</v>
      </c>
      <c r="Q184" s="29">
        <f t="shared" si="6"/>
        <v>22.009</v>
      </c>
      <c r="R184" s="29">
        <f>IFERROR(IFERROR(INDEX('WHO GHO Data'!$S$8:$S$201,MATCH($C184,'WHO GHO Data'!$C$8:$C$201,0)),($O184/1000*$K184)),IFERROR($O184/1000*VLOOKUP(E184,$W$9:$Y$12,3,0),0))</f>
        <v>87.346463471190532</v>
      </c>
      <c r="S184" s="30">
        <f>IFERROR(IFERROR(INDEX('WHO GHO Data'!$U$8:$U$201,MATCH($C184,'WHO GHO Data'!$C$8:$C$201,0)),INDEX('WHO GHO Data'!$AE$9:$AE$13,MATCH($E184,'WHO GHO Data'!$AD$9:$AD$13,0))*'HCW + Staff Summary'!$O184/1000),"")</f>
        <v>8.1974112491291713</v>
      </c>
    </row>
    <row r="185" spans="2:19" x14ac:dyDescent="0.75">
      <c r="B185" s="43" t="s">
        <v>481</v>
      </c>
      <c r="C185" s="43" t="s">
        <v>110</v>
      </c>
      <c r="D185" s="132" t="s">
        <v>1076</v>
      </c>
      <c r="E185" s="132" t="s">
        <v>411</v>
      </c>
      <c r="F185" s="132" t="str">
        <f t="shared" si="7"/>
        <v>Not LMIC</v>
      </c>
      <c r="G185" s="646">
        <f>INDEX('WB HCW &amp; Beds'!$C$558:$BO$821,MATCH($C185,'WB HCW &amp; Beds'!$C$558:$C$821,0),MATCH("Latest value",'WB HCW &amp; Beds'!$C$557:$BO$557,0))</f>
        <v>3.0251999999999999</v>
      </c>
      <c r="H185" s="647">
        <f>INDEX('WB HCW &amp; Beds'!$C$558:$BO$821,MATCH($C185,'WB HCW &amp; Beds'!$C$558:$C$821,0),MATCH("Latest year",'WB HCW &amp; Beds'!$C$557:$BO$557,0))</f>
        <v>2016</v>
      </c>
      <c r="I185" s="651">
        <f>INDEX('WB HCW &amp; Beds'!$C$286:$BP$561,MATCH($C185,'WB HCW &amp; Beds'!$C$286:$C$561,0),MATCH("Value",'WB HCW &amp; Beds'!$C$286:$BP$286,0))</f>
        <v>0.4</v>
      </c>
      <c r="J185" s="647" t="str">
        <f>'WB HCW &amp; Beds'!BO465</f>
        <v>No reported value</v>
      </c>
      <c r="K185" s="653">
        <f>'WB HCW &amp; Beds'!BN193</f>
        <v>10.955</v>
      </c>
      <c r="L185" s="654">
        <f>'WB HCW &amp; Beds'!BO193</f>
        <v>2017</v>
      </c>
      <c r="M185" s="720">
        <f>IFERROR(IFERROR(INDEX('WHO GHO Data'!$AB$8:$AB$201,MATCH('HCW + Staff Summary'!$C185,'WHO GHO Data'!$C$8:$C$201,0)),INDEX('WHO GHO Data'!$AE$9:$AE$13,MATCH('HCW + Staff Summary'!$E185,'WHO GHO Data'!$AD$9:$AD$13,0))),"")</f>
        <v>0.74187892469398686</v>
      </c>
      <c r="O185" s="29">
        <f>INDEX('WB Population Data'!$D$6:$D$269,MATCH($B185,'WB Population Data'!$B$6:$B$269,0))</f>
        <v>4971000</v>
      </c>
      <c r="P185" s="30">
        <f t="shared" si="8"/>
        <v>15038.269199999999</v>
      </c>
      <c r="Q185" s="29">
        <f t="shared" si="6"/>
        <v>1988.4</v>
      </c>
      <c r="R185" s="29">
        <f>IFERROR(IFERROR(INDEX('WHO GHO Data'!$S$8:$S$201,MATCH($C185,'WHO GHO Data'!$C$8:$C$201,0)),($O185/1000*$K185)),IFERROR($O185/1000*VLOOKUP(E185,$W$9:$Y$12,3,0),0))</f>
        <v>58521.189459421345</v>
      </c>
      <c r="S185" s="30">
        <f>IFERROR(IFERROR(INDEX('WHO GHO Data'!$U$8:$U$201,MATCH($C185,'WHO GHO Data'!$C$8:$C$201,0)),INDEX('WHO GHO Data'!$AE$9:$AE$13,MATCH($E185,'WHO GHO Data'!$AD$9:$AD$13,0))*'HCW + Staff Summary'!$O185/1000),"")</f>
        <v>3687.8801346538085</v>
      </c>
    </row>
    <row r="186" spans="2:19" x14ac:dyDescent="0.75">
      <c r="B186" s="43" t="s">
        <v>491</v>
      </c>
      <c r="C186" s="43" t="s">
        <v>492</v>
      </c>
      <c r="D186" s="132" t="s">
        <v>1124</v>
      </c>
      <c r="E186" s="132" t="s">
        <v>750</v>
      </c>
      <c r="F186" s="132" t="str">
        <f t="shared" si="7"/>
        <v>Not LMIC</v>
      </c>
      <c r="G186" s="646">
        <f>INDEX('WB HCW &amp; Beds'!$C$558:$BO$821,MATCH($C186,'WB HCW &amp; Beds'!$C$558:$C$821,0),MATCH("Latest value",'WB HCW &amp; Beds'!$C$557:$BO$557,0))</f>
        <v>2.8919392858942818</v>
      </c>
      <c r="H186" s="647">
        <f>INDEX('WB HCW &amp; Beds'!$C$558:$BO$821,MATCH($C186,'WB HCW &amp; Beds'!$C$558:$C$821,0),MATCH("Latest year",'WB HCW &amp; Beds'!$C$557:$BO$557,0))</f>
        <v>2015</v>
      </c>
      <c r="I186" s="651">
        <f>INDEX('WB HCW &amp; Beds'!$C$286:$BP$561,MATCH($C186,'WB HCW &amp; Beds'!$C$286:$C$561,0),MATCH("Value",'WB HCW &amp; Beds'!$C$286:$BP$286,0))</f>
        <v>0.4</v>
      </c>
      <c r="J186" s="647" t="str">
        <f>'WB HCW &amp; Beds'!BO466</f>
        <v>No reported value</v>
      </c>
      <c r="K186" s="653">
        <f>'WB HCW &amp; Beds'!BN194</f>
        <v>8.0446854465695399</v>
      </c>
      <c r="L186" s="654">
        <f>'WB HCW &amp; Beds'!BO194</f>
        <v>2015</v>
      </c>
      <c r="M186" s="720" t="str">
        <f>IFERROR(IFERROR(INDEX('WHO GHO Data'!$AB$8:$AB$201,MATCH('HCW + Staff Summary'!$C186,'WHO GHO Data'!$C$8:$C$201,0)),INDEX('WHO GHO Data'!$AE$9:$AE$13,MATCH('HCW + Staff Summary'!$E186,'WHO GHO Data'!$AD$9:$AD$13,0))),"")</f>
        <v/>
      </c>
      <c r="O186" s="29">
        <f>INDEX('WB Population Data'!$D$6:$D$269,MATCH($B186,'WB Population Data'!$B$6:$B$269,0))</f>
        <v>1315534000</v>
      </c>
      <c r="P186" s="30">
        <f t="shared" si="8"/>
        <v>0</v>
      </c>
      <c r="Q186" s="29">
        <f t="shared" si="6"/>
        <v>526213.6</v>
      </c>
      <c r="R186" s="29">
        <f>IFERROR(IFERROR(INDEX('WHO GHO Data'!$S$8:$S$201,MATCH($C186,'WHO GHO Data'!$C$8:$C$201,0)),($O186/1000*$K186)),IFERROR($O186/1000*VLOOKUP(E186,$W$9:$Y$12,3,0),0))</f>
        <v>10583057.224267414</v>
      </c>
      <c r="S186" s="30" t="str">
        <f>IFERROR(IFERROR(INDEX('WHO GHO Data'!$U$8:$U$201,MATCH($C186,'WHO GHO Data'!$C$8:$C$201,0)),INDEX('WHO GHO Data'!$AE$9:$AE$13,MATCH($E186,'WHO GHO Data'!$AD$9:$AD$13,0))*'HCW + Staff Summary'!$O186/1000),"")</f>
        <v/>
      </c>
    </row>
    <row r="187" spans="2:19" x14ac:dyDescent="0.75">
      <c r="B187" s="43" t="s">
        <v>493</v>
      </c>
      <c r="C187" s="43" t="s">
        <v>111</v>
      </c>
      <c r="D187" s="132" t="s">
        <v>1072</v>
      </c>
      <c r="E187" s="132" t="s">
        <v>411</v>
      </c>
      <c r="F187" s="132" t="str">
        <f t="shared" si="7"/>
        <v>Not LMIC</v>
      </c>
      <c r="G187" s="646">
        <f>INDEX('WB HCW &amp; Beds'!$C$558:$BO$821,MATCH($C187,'WB HCW &amp; Beds'!$C$558:$C$821,0),MATCH("Latest value",'WB HCW &amp; Beds'!$C$557:$BO$557,0))</f>
        <v>1.9697</v>
      </c>
      <c r="H187" s="647">
        <f>INDEX('WB HCW &amp; Beds'!$C$558:$BO$821,MATCH($C187,'WB HCW &amp; Beds'!$C$558:$C$821,0),MATCH("Latest year",'WB HCW &amp; Beds'!$C$557:$BO$557,0))</f>
        <v>2017</v>
      </c>
      <c r="I187" s="651">
        <f>INDEX('WB HCW &amp; Beds'!$C$286:$BP$561,MATCH($C187,'WB HCW &amp; Beds'!$C$286:$C$561,0),MATCH("Value",'WB HCW &amp; Beds'!$C$286:$BP$286,0))</f>
        <v>0.4</v>
      </c>
      <c r="J187" s="647" t="str">
        <f>'WB HCW &amp; Beds'!BO467</f>
        <v>No reported value</v>
      </c>
      <c r="K187" s="653">
        <f>'WB HCW &amp; Beds'!BN195</f>
        <v>4.3003999999999998</v>
      </c>
      <c r="L187" s="654">
        <f>'WB HCW &amp; Beds'!BO195</f>
        <v>2017</v>
      </c>
      <c r="M187" s="720">
        <f>IFERROR(IFERROR(INDEX('WHO GHO Data'!$AB$8:$AB$201,MATCH('HCW + Staff Summary'!$C187,'WHO GHO Data'!$C$8:$C$201,0)),INDEX('WHO GHO Data'!$AE$9:$AE$13,MATCH('HCW + Staff Summary'!$E187,'WHO GHO Data'!$AD$9:$AD$13,0))),"")</f>
        <v>0.53389290393864686</v>
      </c>
      <c r="O187" s="29">
        <f>INDEX('WB Population Data'!$D$6:$D$269,MATCH($B187,'WB Population Data'!$B$6:$B$269,0))</f>
        <v>5107000</v>
      </c>
      <c r="P187" s="30">
        <f t="shared" si="8"/>
        <v>10059.257900000001</v>
      </c>
      <c r="Q187" s="29">
        <f t="shared" si="6"/>
        <v>2042.8000000000002</v>
      </c>
      <c r="R187" s="29">
        <f>IFERROR(IFERROR(INDEX('WHO GHO Data'!$S$8:$S$201,MATCH($C187,'WHO GHO Data'!$C$8:$C$201,0)),($O187/1000*$K187)),IFERROR($O187/1000*VLOOKUP(E187,$W$9:$Y$12,3,0),0))</f>
        <v>21397.237444604205</v>
      </c>
      <c r="S187" s="30">
        <f>IFERROR(IFERROR(INDEX('WHO GHO Data'!$U$8:$U$201,MATCH($C187,'WHO GHO Data'!$C$8:$C$201,0)),INDEX('WHO GHO Data'!$AE$9:$AE$13,MATCH($E187,'WHO GHO Data'!$AD$9:$AD$13,0))*'HCW + Staff Summary'!$O187/1000),"")</f>
        <v>2726.5910604146693</v>
      </c>
    </row>
    <row r="188" spans="2:19" x14ac:dyDescent="0.75">
      <c r="B188" s="43" t="s">
        <v>494</v>
      </c>
      <c r="C188" s="43" t="s">
        <v>495</v>
      </c>
      <c r="D188" s="132" t="s">
        <v>1124</v>
      </c>
      <c r="E188" s="132" t="s">
        <v>750</v>
      </c>
      <c r="F188" s="132" t="str">
        <f t="shared" si="7"/>
        <v>Not LMIC</v>
      </c>
      <c r="G188" s="646">
        <f>INDEX('WB HCW &amp; Beds'!$C$558:$BO$821,MATCH($C188,'WB HCW &amp; Beds'!$C$558:$C$821,0),MATCH("Latest value",'WB HCW &amp; Beds'!$C$557:$BO$557,0))</f>
        <v>0.765803865988685</v>
      </c>
      <c r="H188" s="647">
        <f>INDEX('WB HCW &amp; Beds'!$C$558:$BO$821,MATCH($C188,'WB HCW &amp; Beds'!$C$558:$C$821,0),MATCH("Latest year",'WB HCW &amp; Beds'!$C$557:$BO$557,0))</f>
        <v>2015</v>
      </c>
      <c r="I188" s="651">
        <f>INDEX('WB HCW &amp; Beds'!$C$286:$BP$561,MATCH($C188,'WB HCW &amp; Beds'!$C$286:$C$561,0),MATCH("Value",'WB HCW &amp; Beds'!$C$286:$BP$286,0))</f>
        <v>0.4</v>
      </c>
      <c r="J188" s="647" t="str">
        <f>'WB HCW &amp; Beds'!BO468</f>
        <v>No reported value</v>
      </c>
      <c r="K188" s="653">
        <f>'WB HCW &amp; Beds'!BN196</f>
        <v>3.1396249440349466</v>
      </c>
      <c r="L188" s="654">
        <f>'WB HCW &amp; Beds'!BO196</f>
        <v>2015</v>
      </c>
      <c r="M188" s="720" t="str">
        <f>IFERROR(IFERROR(INDEX('WHO GHO Data'!$AB$8:$AB$201,MATCH('HCW + Staff Summary'!$C188,'WHO GHO Data'!$C$8:$C$201,0)),INDEX('WHO GHO Data'!$AE$9:$AE$13,MATCH('HCW + Staff Summary'!$E188,'WHO GHO Data'!$AD$9:$AD$13,0))),"")</f>
        <v/>
      </c>
      <c r="O188" s="29">
        <f>INDEX('WB Population Data'!$D$6:$D$269,MATCH($B188,'WB Population Data'!$B$6:$B$269,0))</f>
        <v>31882000</v>
      </c>
      <c r="P188" s="30">
        <f t="shared" si="8"/>
        <v>0</v>
      </c>
      <c r="Q188" s="29">
        <f t="shared" si="6"/>
        <v>12752.800000000001</v>
      </c>
      <c r="R188" s="29">
        <f>IFERROR(IFERROR(INDEX('WHO GHO Data'!$S$8:$S$201,MATCH($C188,'WHO GHO Data'!$C$8:$C$201,0)),($O188/1000*$K188)),IFERROR($O188/1000*VLOOKUP(E188,$W$9:$Y$12,3,0),0))</f>
        <v>100097.52246572217</v>
      </c>
      <c r="S188" s="30" t="str">
        <f>IFERROR(IFERROR(INDEX('WHO GHO Data'!$U$8:$U$201,MATCH($C188,'WHO GHO Data'!$C$8:$C$201,0)),INDEX('WHO GHO Data'!$AE$9:$AE$13,MATCH($E188,'WHO GHO Data'!$AD$9:$AD$13,0))*'HCW + Staff Summary'!$O188/1000),"")</f>
        <v/>
      </c>
    </row>
    <row r="189" spans="2:19" x14ac:dyDescent="0.75">
      <c r="B189" s="43" t="s">
        <v>176</v>
      </c>
      <c r="C189" s="43" t="s">
        <v>112</v>
      </c>
      <c r="D189" s="132" t="s">
        <v>1072</v>
      </c>
      <c r="E189" s="132" t="s">
        <v>455</v>
      </c>
      <c r="F189" s="132" t="str">
        <f t="shared" si="7"/>
        <v>LMIC</v>
      </c>
      <c r="G189" s="646">
        <f>INDEX('WB HCW &amp; Beds'!$C$558:$BO$821,MATCH($C189,'WB HCW &amp; Beds'!$C$558:$C$821,0),MATCH("Latest value",'WB HCW &amp; Beds'!$C$557:$BO$557,0))</f>
        <v>0.97529999999999994</v>
      </c>
      <c r="H189" s="647">
        <f>INDEX('WB HCW &amp; Beds'!$C$558:$BO$821,MATCH($C189,'WB HCW &amp; Beds'!$C$558:$C$821,0),MATCH("Latest year",'WB HCW &amp; Beds'!$C$557:$BO$557,0))</f>
        <v>2015</v>
      </c>
      <c r="I189" s="651">
        <f>INDEX('WB HCW &amp; Beds'!$C$286:$BP$561,MATCH($C189,'WB HCW &amp; Beds'!$C$286:$C$561,0),MATCH("Value",'WB HCW &amp; Beds'!$C$286:$BP$286,0))</f>
        <v>8.6999999999999994E-2</v>
      </c>
      <c r="J189" s="647">
        <f>'WB HCW &amp; Beds'!BO469</f>
        <v>2015</v>
      </c>
      <c r="K189" s="653">
        <f>'WB HCW &amp; Beds'!BN197</f>
        <v>0.50039999999999996</v>
      </c>
      <c r="L189" s="654">
        <f>'WB HCW &amp; Beds'!BO197</f>
        <v>2015</v>
      </c>
      <c r="M189" s="720">
        <f>IFERROR(IFERROR(INDEX('WHO GHO Data'!$AB$8:$AB$201,MATCH('HCW + Staff Summary'!$C189,'WHO GHO Data'!$C$8:$C$201,0)),INDEX('WHO GHO Data'!$AE$9:$AE$13,MATCH('HCW + Staff Summary'!$E189,'WHO GHO Data'!$AD$9:$AD$13,0))),"")</f>
        <v>0.18872979158109682</v>
      </c>
      <c r="O189" s="29">
        <f>INDEX('WB Population Data'!$D$6:$D$269,MATCH($B189,'WB Population Data'!$B$6:$B$269,0))</f>
        <v>220892000</v>
      </c>
      <c r="P189" s="30">
        <f t="shared" si="8"/>
        <v>215435.96759999997</v>
      </c>
      <c r="Q189" s="29">
        <f t="shared" si="6"/>
        <v>19217.603999999999</v>
      </c>
      <c r="R189" s="29">
        <f>IFERROR(IFERROR(INDEX('WHO GHO Data'!$S$8:$S$201,MATCH($C189,'WHO GHO Data'!$C$8:$C$201,0)),($O189/1000*$K189)),IFERROR($O189/1000*VLOOKUP(E189,$W$9:$Y$12,3,0),0))</f>
        <v>108136.94632400684</v>
      </c>
      <c r="S189" s="30">
        <f>IFERROR(IFERROR(INDEX('WHO GHO Data'!$U$8:$U$201,MATCH($C189,'WHO GHO Data'!$C$8:$C$201,0)),INDEX('WHO GHO Data'!$AE$9:$AE$13,MATCH($E189,'WHO GHO Data'!$AD$9:$AD$13,0))*'HCW + Staff Summary'!$O189/1000),"")</f>
        <v>41688.901121931638</v>
      </c>
    </row>
    <row r="190" spans="2:19" x14ac:dyDescent="0.75">
      <c r="B190" s="43" t="s">
        <v>500</v>
      </c>
      <c r="C190" s="43" t="s">
        <v>113</v>
      </c>
      <c r="D190" s="132" t="s">
        <v>1075</v>
      </c>
      <c r="E190" s="132" t="s">
        <v>411</v>
      </c>
      <c r="F190" s="132" t="str">
        <f t="shared" si="7"/>
        <v>Not LMIC</v>
      </c>
      <c r="G190" s="646">
        <f>INDEX('WB HCW &amp; Beds'!$C$558:$BO$821,MATCH($C190,'WB HCW &amp; Beds'!$C$558:$C$821,0),MATCH("Latest value",'WB HCW &amp; Beds'!$C$557:$BO$557,0))</f>
        <v>1.5699000000000001</v>
      </c>
      <c r="H190" s="647">
        <f>INDEX('WB HCW &amp; Beds'!$C$558:$BO$821,MATCH($C190,'WB HCW &amp; Beds'!$C$558:$C$821,0),MATCH("Latest year",'WB HCW &amp; Beds'!$C$557:$BO$557,0))</f>
        <v>2016</v>
      </c>
      <c r="I190" s="651">
        <f>INDEX('WB HCW &amp; Beds'!$C$286:$BP$561,MATCH($C190,'WB HCW &amp; Beds'!$C$286:$C$561,0),MATCH("Value",'WB HCW &amp; Beds'!$C$286:$BP$286,0))</f>
        <v>0.46</v>
      </c>
      <c r="J190" s="647">
        <f>'WB HCW &amp; Beds'!BO470</f>
        <v>2000</v>
      </c>
      <c r="K190" s="653">
        <f>'WB HCW &amp; Beds'!BN198</f>
        <v>1.41</v>
      </c>
      <c r="L190" s="654">
        <f>'WB HCW &amp; Beds'!BO198</f>
        <v>2016</v>
      </c>
      <c r="M190" s="720">
        <f>IFERROR(IFERROR(INDEX('WHO GHO Data'!$AB$8:$AB$201,MATCH('HCW + Staff Summary'!$C190,'WHO GHO Data'!$C$8:$C$201,0)),INDEX('WHO GHO Data'!$AE$9:$AE$13,MATCH('HCW + Staff Summary'!$E190,'WHO GHO Data'!$AD$9:$AD$13,0))),"")</f>
        <v>0.54650004528486062</v>
      </c>
      <c r="O190" s="29">
        <f>INDEX('WB Population Data'!$D$6:$D$269,MATCH($B190,'WB Population Data'!$B$6:$B$269,0))</f>
        <v>4315000</v>
      </c>
      <c r="P190" s="30">
        <f t="shared" si="8"/>
        <v>6774.1185000000005</v>
      </c>
      <c r="Q190" s="29">
        <f t="shared" si="6"/>
        <v>1984.9</v>
      </c>
      <c r="R190" s="29">
        <f>IFERROR(IFERROR(INDEX('WHO GHO Data'!$S$8:$S$201,MATCH($C190,'WHO GHO Data'!$C$8:$C$201,0)),($O190/1000*$K190)),IFERROR($O190/1000*VLOOKUP(E190,$W$9:$Y$12,3,0),0))</f>
        <v>13281.730724563167</v>
      </c>
      <c r="S190" s="30">
        <f>IFERROR(IFERROR(INDEX('WHO GHO Data'!$U$8:$U$201,MATCH($C190,'WHO GHO Data'!$C$8:$C$201,0)),INDEX('WHO GHO Data'!$AE$9:$AE$13,MATCH($E190,'WHO GHO Data'!$AD$9:$AD$13,0))*'HCW + Staff Summary'!$O190/1000),"")</f>
        <v>2358.1476954041736</v>
      </c>
    </row>
    <row r="191" spans="2:19" x14ac:dyDescent="0.75">
      <c r="B191" s="43" t="s">
        <v>501</v>
      </c>
      <c r="C191" s="43" t="s">
        <v>114</v>
      </c>
      <c r="D191" s="132" t="s">
        <v>1075</v>
      </c>
      <c r="E191" s="132" t="s">
        <v>558</v>
      </c>
      <c r="F191" s="132" t="str">
        <f t="shared" si="7"/>
        <v>LMIC</v>
      </c>
      <c r="G191" s="646">
        <f>INDEX('WB HCW &amp; Beds'!$C$558:$BO$821,MATCH($C191,'WB HCW &amp; Beds'!$C$558:$C$821,0),MATCH("Latest value",'WB HCW &amp; Beds'!$C$557:$BO$557,0))</f>
        <v>1.27</v>
      </c>
      <c r="H191" s="647">
        <f>INDEX('WB HCW &amp; Beds'!$C$558:$BO$821,MATCH($C191,'WB HCW &amp; Beds'!$C$558:$C$821,0),MATCH("Latest year",'WB HCW &amp; Beds'!$C$557:$BO$557,0))</f>
        <v>2016</v>
      </c>
      <c r="I191" s="651">
        <f>INDEX('WB HCW &amp; Beds'!$C$286:$BP$561,MATCH($C191,'WB HCW &amp; Beds'!$C$286:$C$561,0),MATCH("Value",'WB HCW &amp; Beds'!$C$286:$BP$286,0))</f>
        <v>0.4</v>
      </c>
      <c r="J191" s="647" t="str">
        <f>'WB HCW &amp; Beds'!BO471</f>
        <v>No reported value</v>
      </c>
      <c r="K191" s="653">
        <f>'WB HCW &amp; Beds'!BN199</f>
        <v>1.35</v>
      </c>
      <c r="L191" s="654">
        <f>'WB HCW &amp; Beds'!BO199</f>
        <v>2016</v>
      </c>
      <c r="M191" s="720">
        <f>IFERROR(IFERROR(INDEX('WHO GHO Data'!$AB$8:$AB$201,MATCH('HCW + Staff Summary'!$C191,'WHO GHO Data'!$C$8:$C$201,0)),INDEX('WHO GHO Data'!$AE$9:$AE$13,MATCH('HCW + Staff Summary'!$E191,'WHO GHO Data'!$AD$9:$AD$13,0))),"")</f>
        <v>5.1394831478463257E-2</v>
      </c>
      <c r="O191" s="29">
        <f>INDEX('WB Population Data'!$D$6:$D$269,MATCH($B191,'WB Population Data'!$B$6:$B$269,0))</f>
        <v>32972000</v>
      </c>
      <c r="P191" s="30">
        <f t="shared" si="8"/>
        <v>41874.44</v>
      </c>
      <c r="Q191" s="29">
        <f t="shared" si="6"/>
        <v>13188.800000000001</v>
      </c>
      <c r="R191" s="29">
        <f>IFERROR(IFERROR(INDEX('WHO GHO Data'!$S$8:$S$201,MATCH($C191,'WHO GHO Data'!$C$8:$C$201,0)),($O191/1000*$K191)),IFERROR($O191/1000*VLOOKUP(E191,$W$9:$Y$12,3,0),0))</f>
        <v>80304.524561628103</v>
      </c>
      <c r="S191" s="30">
        <f>IFERROR(IFERROR(INDEX('WHO GHO Data'!$U$8:$U$201,MATCH($C191,'WHO GHO Data'!$C$8:$C$201,0)),INDEX('WHO GHO Data'!$AE$9:$AE$13,MATCH($E191,'WHO GHO Data'!$AD$9:$AD$13,0))*'HCW + Staff Summary'!$O191/1000),"")</f>
        <v>1694.5903835078907</v>
      </c>
    </row>
    <row r="192" spans="2:19" x14ac:dyDescent="0.75">
      <c r="B192" s="43" t="s">
        <v>253</v>
      </c>
      <c r="C192" s="43" t="s">
        <v>115</v>
      </c>
      <c r="D192" s="132" t="s">
        <v>1076</v>
      </c>
      <c r="E192" s="132" t="s">
        <v>455</v>
      </c>
      <c r="F192" s="132" t="str">
        <f t="shared" si="7"/>
        <v>LMIC</v>
      </c>
      <c r="G192" s="646">
        <f>INDEX('WB HCW &amp; Beds'!$C$558:$BO$821,MATCH($C192,'WB HCW &amp; Beds'!$C$558:$C$821,0),MATCH("Latest value",'WB HCW &amp; Beds'!$C$557:$BO$557,0))</f>
        <v>1.2749999999999999</v>
      </c>
      <c r="H192" s="647">
        <f>INDEX('WB HCW &amp; Beds'!$C$558:$BO$821,MATCH($C192,'WB HCW &amp; Beds'!$C$558:$C$821,0),MATCH("Latest year",'WB HCW &amp; Beds'!$C$557:$BO$557,0))</f>
        <v>2010</v>
      </c>
      <c r="I192" s="651">
        <f>INDEX('WB HCW &amp; Beds'!$C$286:$BP$561,MATCH($C192,'WB HCW &amp; Beds'!$C$286:$C$561,0),MATCH("Value",'WB HCW &amp; Beds'!$C$286:$BP$286,0))</f>
        <v>0.4</v>
      </c>
      <c r="J192" s="647" t="str">
        <f>'WB HCW &amp; Beds'!BO472</f>
        <v>No reported value</v>
      </c>
      <c r="K192" s="653">
        <f>'WB HCW &amp; Beds'!BN200</f>
        <v>0.24</v>
      </c>
      <c r="L192" s="654">
        <f>'WB HCW &amp; Beds'!BO200</f>
        <v>2015</v>
      </c>
      <c r="M192" s="720">
        <f>IFERROR(IFERROR(INDEX('WHO GHO Data'!$AB$8:$AB$201,MATCH('HCW + Staff Summary'!$C192,'WHO GHO Data'!$C$8:$C$201,0)),INDEX('WHO GHO Data'!$AE$9:$AE$13,MATCH('HCW + Staff Summary'!$E192,'WHO GHO Data'!$AD$9:$AD$13,0))),"")</f>
        <v>0.2757388684331506</v>
      </c>
      <c r="O192" s="29">
        <f>INDEX('WB Population Data'!$D$6:$D$269,MATCH($B192,'WB Population Data'!$B$6:$B$269,0))</f>
        <v>109581000</v>
      </c>
      <c r="P192" s="30">
        <f t="shared" si="8"/>
        <v>139715.77499999999</v>
      </c>
      <c r="Q192" s="29">
        <f t="shared" si="6"/>
        <v>43832.4</v>
      </c>
      <c r="R192" s="29">
        <f>IFERROR(IFERROR(INDEX('WHO GHO Data'!$S$8:$S$201,MATCH($C192,'WHO GHO Data'!$C$8:$C$201,0)),($O192/1000*$K192)),IFERROR($O192/1000*VLOOKUP(E192,$W$9:$Y$12,3,0),0))</f>
        <v>542399.40182423801</v>
      </c>
      <c r="S192" s="30">
        <f>IFERROR(IFERROR(INDEX('WHO GHO Data'!$U$8:$U$201,MATCH($C192,'WHO GHO Data'!$C$8:$C$201,0)),INDEX('WHO GHO Data'!$AE$9:$AE$13,MATCH($E192,'WHO GHO Data'!$AD$9:$AD$13,0))*'HCW + Staff Summary'!$O192/1000),"")</f>
        <v>30215.740941773074</v>
      </c>
    </row>
    <row r="193" spans="2:19" x14ac:dyDescent="0.75">
      <c r="B193" s="43" t="s">
        <v>498</v>
      </c>
      <c r="C193" s="43" t="s">
        <v>499</v>
      </c>
      <c r="D193" s="132" t="s">
        <v>1076</v>
      </c>
      <c r="E193" s="132" t="s">
        <v>411</v>
      </c>
      <c r="F193" s="132" t="str">
        <f t="shared" si="7"/>
        <v>Not LMIC</v>
      </c>
      <c r="G193" s="646">
        <f>INDEX('WB HCW &amp; Beds'!$C$558:$BO$821,MATCH($C193,'WB HCW &amp; Beds'!$C$558:$C$821,0),MATCH("Latest value",'WB HCW &amp; Beds'!$C$557:$BO$557,0))</f>
        <v>1.1848000000000001</v>
      </c>
      <c r="H193" s="647">
        <f>INDEX('WB HCW &amp; Beds'!$C$558:$BO$821,MATCH($C193,'WB HCW &amp; Beds'!$C$558:$C$821,0),MATCH("Latest year",'WB HCW &amp; Beds'!$C$557:$BO$557,0))</f>
        <v>2014</v>
      </c>
      <c r="I193" s="651">
        <f>INDEX('WB HCW &amp; Beds'!$C$286:$BP$561,MATCH($C193,'WB HCW &amp; Beds'!$C$286:$C$561,0),MATCH("Value",'WB HCW &amp; Beds'!$C$286:$BP$286,0))</f>
        <v>0.4</v>
      </c>
      <c r="J193" s="647" t="str">
        <f>'WB HCW &amp; Beds'!BO473</f>
        <v>No reported value</v>
      </c>
      <c r="K193" s="653">
        <f>'WB HCW &amp; Beds'!BN201</f>
        <v>5.2606999999999999</v>
      </c>
      <c r="L193" s="654">
        <f>'WB HCW &amp; Beds'!BO201</f>
        <v>2014</v>
      </c>
      <c r="M193" s="720">
        <f>IFERROR(IFERROR(INDEX('WHO GHO Data'!$AB$8:$AB$201,MATCH('HCW + Staff Summary'!$C193,'WHO GHO Data'!$C$8:$C$201,0)),INDEX('WHO GHO Data'!$AE$9:$AE$13,MATCH('HCW + Staff Summary'!$E193,'WHO GHO Data'!$AD$9:$AD$13,0))),"")</f>
        <v>0.77805349285220171</v>
      </c>
      <c r="O193" s="29">
        <f>INDEX('WB Population Data'!$D$6:$D$269,MATCH($B193,'WB Population Data'!$B$6:$B$269,0))</f>
        <v>18000</v>
      </c>
      <c r="P193" s="30">
        <f t="shared" si="8"/>
        <v>21.3264</v>
      </c>
      <c r="Q193" s="29">
        <f t="shared" si="6"/>
        <v>7.2</v>
      </c>
      <c r="R193" s="29">
        <f>IFERROR(IFERROR(INDEX('WHO GHO Data'!$S$8:$S$201,MATCH($C193,'WHO GHO Data'!$C$8:$C$201,0)),($O193/1000*$K193)),IFERROR($O193/1000*VLOOKUP(E193,$W$9:$Y$12,3,0),0))</f>
        <v>130.88299544627907</v>
      </c>
      <c r="S193" s="30">
        <f>IFERROR(IFERROR(INDEX('WHO GHO Data'!$U$8:$U$201,MATCH($C193,'WHO GHO Data'!$C$8:$C$201,0)),INDEX('WHO GHO Data'!$AE$9:$AE$13,MATCH($E193,'WHO GHO Data'!$AD$9:$AD$13,0))*'HCW + Staff Summary'!$O193/1000),"")</f>
        <v>14.004962871339631</v>
      </c>
    </row>
    <row r="194" spans="2:19" x14ac:dyDescent="0.75">
      <c r="B194" s="43" t="s">
        <v>252</v>
      </c>
      <c r="C194" s="43" t="s">
        <v>116</v>
      </c>
      <c r="D194" s="132" t="s">
        <v>1076</v>
      </c>
      <c r="E194" s="132" t="s">
        <v>455</v>
      </c>
      <c r="F194" s="132" t="str">
        <f t="shared" si="7"/>
        <v>LMIC</v>
      </c>
      <c r="G194" s="646">
        <f>INDEX('WB HCW &amp; Beds'!$C$558:$BO$821,MATCH($C194,'WB HCW &amp; Beds'!$C$558:$C$821,0),MATCH("Latest value",'WB HCW &amp; Beds'!$C$557:$BO$557,0))</f>
        <v>5.2900000000000003E-2</v>
      </c>
      <c r="H194" s="647">
        <f>INDEX('WB HCW &amp; Beds'!$C$558:$BO$821,MATCH($C194,'WB HCW &amp; Beds'!$C$558:$C$821,0),MATCH("Latest year",'WB HCW &amp; Beds'!$C$557:$BO$557,0))</f>
        <v>2010</v>
      </c>
      <c r="I194" s="651">
        <f>INDEX('WB HCW &amp; Beds'!$C$286:$BP$561,MATCH($C194,'WB HCW &amp; Beds'!$C$286:$C$561,0),MATCH("Value",'WB HCW &amp; Beds'!$C$286:$BP$286,0))</f>
        <v>0.59399999999999997</v>
      </c>
      <c r="J194" s="647">
        <f>'WB HCW &amp; Beds'!BO474</f>
        <v>2008</v>
      </c>
      <c r="K194" s="653">
        <f>'WB HCW &amp; Beds'!BN202</f>
        <v>0.51249999999999996</v>
      </c>
      <c r="L194" s="654">
        <f>'WB HCW &amp; Beds'!BO202</f>
        <v>2010</v>
      </c>
      <c r="M194" s="720">
        <f>IFERROR(IFERROR(INDEX('WHO GHO Data'!$AB$8:$AB$201,MATCH('HCW + Staff Summary'!$C194,'WHO GHO Data'!$C$8:$C$201,0)),INDEX('WHO GHO Data'!$AE$9:$AE$13,MATCH('HCW + Staff Summary'!$E194,'WHO GHO Data'!$AD$9:$AD$13,0))),"")</f>
        <v>0.2757388684331506</v>
      </c>
      <c r="O194" s="29">
        <f>INDEX('WB Population Data'!$D$6:$D$269,MATCH($B194,'WB Population Data'!$B$6:$B$269,0))</f>
        <v>8947000</v>
      </c>
      <c r="P194" s="30">
        <f t="shared" si="8"/>
        <v>473.29630000000003</v>
      </c>
      <c r="Q194" s="29">
        <f t="shared" si="6"/>
        <v>5314.518</v>
      </c>
      <c r="R194" s="29">
        <f>IFERROR(IFERROR(INDEX('WHO GHO Data'!$S$8:$S$201,MATCH($C194,'WHO GHO Data'!$C$8:$C$201,0)),($O194/1000*$K194)),IFERROR($O194/1000*VLOOKUP(E194,$W$9:$Y$12,3,0),0))</f>
        <v>3367.5946612873686</v>
      </c>
      <c r="S194" s="30">
        <f>IFERROR(IFERROR(INDEX('WHO GHO Data'!$U$8:$U$201,MATCH($C194,'WHO GHO Data'!$C$8:$C$201,0)),INDEX('WHO GHO Data'!$AE$9:$AE$13,MATCH($E194,'WHO GHO Data'!$AD$9:$AD$13,0))*'HCW + Staff Summary'!$O194/1000),"")</f>
        <v>2467.0356558713984</v>
      </c>
    </row>
    <row r="195" spans="2:19" x14ac:dyDescent="0.75">
      <c r="B195" s="43" t="s">
        <v>502</v>
      </c>
      <c r="C195" s="43" t="s">
        <v>117</v>
      </c>
      <c r="D195" s="132" t="s">
        <v>1074</v>
      </c>
      <c r="E195" s="132" t="s">
        <v>411</v>
      </c>
      <c r="F195" s="132" t="str">
        <f t="shared" si="7"/>
        <v>Not LMIC</v>
      </c>
      <c r="G195" s="646">
        <f>INDEX('WB HCW &amp; Beds'!$C$558:$BO$821,MATCH($C195,'WB HCW &amp; Beds'!$C$558:$C$821,0),MATCH("Latest value",'WB HCW &amp; Beds'!$C$557:$BO$557,0))</f>
        <v>2.3997999999999999</v>
      </c>
      <c r="H195" s="647">
        <f>INDEX('WB HCW &amp; Beds'!$C$558:$BO$821,MATCH($C195,'WB HCW &amp; Beds'!$C$558:$C$821,0),MATCH("Latest year",'WB HCW &amp; Beds'!$C$557:$BO$557,0))</f>
        <v>2016</v>
      </c>
      <c r="I195" s="651">
        <f>INDEX('WB HCW &amp; Beds'!$C$286:$BP$561,MATCH($C195,'WB HCW &amp; Beds'!$C$286:$C$561,0),MATCH("Value",'WB HCW &amp; Beds'!$C$286:$BP$286,0))</f>
        <v>0.4</v>
      </c>
      <c r="J195" s="647" t="str">
        <f>'WB HCW &amp; Beds'!BO475</f>
        <v>No reported value</v>
      </c>
      <c r="K195" s="653">
        <f>'WB HCW &amp; Beds'!BN203</f>
        <v>5.7221000000000002</v>
      </c>
      <c r="L195" s="654">
        <f>'WB HCW &amp; Beds'!BO203</f>
        <v>2016</v>
      </c>
      <c r="M195" s="720">
        <f>IFERROR(IFERROR(INDEX('WHO GHO Data'!$AB$8:$AB$201,MATCH('HCW + Staff Summary'!$C195,'WHO GHO Data'!$C$8:$C$201,0)),INDEX('WHO GHO Data'!$AE$9:$AE$13,MATCH('HCW + Staff Summary'!$E195,'WHO GHO Data'!$AD$9:$AD$13,0))),"")</f>
        <v>0.54650004528486062</v>
      </c>
      <c r="O195" s="29">
        <f>INDEX('WB Population Data'!$D$6:$D$269,MATCH($B195,'WB Population Data'!$B$6:$B$269,0))</f>
        <v>37806000</v>
      </c>
      <c r="P195" s="30">
        <f t="shared" si="8"/>
        <v>90726.838799999998</v>
      </c>
      <c r="Q195" s="29">
        <f t="shared" si="6"/>
        <v>15122.400000000001</v>
      </c>
      <c r="R195" s="29">
        <f>IFERROR(IFERROR(INDEX('WHO GHO Data'!$S$8:$S$201,MATCH($C195,'WHO GHO Data'!$C$8:$C$201,0)),($O195/1000*$K195)),IFERROR($O195/1000*VLOOKUP(E195,$W$9:$Y$12,3,0),0))</f>
        <v>232860.85415011045</v>
      </c>
      <c r="S195" s="30">
        <f>IFERROR(IFERROR(INDEX('WHO GHO Data'!$U$8:$U$201,MATCH($C195,'WHO GHO Data'!$C$8:$C$201,0)),INDEX('WHO GHO Data'!$AE$9:$AE$13,MATCH($E195,'WHO GHO Data'!$AD$9:$AD$13,0))*'HCW + Staff Summary'!$O195/1000),"")</f>
        <v>20660.98071203944</v>
      </c>
    </row>
    <row r="196" spans="2:19" x14ac:dyDescent="0.75">
      <c r="B196" s="43" t="s">
        <v>506</v>
      </c>
      <c r="C196" s="43" t="s">
        <v>507</v>
      </c>
      <c r="D196" s="132" t="s">
        <v>1124</v>
      </c>
      <c r="E196" s="132" t="s">
        <v>750</v>
      </c>
      <c r="F196" s="132" t="str">
        <f t="shared" si="7"/>
        <v>Not LMIC</v>
      </c>
      <c r="G196" s="646">
        <f>INDEX('WB HCW &amp; Beds'!$C$558:$BO$821,MATCH($C196,'WB HCW &amp; Beds'!$C$558:$C$821,0),MATCH("Latest value",'WB HCW &amp; Beds'!$C$557:$BO$557,0))</f>
        <v>0.21840284487090372</v>
      </c>
      <c r="H196" s="647">
        <f>INDEX('WB HCW &amp; Beds'!$C$558:$BO$821,MATCH($C196,'WB HCW &amp; Beds'!$C$558:$C$821,0),MATCH("Latest year",'WB HCW &amp; Beds'!$C$557:$BO$557,0))</f>
        <v>2015</v>
      </c>
      <c r="I196" s="651">
        <f>INDEX('WB HCW &amp; Beds'!$C$286:$BP$561,MATCH($C196,'WB HCW &amp; Beds'!$C$286:$C$561,0),MATCH("Value",'WB HCW &amp; Beds'!$C$286:$BP$286,0))</f>
        <v>0.4</v>
      </c>
      <c r="J196" s="647" t="str">
        <f>'WB HCW &amp; Beds'!BO476</f>
        <v>No reported value</v>
      </c>
      <c r="K196" s="653">
        <f>'WB HCW &amp; Beds'!BN204</f>
        <v>0.86118598428335402</v>
      </c>
      <c r="L196" s="654">
        <f>'WB HCW &amp; Beds'!BO204</f>
        <v>2015</v>
      </c>
      <c r="M196" s="720" t="str">
        <f>IFERROR(IFERROR(INDEX('WHO GHO Data'!$AB$8:$AB$201,MATCH('HCW + Staff Summary'!$C196,'WHO GHO Data'!$C$8:$C$201,0)),INDEX('WHO GHO Data'!$AE$9:$AE$13,MATCH('HCW + Staff Summary'!$E196,'WHO GHO Data'!$AD$9:$AD$13,0))),"")</f>
        <v/>
      </c>
      <c r="O196" s="29">
        <f>INDEX('WB Population Data'!$D$6:$D$269,MATCH($B196,'WB Population Data'!$B$6:$B$269,0))</f>
        <v>970795000</v>
      </c>
      <c r="P196" s="30">
        <f t="shared" si="8"/>
        <v>0</v>
      </c>
      <c r="Q196" s="29">
        <f t="shared" si="6"/>
        <v>388318</v>
      </c>
      <c r="R196" s="29">
        <f>IFERROR(IFERROR(INDEX('WHO GHO Data'!$S$8:$S$201,MATCH($C196,'WHO GHO Data'!$C$8:$C$201,0)),($O196/1000*$K196)),IFERROR($O196/1000*VLOOKUP(E196,$W$9:$Y$12,3,0),0))</f>
        <v>836035.0476123587</v>
      </c>
      <c r="S196" s="30" t="str">
        <f>IFERROR(IFERROR(INDEX('WHO GHO Data'!$U$8:$U$201,MATCH($C196,'WHO GHO Data'!$C$8:$C$201,0)),INDEX('WHO GHO Data'!$AE$9:$AE$13,MATCH($E196,'WHO GHO Data'!$AD$9:$AD$13,0))*'HCW + Staff Summary'!$O196/1000),"")</f>
        <v/>
      </c>
    </row>
    <row r="197" spans="2:19" x14ac:dyDescent="0.75">
      <c r="B197" s="43" t="s">
        <v>508</v>
      </c>
      <c r="C197" s="43" t="s">
        <v>509</v>
      </c>
      <c r="D197" s="132" t="s">
        <v>1124</v>
      </c>
      <c r="E197" s="132" t="s">
        <v>411</v>
      </c>
      <c r="F197" s="132" t="str">
        <f t="shared" si="7"/>
        <v>Not LMIC</v>
      </c>
      <c r="G197" s="646">
        <f>INDEX('WB HCW &amp; Beds'!$C$558:$BO$821,MATCH($C197,'WB HCW &amp; Beds'!$C$558:$C$821,0),MATCH("Latest value",'WB HCW &amp; Beds'!$C$557:$BO$557,0))</f>
        <v>1.75</v>
      </c>
      <c r="H197" s="647">
        <f>INDEX('WB HCW &amp; Beds'!$C$558:$BO$821,MATCH($C197,'WB HCW &amp; Beds'!$C$558:$C$821,0),MATCH("Latest year",'WB HCW &amp; Beds'!$C$557:$BO$557,0))</f>
        <v>1995</v>
      </c>
      <c r="I197" s="651">
        <f>INDEX('WB HCW &amp; Beds'!$C$286:$BP$561,MATCH($C197,'WB HCW &amp; Beds'!$C$286:$C$561,0),MATCH("Value",'WB HCW &amp; Beds'!$C$286:$BP$286,0))</f>
        <v>0.4</v>
      </c>
      <c r="J197" s="647" t="str">
        <f>'WB HCW &amp; Beds'!BO477</f>
        <v>No reported value</v>
      </c>
      <c r="K197" s="653" t="str">
        <f>'WB HCW &amp; Beds'!BN205</f>
        <v>No reported value</v>
      </c>
      <c r="L197" s="654" t="str">
        <f>'WB HCW &amp; Beds'!BO205</f>
        <v>No reported value</v>
      </c>
      <c r="M197" s="720">
        <f>IFERROR(IFERROR(INDEX('WHO GHO Data'!$AB$8:$AB$201,MATCH('HCW + Staff Summary'!$C197,'WHO GHO Data'!$C$8:$C$201,0)),INDEX('WHO GHO Data'!$AE$9:$AE$13,MATCH('HCW + Staff Summary'!$E197,'WHO GHO Data'!$AD$9:$AD$13,0))),"")</f>
        <v>0.54650004528486062</v>
      </c>
      <c r="O197" s="29">
        <f>INDEX('WB Population Data'!$D$6:$D$269,MATCH($B197,'WB Population Data'!$B$6:$B$269,0))</f>
        <v>3184000</v>
      </c>
      <c r="P197" s="30">
        <f t="shared" si="8"/>
        <v>5572</v>
      </c>
      <c r="Q197" s="29">
        <f t="shared" si="6"/>
        <v>1273.6000000000001</v>
      </c>
      <c r="R197" s="29">
        <f>IFERROR(IFERROR(INDEX('WHO GHO Data'!$S$8:$S$201,MATCH($C197,'WHO GHO Data'!$C$8:$C$201,0)),($O197/1000*$K197)),IFERROR($O197/1000*VLOOKUP(E197,$W$9:$Y$12,3,0),0))</f>
        <v>25097.495724137938</v>
      </c>
      <c r="S197" s="30">
        <f>IFERROR(IFERROR(INDEX('WHO GHO Data'!$U$8:$U$201,MATCH($C197,'WHO GHO Data'!$C$8:$C$201,0)),INDEX('WHO GHO Data'!$AE$9:$AE$13,MATCH($E197,'WHO GHO Data'!$AD$9:$AD$13,0))*'HCW + Staff Summary'!$O197/1000),"")</f>
        <v>1740.0561441869961</v>
      </c>
    </row>
    <row r="198" spans="2:19" x14ac:dyDescent="0.75">
      <c r="B198" s="43" t="s">
        <v>429</v>
      </c>
      <c r="C198" s="43" t="s">
        <v>158</v>
      </c>
      <c r="D198" s="132" t="s">
        <v>1077</v>
      </c>
      <c r="E198" s="132" t="s">
        <v>453</v>
      </c>
      <c r="F198" s="132" t="str">
        <f t="shared" si="7"/>
        <v>LMIC</v>
      </c>
      <c r="G198" s="646">
        <f>INDEX('WB HCW &amp; Beds'!$C$558:$BO$821,MATCH($C198,'WB HCW &amp; Beds'!$C$558:$C$821,0),MATCH("Latest value",'WB HCW &amp; Beds'!$C$557:$BO$557,0))</f>
        <v>3.6745000000000001</v>
      </c>
      <c r="H198" s="647">
        <f>INDEX('WB HCW &amp; Beds'!$C$558:$BO$821,MATCH($C198,'WB HCW &amp; Beds'!$C$558:$C$821,0),MATCH("Latest year",'WB HCW &amp; Beds'!$C$557:$BO$557,0))</f>
        <v>2017</v>
      </c>
      <c r="I198" s="651">
        <f>INDEX('WB HCW &amp; Beds'!$C$286:$BP$561,MATCH($C198,'WB HCW &amp; Beds'!$C$286:$C$561,0),MATCH("Value",'WB HCW &amp; Beds'!$C$286:$BP$286,0))</f>
        <v>0.4</v>
      </c>
      <c r="J198" s="647" t="str">
        <f>'WB HCW &amp; Beds'!BO478</f>
        <v>No reported value</v>
      </c>
      <c r="K198" s="653">
        <f>'WB HCW &amp; Beds'!BN206</f>
        <v>4.4382000000000001</v>
      </c>
      <c r="L198" s="654">
        <f>'WB HCW &amp; Beds'!BO206</f>
        <v>2017</v>
      </c>
      <c r="M198" s="720">
        <f>IFERROR(IFERROR(INDEX('WHO GHO Data'!$AB$8:$AB$201,MATCH('HCW + Staff Summary'!$C198,'WHO GHO Data'!$C$8:$C$201,0)),INDEX('WHO GHO Data'!$AE$9:$AE$13,MATCH('HCW + Staff Summary'!$E198,'WHO GHO Data'!$AD$9:$AD$13,0))),"")</f>
        <v>9.849709954994014E-2</v>
      </c>
      <c r="O198" s="29">
        <f>INDEX('WB Population Data'!$D$6:$D$269,MATCH($B198,'WB Population Data'!$B$6:$B$269,0))</f>
        <v>25779000</v>
      </c>
      <c r="P198" s="30">
        <f t="shared" si="8"/>
        <v>94724.935500000007</v>
      </c>
      <c r="Q198" s="29">
        <f t="shared" si="6"/>
        <v>10311.6</v>
      </c>
      <c r="R198" s="29">
        <f>IFERROR(IFERROR(INDEX('WHO GHO Data'!$S$8:$S$201,MATCH($C198,'WHO GHO Data'!$C$8:$C$201,0)),($O198/1000*$K198)),IFERROR($O198/1000*VLOOKUP(E198,$W$9:$Y$12,3,0),0))</f>
        <v>106683.03784936052</v>
      </c>
      <c r="S198" s="30">
        <f>IFERROR(IFERROR(INDEX('WHO GHO Data'!$U$8:$U$201,MATCH($C198,'WHO GHO Data'!$C$8:$C$201,0)),INDEX('WHO GHO Data'!$AE$9:$AE$13,MATCH($E198,'WHO GHO Data'!$AD$9:$AD$13,0))*'HCW + Staff Summary'!$O198/1000),"")</f>
        <v>2539.1567292979071</v>
      </c>
    </row>
    <row r="199" spans="2:19" x14ac:dyDescent="0.75">
      <c r="B199" s="43" t="s">
        <v>503</v>
      </c>
      <c r="C199" s="43" t="s">
        <v>118</v>
      </c>
      <c r="D199" s="132" t="s">
        <v>1074</v>
      </c>
      <c r="E199" s="132" t="s">
        <v>411</v>
      </c>
      <c r="F199" s="132" t="str">
        <f t="shared" si="7"/>
        <v>Not LMIC</v>
      </c>
      <c r="G199" s="646">
        <f>INDEX('WB HCW &amp; Beds'!$C$558:$BO$821,MATCH($C199,'WB HCW &amp; Beds'!$C$558:$C$821,0),MATCH("Latest value",'WB HCW &amp; Beds'!$C$557:$BO$557,0))</f>
        <v>3.3355999999999999</v>
      </c>
      <c r="H199" s="647">
        <f>INDEX('WB HCW &amp; Beds'!$C$558:$BO$821,MATCH($C199,'WB HCW &amp; Beds'!$C$558:$C$821,0),MATCH("Latest year",'WB HCW &amp; Beds'!$C$557:$BO$557,0))</f>
        <v>2016</v>
      </c>
      <c r="I199" s="651">
        <f>INDEX('WB HCW &amp; Beds'!$C$286:$BP$561,MATCH($C199,'WB HCW &amp; Beds'!$C$286:$C$561,0),MATCH("Value",'WB HCW &amp; Beds'!$C$286:$BP$286,0))</f>
        <v>0.4</v>
      </c>
      <c r="J199" s="647" t="str">
        <f>'WB HCW &amp; Beds'!BO479</f>
        <v>No reported value</v>
      </c>
      <c r="K199" s="653">
        <f>'WB HCW &amp; Beds'!BN207</f>
        <v>6.3724999999999996</v>
      </c>
      <c r="L199" s="654">
        <f>'WB HCW &amp; Beds'!BO207</f>
        <v>2016</v>
      </c>
      <c r="M199" s="720">
        <f>IFERROR(IFERROR(INDEX('WHO GHO Data'!$AB$8:$AB$201,MATCH('HCW + Staff Summary'!$C199,'WHO GHO Data'!$C$8:$C$201,0)),INDEX('WHO GHO Data'!$AE$9:$AE$13,MATCH('HCW + Staff Summary'!$E199,'WHO GHO Data'!$AD$9:$AD$13,0))),"")</f>
        <v>0.54650004528486062</v>
      </c>
      <c r="O199" s="29">
        <f>INDEX('WB Population Data'!$D$6:$D$269,MATCH($B199,'WB Population Data'!$B$6:$B$269,0))</f>
        <v>10195000</v>
      </c>
      <c r="P199" s="30">
        <f t="shared" si="8"/>
        <v>34006.441999999995</v>
      </c>
      <c r="Q199" s="29">
        <f t="shared" ref="Q199:Q262" si="9">IFERROR($O199/1000*$I199,0)</f>
        <v>4078</v>
      </c>
      <c r="R199" s="29">
        <f>IFERROR(IFERROR(INDEX('WHO GHO Data'!$S$8:$S$201,MATCH($C199,'WHO GHO Data'!$C$8:$C$201,0)),($O199/1000*$K199)),IFERROR($O199/1000*VLOOKUP(E199,$W$9:$Y$12,3,0),0))</f>
        <v>68277.786566543364</v>
      </c>
      <c r="S199" s="30">
        <f>IFERROR(IFERROR(INDEX('WHO GHO Data'!$U$8:$U$201,MATCH($C199,'WHO GHO Data'!$C$8:$C$201,0)),INDEX('WHO GHO Data'!$AE$9:$AE$13,MATCH($E199,'WHO GHO Data'!$AD$9:$AD$13,0))*'HCW + Staff Summary'!$O199/1000),"")</f>
        <v>5571.567961679154</v>
      </c>
    </row>
    <row r="200" spans="2:19" x14ac:dyDescent="0.75">
      <c r="B200" s="43" t="s">
        <v>228</v>
      </c>
      <c r="C200" s="43" t="s">
        <v>119</v>
      </c>
      <c r="D200" s="132" t="s">
        <v>1075</v>
      </c>
      <c r="E200" s="132" t="s">
        <v>558</v>
      </c>
      <c r="F200" s="132" t="str">
        <f t="shared" ref="F200:F263" si="10">IF(OR(E200="High income",E200="Out"),"Not LMIC","LMIC")</f>
        <v>LMIC</v>
      </c>
      <c r="G200" s="646">
        <f>INDEX('WB HCW &amp; Beds'!$C$558:$BO$821,MATCH($C200,'WB HCW &amp; Beds'!$C$558:$C$821,0),MATCH("Latest value",'WB HCW &amp; Beds'!$C$557:$BO$557,0))</f>
        <v>1.3660000000000001</v>
      </c>
      <c r="H200" s="647">
        <f>INDEX('WB HCW &amp; Beds'!$C$558:$BO$821,MATCH($C200,'WB HCW &amp; Beds'!$C$558:$C$821,0),MATCH("Latest year",'WB HCW &amp; Beds'!$C$557:$BO$557,0))</f>
        <v>2018</v>
      </c>
      <c r="I200" s="651">
        <f>INDEX('WB HCW &amp; Beds'!$C$286:$BP$561,MATCH($C200,'WB HCW &amp; Beds'!$C$286:$C$561,0),MATCH("Value",'WB HCW &amp; Beds'!$C$286:$BP$286,0))</f>
        <v>0.4</v>
      </c>
      <c r="J200" s="647" t="str">
        <f>'WB HCW &amp; Beds'!BO480</f>
        <v>No reported value</v>
      </c>
      <c r="K200" s="653">
        <f>'WB HCW &amp; Beds'!BN208</f>
        <v>1.1669</v>
      </c>
      <c r="L200" s="654">
        <f>'WB HCW &amp; Beds'!BO208</f>
        <v>2018</v>
      </c>
      <c r="M200" s="720">
        <f>IFERROR(IFERROR(INDEX('WHO GHO Data'!$AB$8:$AB$201,MATCH('HCW + Staff Summary'!$C200,'WHO GHO Data'!$C$8:$C$201,0)),INDEX('WHO GHO Data'!$AE$9:$AE$13,MATCH('HCW + Staff Summary'!$E200,'WHO GHO Data'!$AD$9:$AD$13,0))),"")</f>
        <v>0.21728172050848721</v>
      </c>
      <c r="O200" s="29">
        <f>INDEX('WB Population Data'!$D$6:$D$269,MATCH($B200,'WB Population Data'!$B$6:$B$269,0))</f>
        <v>7133000</v>
      </c>
      <c r="P200" s="30">
        <f t="shared" ref="P200:P263" si="11">IF(E200="OUT",0,IFERROR($O200/1000*$G200,$O200/1000*VLOOKUP(E200,$W$9:$X$12,2,0)))</f>
        <v>9743.6779999999999</v>
      </c>
      <c r="Q200" s="29">
        <f t="shared" si="9"/>
        <v>2853.2000000000003</v>
      </c>
      <c r="R200" s="29">
        <f>IFERROR(IFERROR(INDEX('WHO GHO Data'!$S$8:$S$201,MATCH($C200,'WHO GHO Data'!$C$8:$C$201,0)),($O200/1000*$K200)),IFERROR($O200/1000*VLOOKUP(E200,$W$9:$Y$12,3,0),0))</f>
        <v>10676.327321344921</v>
      </c>
      <c r="S200" s="30">
        <f>IFERROR(IFERROR(INDEX('WHO GHO Data'!$U$8:$U$201,MATCH($C200,'WHO GHO Data'!$C$8:$C$201,0)),INDEX('WHO GHO Data'!$AE$9:$AE$13,MATCH($E200,'WHO GHO Data'!$AD$9:$AD$13,0))*'HCW + Staff Summary'!$O200/1000),"")</f>
        <v>1549.8705123870393</v>
      </c>
    </row>
    <row r="201" spans="2:19" x14ac:dyDescent="0.75">
      <c r="B201" s="43" t="s">
        <v>568</v>
      </c>
      <c r="C201" s="43" t="s">
        <v>569</v>
      </c>
      <c r="D201" s="132" t="s">
        <v>1124</v>
      </c>
      <c r="E201" s="132" t="s">
        <v>455</v>
      </c>
      <c r="F201" s="132" t="str">
        <f t="shared" si="10"/>
        <v>LMIC</v>
      </c>
      <c r="G201" s="646">
        <f>INDEX('WB HCW &amp; Beds'!$C$558:$BO$821,MATCH($C201,'WB HCW &amp; Beds'!$C$558:$C$821,0),MATCH("Latest value",'WB HCW &amp; Beds'!$C$557:$BO$557,0))</f>
        <v>0.83699999999999997</v>
      </c>
      <c r="H201" s="647">
        <f>INDEX('WB HCW &amp; Beds'!$C$558:$BO$821,MATCH($C201,'WB HCW &amp; Beds'!$C$558:$C$821,0),MATCH("Latest year",'WB HCW &amp; Beds'!$C$557:$BO$557,0))</f>
        <v>2001</v>
      </c>
      <c r="I201" s="651">
        <f>INDEX('WB HCW &amp; Beds'!$C$286:$BP$561,MATCH($C201,'WB HCW &amp; Beds'!$C$286:$C$561,0),MATCH("Value",'WB HCW &amp; Beds'!$C$286:$BP$286,0))</f>
        <v>0.4</v>
      </c>
      <c r="J201" s="647" t="str">
        <f>'WB HCW &amp; Beds'!BO481</f>
        <v>No reported value</v>
      </c>
      <c r="K201" s="653" t="str">
        <f>'WB HCW &amp; Beds'!BN209</f>
        <v>No reported value</v>
      </c>
      <c r="L201" s="654" t="str">
        <f>'WB HCW &amp; Beds'!BO209</f>
        <v>No reported value</v>
      </c>
      <c r="M201" s="720">
        <f>IFERROR(IFERROR(INDEX('WHO GHO Data'!$AB$8:$AB$201,MATCH('HCW + Staff Summary'!$C201,'WHO GHO Data'!$C$8:$C$201,0)),INDEX('WHO GHO Data'!$AE$9:$AE$13,MATCH('HCW + Staff Summary'!$E201,'WHO GHO Data'!$AD$9:$AD$13,0))),"")</f>
        <v>0.2757388684331506</v>
      </c>
      <c r="O201" s="29">
        <f>INDEX('WB Population Data'!$D$6:$D$269,MATCH($B201,'WB Population Data'!$B$6:$B$269,0))</f>
        <v>4813000</v>
      </c>
      <c r="P201" s="30">
        <f t="shared" si="11"/>
        <v>4028.4809999999998</v>
      </c>
      <c r="Q201" s="29">
        <f t="shared" si="9"/>
        <v>1925.2</v>
      </c>
      <c r="R201" s="29">
        <f>IFERROR(IFERROR(INDEX('WHO GHO Data'!$S$8:$S$201,MATCH($C201,'WHO GHO Data'!$C$8:$C$201,0)),($O201/1000*$K201)),IFERROR($O201/1000*VLOOKUP(E201,$W$9:$Y$12,3,0),0))</f>
        <v>8668.2290105031279</v>
      </c>
      <c r="S201" s="30">
        <f>IFERROR(IFERROR(INDEX('WHO GHO Data'!$U$8:$U$201,MATCH($C201,'WHO GHO Data'!$C$8:$C$201,0)),INDEX('WHO GHO Data'!$AE$9:$AE$13,MATCH($E201,'WHO GHO Data'!$AD$9:$AD$13,0))*'HCW + Staff Summary'!$O201/1000),"")</f>
        <v>1327.1311737687538</v>
      </c>
    </row>
    <row r="202" spans="2:19" x14ac:dyDescent="0.75">
      <c r="B202" s="43" t="s">
        <v>496</v>
      </c>
      <c r="C202" s="43" t="s">
        <v>497</v>
      </c>
      <c r="D202" s="132" t="s">
        <v>1124</v>
      </c>
      <c r="E202" s="132" t="s">
        <v>750</v>
      </c>
      <c r="F202" s="132" t="str">
        <f t="shared" si="10"/>
        <v>Not LMIC</v>
      </c>
      <c r="G202" s="646">
        <f>INDEX('WB HCW &amp; Beds'!$C$558:$BO$821,MATCH($C202,'WB HCW &amp; Beds'!$C$558:$C$821,0),MATCH("Latest value",'WB HCW &amp; Beds'!$C$557:$BO$557,0))</f>
        <v>0.47855072594996245</v>
      </c>
      <c r="H202" s="647">
        <f>INDEX('WB HCW &amp; Beds'!$C$558:$BO$821,MATCH($C202,'WB HCW &amp; Beds'!$C$558:$C$821,0),MATCH("Latest year",'WB HCW &amp; Beds'!$C$557:$BO$557,0))</f>
        <v>2015</v>
      </c>
      <c r="I202" s="651">
        <f>INDEX('WB HCW &amp; Beds'!$C$286:$BP$561,MATCH($C202,'WB HCW &amp; Beds'!$C$286:$C$561,0),MATCH("Value",'WB HCW &amp; Beds'!$C$286:$BP$286,0))</f>
        <v>0.4</v>
      </c>
      <c r="J202" s="647" t="str">
        <f>'WB HCW &amp; Beds'!BO482</f>
        <v>No reported value</v>
      </c>
      <c r="K202" s="653">
        <f>'WB HCW &amp; Beds'!BN210</f>
        <v>2.6663553305383778</v>
      </c>
      <c r="L202" s="654">
        <f>'WB HCW &amp; Beds'!BO210</f>
        <v>2015</v>
      </c>
      <c r="M202" s="720" t="str">
        <f>IFERROR(IFERROR(INDEX('WHO GHO Data'!$AB$8:$AB$201,MATCH('HCW + Staff Summary'!$C202,'WHO GHO Data'!$C$8:$C$201,0)),INDEX('WHO GHO Data'!$AE$9:$AE$13,MATCH('HCW + Staff Summary'!$E202,'WHO GHO Data'!$AD$9:$AD$13,0))),"")</f>
        <v/>
      </c>
      <c r="O202" s="29">
        <f>INDEX('WB Population Data'!$D$6:$D$269,MATCH($B202,'WB Population Data'!$B$6:$B$269,0))</f>
        <v>2530000</v>
      </c>
      <c r="P202" s="30">
        <f t="shared" si="11"/>
        <v>0</v>
      </c>
      <c r="Q202" s="29">
        <f t="shared" si="9"/>
        <v>1012</v>
      </c>
      <c r="R202" s="29">
        <f>IFERROR(IFERROR(INDEX('WHO GHO Data'!$S$8:$S$201,MATCH($C202,'WHO GHO Data'!$C$8:$C$201,0)),($O202/1000*$K202)),IFERROR($O202/1000*VLOOKUP(E202,$W$9:$Y$12,3,0),0))</f>
        <v>6745.8789862620961</v>
      </c>
      <c r="S202" s="30" t="str">
        <f>IFERROR(IFERROR(INDEX('WHO GHO Data'!$U$8:$U$201,MATCH($C202,'WHO GHO Data'!$C$8:$C$201,0)),INDEX('WHO GHO Data'!$AE$9:$AE$13,MATCH($E202,'WHO GHO Data'!$AD$9:$AD$13,0))*'HCW + Staff Summary'!$O202/1000),"")</f>
        <v/>
      </c>
    </row>
    <row r="203" spans="2:19" x14ac:dyDescent="0.75">
      <c r="B203" s="43" t="s">
        <v>504</v>
      </c>
      <c r="C203" s="43" t="s">
        <v>505</v>
      </c>
      <c r="D203" s="132" t="s">
        <v>1124</v>
      </c>
      <c r="E203" s="132" t="s">
        <v>750</v>
      </c>
      <c r="F203" s="132" t="str">
        <f t="shared" si="10"/>
        <v>Not LMIC</v>
      </c>
      <c r="G203" s="646">
        <f>INDEX('WB HCW &amp; Beds'!$C$558:$BO$821,MATCH($C203,'WB HCW &amp; Beds'!$C$558:$C$821,0),MATCH("Latest value",'WB HCW &amp; Beds'!$C$557:$BO$557,0))</f>
        <v>3.1621791156419099</v>
      </c>
      <c r="H203" s="647">
        <f>INDEX('WB HCW &amp; Beds'!$C$558:$BO$821,MATCH($C203,'WB HCW &amp; Beds'!$C$558:$C$821,0),MATCH("Latest year",'WB HCW &amp; Beds'!$C$557:$BO$557,0))</f>
        <v>2015</v>
      </c>
      <c r="I203" s="651">
        <f>INDEX('WB HCW &amp; Beds'!$C$286:$BP$561,MATCH($C203,'WB HCW &amp; Beds'!$C$286:$C$561,0),MATCH("Value",'WB HCW &amp; Beds'!$C$286:$BP$286,0))</f>
        <v>0.4</v>
      </c>
      <c r="J203" s="647" t="str">
        <f>'WB HCW &amp; Beds'!BO483</f>
        <v>No reported value</v>
      </c>
      <c r="K203" s="653">
        <f>'WB HCW &amp; Beds'!BN211</f>
        <v>9.1628473489550117</v>
      </c>
      <c r="L203" s="654">
        <f>'WB HCW &amp; Beds'!BO211</f>
        <v>2015</v>
      </c>
      <c r="M203" s="720" t="str">
        <f>IFERROR(IFERROR(INDEX('WHO GHO Data'!$AB$8:$AB$201,MATCH('HCW + Staff Summary'!$C203,'WHO GHO Data'!$C$8:$C$201,0)),INDEX('WHO GHO Data'!$AE$9:$AE$13,MATCH('HCW + Staff Summary'!$E203,'WHO GHO Data'!$AD$9:$AD$13,0))),"")</f>
        <v/>
      </c>
      <c r="O203" s="29">
        <f>INDEX('WB Population Data'!$D$6:$D$269,MATCH($B203,'WB Population Data'!$B$6:$B$269,0))</f>
        <v>1116268000</v>
      </c>
      <c r="P203" s="30">
        <f t="shared" si="11"/>
        <v>0</v>
      </c>
      <c r="Q203" s="29">
        <f t="shared" si="9"/>
        <v>446507.2</v>
      </c>
      <c r="R203" s="29">
        <f>IFERROR(IFERROR(INDEX('WHO GHO Data'!$S$8:$S$201,MATCH($C203,'WHO GHO Data'!$C$8:$C$201,0)),($O203/1000*$K203)),IFERROR($O203/1000*VLOOKUP(E203,$W$9:$Y$12,3,0),0))</f>
        <v>10228193.284523314</v>
      </c>
      <c r="S203" s="30" t="str">
        <f>IFERROR(IFERROR(INDEX('WHO GHO Data'!$U$8:$U$201,MATCH($C203,'WHO GHO Data'!$C$8:$C$201,0)),INDEX('WHO GHO Data'!$AE$9:$AE$13,MATCH($E203,'WHO GHO Data'!$AD$9:$AD$13,0))*'HCW + Staff Summary'!$O203/1000),"")</f>
        <v/>
      </c>
    </row>
    <row r="204" spans="2:19" x14ac:dyDescent="0.75">
      <c r="B204" s="43" t="s">
        <v>397</v>
      </c>
      <c r="C204" s="43" t="s">
        <v>398</v>
      </c>
      <c r="D204" s="132" t="s">
        <v>1124</v>
      </c>
      <c r="E204" s="132" t="s">
        <v>411</v>
      </c>
      <c r="F204" s="132" t="str">
        <f t="shared" si="10"/>
        <v>Not LMIC</v>
      </c>
      <c r="G204" s="646">
        <f>INDEX('WB HCW &amp; Beds'!$C$558:$BO$821,MATCH($C204,'WB HCW &amp; Beds'!$C$558:$C$821,0),MATCH("Latest value",'WB HCW &amp; Beds'!$C$557:$BO$557,0))</f>
        <v>1.6970000000000001</v>
      </c>
      <c r="H204" s="647">
        <f>INDEX('WB HCW &amp; Beds'!$C$558:$BO$821,MATCH($C204,'WB HCW &amp; Beds'!$C$558:$C$821,0),MATCH("Latest year",'WB HCW &amp; Beds'!$C$557:$BO$557,0))</f>
        <v>2000</v>
      </c>
      <c r="I204" s="651">
        <f>INDEX('WB HCW &amp; Beds'!$C$286:$BP$561,MATCH($C204,'WB HCW &amp; Beds'!$C$286:$C$561,0),MATCH("Value",'WB HCW &amp; Beds'!$C$286:$BP$286,0))</f>
        <v>0.4</v>
      </c>
      <c r="J204" s="647" t="str">
        <f>'WB HCW &amp; Beds'!BO484</f>
        <v>No reported value</v>
      </c>
      <c r="K204" s="653" t="str">
        <f>'WB HCW &amp; Beds'!BN212</f>
        <v>No reported value</v>
      </c>
      <c r="L204" s="654" t="str">
        <f>'WB HCW &amp; Beds'!BO212</f>
        <v>No reported value</v>
      </c>
      <c r="M204" s="720">
        <f>IFERROR(IFERROR(INDEX('WHO GHO Data'!$AB$8:$AB$201,MATCH('HCW + Staff Summary'!$C204,'WHO GHO Data'!$C$8:$C$201,0)),INDEX('WHO GHO Data'!$AE$9:$AE$13,MATCH('HCW + Staff Summary'!$E204,'WHO GHO Data'!$AD$9:$AD$13,0))),"")</f>
        <v>0.54650004528486062</v>
      </c>
      <c r="O204" s="29">
        <f>INDEX('WB Population Data'!$D$6:$D$269,MATCH($B204,'WB Population Data'!$B$6:$B$269,0))</f>
        <v>281000</v>
      </c>
      <c r="P204" s="30">
        <f t="shared" si="11"/>
        <v>476.85700000000003</v>
      </c>
      <c r="Q204" s="29">
        <f t="shared" si="9"/>
        <v>112.4</v>
      </c>
      <c r="R204" s="29">
        <f>IFERROR(IFERROR(INDEX('WHO GHO Data'!$S$8:$S$201,MATCH($C204,'WHO GHO Data'!$C$8:$C$201,0)),($O204/1000*$K204)),IFERROR($O204/1000*VLOOKUP(E204,$W$9:$Y$12,3,0),0))</f>
        <v>2214.9485862068968</v>
      </c>
      <c r="S204" s="30">
        <f>IFERROR(IFERROR(INDEX('WHO GHO Data'!$U$8:$U$201,MATCH($C204,'WHO GHO Data'!$C$8:$C$201,0)),INDEX('WHO GHO Data'!$AE$9:$AE$13,MATCH($E204,'WHO GHO Data'!$AD$9:$AD$13,0))*'HCW + Staff Summary'!$O204/1000),"")</f>
        <v>153.56651272504584</v>
      </c>
    </row>
    <row r="205" spans="2:19" x14ac:dyDescent="0.75">
      <c r="B205" s="43" t="s">
        <v>510</v>
      </c>
      <c r="C205" s="43" t="s">
        <v>120</v>
      </c>
      <c r="D205" s="132" t="s">
        <v>1072</v>
      </c>
      <c r="E205" s="132" t="s">
        <v>411</v>
      </c>
      <c r="F205" s="132" t="str">
        <f t="shared" si="10"/>
        <v>Not LMIC</v>
      </c>
      <c r="G205" s="646">
        <f>INDEX('WB HCW &amp; Beds'!$C$558:$BO$821,MATCH($C205,'WB HCW &amp; Beds'!$C$558:$C$821,0),MATCH("Latest value",'WB HCW &amp; Beds'!$C$557:$BO$557,0))</f>
        <v>8.0000000000000004E-4</v>
      </c>
      <c r="H205" s="647">
        <f>INDEX('WB HCW &amp; Beds'!$C$558:$BO$821,MATCH($C205,'WB HCW &amp; Beds'!$C$558:$C$821,0),MATCH("Latest year",'WB HCW &amp; Beds'!$C$557:$BO$557,0))</f>
        <v>2017</v>
      </c>
      <c r="I205" s="651">
        <f>INDEX('WB HCW &amp; Beds'!$C$286:$BP$561,MATCH($C205,'WB HCW &amp; Beds'!$C$286:$C$561,0),MATCH("Value",'WB HCW &amp; Beds'!$C$286:$BP$286,0))</f>
        <v>0.4</v>
      </c>
      <c r="J205" s="647" t="str">
        <f>'WB HCW &amp; Beds'!BO485</f>
        <v>No reported value</v>
      </c>
      <c r="K205" s="653">
        <f>'WB HCW &amp; Beds'!BN213</f>
        <v>6.6028000000000002</v>
      </c>
      <c r="L205" s="654">
        <f>'WB HCW &amp; Beds'!BO213</f>
        <v>2016</v>
      </c>
      <c r="M205" s="720">
        <f>IFERROR(IFERROR(INDEX('WHO GHO Data'!$AB$8:$AB$201,MATCH('HCW + Staff Summary'!$C205,'WHO GHO Data'!$C$8:$C$201,0)),INDEX('WHO GHO Data'!$AE$9:$AE$13,MATCH('HCW + Staff Summary'!$E205,'WHO GHO Data'!$AD$9:$AD$13,0))),"")</f>
        <v>0.28268961910499252</v>
      </c>
      <c r="O205" s="29">
        <f>INDEX('WB Population Data'!$D$6:$D$269,MATCH($B205,'WB Population Data'!$B$6:$B$269,0))</f>
        <v>2881000</v>
      </c>
      <c r="P205" s="30">
        <f t="shared" si="11"/>
        <v>2.3048000000000002</v>
      </c>
      <c r="Q205" s="29">
        <f t="shared" si="9"/>
        <v>1152.4000000000001</v>
      </c>
      <c r="R205" s="29">
        <f>IFERROR(IFERROR(INDEX('WHO GHO Data'!$S$8:$S$201,MATCH($C205,'WHO GHO Data'!$C$8:$C$201,0)),($O205/1000*$K205)),IFERROR($O205/1000*VLOOKUP(E205,$W$9:$Y$12,3,0),0))</f>
        <v>21306.818094126324</v>
      </c>
      <c r="S205" s="30">
        <f>IFERROR(IFERROR(INDEX('WHO GHO Data'!$U$8:$U$201,MATCH($C205,'WHO GHO Data'!$C$8:$C$201,0)),INDEX('WHO GHO Data'!$AE$9:$AE$13,MATCH($E205,'WHO GHO Data'!$AD$9:$AD$13,0))*'HCW + Staff Summary'!$O205/1000),"")</f>
        <v>814.42879264148348</v>
      </c>
    </row>
    <row r="206" spans="2:19" x14ac:dyDescent="0.75">
      <c r="B206" s="43" t="s">
        <v>511</v>
      </c>
      <c r="C206" s="43" t="s">
        <v>121</v>
      </c>
      <c r="D206" s="132" t="s">
        <v>1074</v>
      </c>
      <c r="E206" s="132" t="s">
        <v>558</v>
      </c>
      <c r="F206" s="132" t="str">
        <f t="shared" si="10"/>
        <v>LMIC</v>
      </c>
      <c r="G206" s="646">
        <f>INDEX('WB HCW &amp; Beds'!$C$558:$BO$821,MATCH($C206,'WB HCW &amp; Beds'!$C$558:$C$821,0),MATCH("Latest value",'WB HCW &amp; Beds'!$C$557:$BO$557,0))</f>
        <v>2.2585999999999999</v>
      </c>
      <c r="H206" s="647">
        <f>INDEX('WB HCW &amp; Beds'!$C$558:$BO$821,MATCH($C206,'WB HCW &amp; Beds'!$C$558:$C$821,0),MATCH("Latest year",'WB HCW &amp; Beds'!$C$557:$BO$557,0))</f>
        <v>2016</v>
      </c>
      <c r="I206" s="651">
        <f>INDEX('WB HCW &amp; Beds'!$C$286:$BP$561,MATCH($C206,'WB HCW &amp; Beds'!$C$286:$C$561,0),MATCH("Value",'WB HCW &amp; Beds'!$C$286:$BP$286,0))</f>
        <v>0.4</v>
      </c>
      <c r="J206" s="647" t="str">
        <f>'WB HCW &amp; Beds'!BO486</f>
        <v>No reported value</v>
      </c>
      <c r="K206" s="653">
        <f>'WB HCW &amp; Beds'!BN214</f>
        <v>6.0979000000000001</v>
      </c>
      <c r="L206" s="654">
        <f>'WB HCW &amp; Beds'!BO214</f>
        <v>2016</v>
      </c>
      <c r="M206" s="720">
        <f>IFERROR(IFERROR(INDEX('WHO GHO Data'!$AB$8:$AB$201,MATCH('HCW + Staff Summary'!$C206,'WHO GHO Data'!$C$8:$C$201,0)),INDEX('WHO GHO Data'!$AE$9:$AE$13,MATCH('HCW + Staff Summary'!$E206,'WHO GHO Data'!$AD$9:$AD$13,0))),"")</f>
        <v>2.2810919414832199E-2</v>
      </c>
      <c r="O206" s="29">
        <f>INDEX('WB Population Data'!$D$6:$D$269,MATCH($B206,'WB Population Data'!$B$6:$B$269,0))</f>
        <v>19247000</v>
      </c>
      <c r="P206" s="30">
        <f t="shared" si="11"/>
        <v>43471.2742</v>
      </c>
      <c r="Q206" s="29">
        <f t="shared" si="9"/>
        <v>7698.8</v>
      </c>
      <c r="R206" s="29">
        <f>IFERROR(IFERROR(INDEX('WHO GHO Data'!$S$8:$S$201,MATCH($C206,'WHO GHO Data'!$C$8:$C$201,0)),($O206/1000*$K206)),IFERROR($O206/1000*VLOOKUP(E206,$W$9:$Y$12,3,0),0))</f>
        <v>139633.581752439</v>
      </c>
      <c r="S206" s="30">
        <f>IFERROR(IFERROR(INDEX('WHO GHO Data'!$U$8:$U$201,MATCH($C206,'WHO GHO Data'!$C$8:$C$201,0)),INDEX('WHO GHO Data'!$AE$9:$AE$13,MATCH($E206,'WHO GHO Data'!$AD$9:$AD$13,0))*'HCW + Staff Summary'!$O206/1000),"")</f>
        <v>439.0417659772753</v>
      </c>
    </row>
    <row r="207" spans="2:19" x14ac:dyDescent="0.75">
      <c r="B207" s="43" t="s">
        <v>512</v>
      </c>
      <c r="C207" s="43" t="s">
        <v>122</v>
      </c>
      <c r="D207" s="132" t="s">
        <v>1074</v>
      </c>
      <c r="E207" s="132" t="s">
        <v>558</v>
      </c>
      <c r="F207" s="132" t="str">
        <f t="shared" si="10"/>
        <v>LMIC</v>
      </c>
      <c r="G207" s="646">
        <f>INDEX('WB HCW &amp; Beds'!$C$558:$BO$821,MATCH($C207,'WB HCW &amp; Beds'!$C$558:$C$821,0),MATCH("Latest value",'WB HCW &amp; Beds'!$C$557:$BO$557,0))</f>
        <v>4.0138999999999996</v>
      </c>
      <c r="H207" s="647">
        <f>INDEX('WB HCW &amp; Beds'!$C$558:$BO$821,MATCH($C207,'WB HCW &amp; Beds'!$C$558:$C$821,0),MATCH("Latest year",'WB HCW &amp; Beds'!$C$557:$BO$557,0))</f>
        <v>2016</v>
      </c>
      <c r="I207" s="651">
        <f>INDEX('WB HCW &amp; Beds'!$C$286:$BP$561,MATCH($C207,'WB HCW &amp; Beds'!$C$286:$C$561,0),MATCH("Value",'WB HCW &amp; Beds'!$C$286:$BP$286,0))</f>
        <v>0.4</v>
      </c>
      <c r="J207" s="647" t="str">
        <f>'WB HCW &amp; Beds'!BO487</f>
        <v>No reported value</v>
      </c>
      <c r="K207" s="653">
        <f>'WB HCW &amp; Beds'!BN215</f>
        <v>8.6212</v>
      </c>
      <c r="L207" s="654">
        <f>'WB HCW &amp; Beds'!BO215</f>
        <v>2016</v>
      </c>
      <c r="M207" s="720">
        <f>IFERROR(IFERROR(INDEX('WHO GHO Data'!$AB$8:$AB$201,MATCH('HCW + Staff Summary'!$C207,'WHO GHO Data'!$C$8:$C$201,0)),INDEX('WHO GHO Data'!$AE$9:$AE$13,MATCH('HCW + Staff Summary'!$E207,'WHO GHO Data'!$AD$9:$AD$13,0))),"")</f>
        <v>0.21980423949700909</v>
      </c>
      <c r="O207" s="29">
        <f>INDEX('WB Population Data'!$D$6:$D$269,MATCH($B207,'WB Population Data'!$B$6:$B$269,0))</f>
        <v>144222000</v>
      </c>
      <c r="P207" s="30">
        <f t="shared" si="11"/>
        <v>578892.68579999998</v>
      </c>
      <c r="Q207" s="29">
        <f t="shared" si="9"/>
        <v>57688.800000000003</v>
      </c>
      <c r="R207" s="29">
        <f>IFERROR(IFERROR(INDEX('WHO GHO Data'!$S$8:$S$201,MATCH($C207,'WHO GHO Data'!$C$8:$C$201,0)),($O207/1000*$K207)),IFERROR($O207/1000*VLOOKUP(E207,$W$9:$Y$12,3,0),0))</f>
        <v>1248287.7733652589</v>
      </c>
      <c r="S207" s="30">
        <f>IFERROR(IFERROR(INDEX('WHO GHO Data'!$U$8:$U$201,MATCH($C207,'WHO GHO Data'!$C$8:$C$201,0)),INDEX('WHO GHO Data'!$AE$9:$AE$13,MATCH($E207,'WHO GHO Data'!$AD$9:$AD$13,0))*'HCW + Staff Summary'!$O207/1000),"")</f>
        <v>31700.607028737646</v>
      </c>
    </row>
    <row r="208" spans="2:19" x14ac:dyDescent="0.75">
      <c r="B208" s="43" t="s">
        <v>210</v>
      </c>
      <c r="C208" s="43" t="s">
        <v>123</v>
      </c>
      <c r="D208" s="132" t="s">
        <v>1073</v>
      </c>
      <c r="E208" s="132" t="s">
        <v>453</v>
      </c>
      <c r="F208" s="132" t="str">
        <f t="shared" si="10"/>
        <v>LMIC</v>
      </c>
      <c r="G208" s="646">
        <f>INDEX('WB HCW &amp; Beds'!$C$558:$BO$821,MATCH($C208,'WB HCW &amp; Beds'!$C$558:$C$821,0),MATCH("Latest value",'WB HCW &amp; Beds'!$C$557:$BO$557,0))</f>
        <v>0.1346</v>
      </c>
      <c r="H208" s="647">
        <f>INDEX('WB HCW &amp; Beds'!$C$558:$BO$821,MATCH($C208,'WB HCW &amp; Beds'!$C$558:$C$821,0),MATCH("Latest year",'WB HCW &amp; Beds'!$C$557:$BO$557,0))</f>
        <v>2017</v>
      </c>
      <c r="I208" s="651">
        <f>INDEX('WB HCW &amp; Beds'!$C$286:$BP$561,MATCH($C208,'WB HCW &amp; Beds'!$C$286:$C$561,0),MATCH("Value",'WB HCW &amp; Beds'!$C$286:$BP$286,0))</f>
        <v>1.359</v>
      </c>
      <c r="J208" s="647">
        <f>'WB HCW &amp; Beds'!BO488</f>
        <v>2004</v>
      </c>
      <c r="K208" s="653">
        <f>'WB HCW &amp; Beds'!BN216</f>
        <v>0.83069999999999999</v>
      </c>
      <c r="L208" s="654">
        <f>'WB HCW &amp; Beds'!BO216</f>
        <v>2015</v>
      </c>
      <c r="M208" s="720">
        <f>IFERROR(IFERROR(INDEX('WHO GHO Data'!$AB$8:$AB$201,MATCH('HCW + Staff Summary'!$C208,'WHO GHO Data'!$C$8:$C$201,0)),INDEX('WHO GHO Data'!$AE$9:$AE$13,MATCH('HCW + Staff Summary'!$E208,'WHO GHO Data'!$AD$9:$AD$13,0))),"")</f>
        <v>0.16585956838415414</v>
      </c>
      <c r="O208" s="29">
        <f>INDEX('WB Population Data'!$D$6:$D$269,MATCH($B208,'WB Population Data'!$B$6:$B$269,0))</f>
        <v>12952000</v>
      </c>
      <c r="P208" s="30">
        <f t="shared" si="11"/>
        <v>1743.3391999999999</v>
      </c>
      <c r="Q208" s="29">
        <f t="shared" si="9"/>
        <v>17601.768</v>
      </c>
      <c r="R208" s="29">
        <f>IFERROR(IFERROR(INDEX('WHO GHO Data'!$S$8:$S$201,MATCH($C208,'WHO GHO Data'!$C$8:$C$201,0)),($O208/1000*$K208)),IFERROR($O208/1000*VLOOKUP(E208,$W$9:$Y$12,3,0),0))</f>
        <v>14043.265445091996</v>
      </c>
      <c r="S208" s="30">
        <f>IFERROR(IFERROR(INDEX('WHO GHO Data'!$U$8:$U$201,MATCH($C208,'WHO GHO Data'!$C$8:$C$201,0)),INDEX('WHO GHO Data'!$AE$9:$AE$13,MATCH($E208,'WHO GHO Data'!$AD$9:$AD$13,0))*'HCW + Staff Summary'!$O208/1000),"")</f>
        <v>2148.2131297115643</v>
      </c>
    </row>
    <row r="209" spans="2:19" x14ac:dyDescent="0.75">
      <c r="B209" s="43" t="s">
        <v>524</v>
      </c>
      <c r="C209" s="43" t="s">
        <v>525</v>
      </c>
      <c r="D209" s="132" t="s">
        <v>1124</v>
      </c>
      <c r="E209" s="132" t="s">
        <v>750</v>
      </c>
      <c r="F209" s="132" t="str">
        <f t="shared" si="10"/>
        <v>Not LMIC</v>
      </c>
      <c r="G209" s="646">
        <f>INDEX('WB HCW &amp; Beds'!$C$558:$BO$821,MATCH($C209,'WB HCW &amp; Beds'!$C$558:$C$821,0),MATCH("Latest value",'WB HCW &amp; Beds'!$C$557:$BO$557,0))</f>
        <v>0.76812752286180397</v>
      </c>
      <c r="H209" s="647">
        <f>INDEX('WB HCW &amp; Beds'!$C$558:$BO$821,MATCH($C209,'WB HCW &amp; Beds'!$C$558:$C$821,0),MATCH("Latest year",'WB HCW &amp; Beds'!$C$557:$BO$557,0))</f>
        <v>2015</v>
      </c>
      <c r="I209" s="651">
        <f>INDEX('WB HCW &amp; Beds'!$C$286:$BP$561,MATCH($C209,'WB HCW &amp; Beds'!$C$286:$C$561,0),MATCH("Value",'WB HCW &amp; Beds'!$C$286:$BP$286,0))</f>
        <v>0.51390419136430165</v>
      </c>
      <c r="J209" s="647">
        <f>'WB HCW &amp; Beds'!BO489</f>
        <v>2011</v>
      </c>
      <c r="K209" s="653">
        <f>'WB HCW &amp; Beds'!BN217</f>
        <v>1.7372389586483101</v>
      </c>
      <c r="L209" s="654">
        <f>'WB HCW &amp; Beds'!BO217</f>
        <v>2015</v>
      </c>
      <c r="M209" s="720" t="str">
        <f>IFERROR(IFERROR(INDEX('WHO GHO Data'!$AB$8:$AB$201,MATCH('HCW + Staff Summary'!$C209,'WHO GHO Data'!$C$8:$C$201,0)),INDEX('WHO GHO Data'!$AE$9:$AE$13,MATCH('HCW + Staff Summary'!$E209,'WHO GHO Data'!$AD$9:$AD$13,0))),"")</f>
        <v/>
      </c>
      <c r="O209" s="29">
        <f>INDEX('WB Population Data'!$D$6:$D$269,MATCH($B209,'WB Population Data'!$B$6:$B$269,0))</f>
        <v>1856800000</v>
      </c>
      <c r="P209" s="30">
        <f t="shared" si="11"/>
        <v>0</v>
      </c>
      <c r="Q209" s="29">
        <f t="shared" si="9"/>
        <v>954217.30252523534</v>
      </c>
      <c r="R209" s="29">
        <f>IFERROR(IFERROR(INDEX('WHO GHO Data'!$S$8:$S$201,MATCH($C209,'WHO GHO Data'!$C$8:$C$201,0)),($O209/1000*$K209)),IFERROR($O209/1000*VLOOKUP(E209,$W$9:$Y$12,3,0),0))</f>
        <v>3225705.2984181824</v>
      </c>
      <c r="S209" s="30" t="str">
        <f>IFERROR(IFERROR(INDEX('WHO GHO Data'!$U$8:$U$201,MATCH($C209,'WHO GHO Data'!$C$8:$C$201,0)),INDEX('WHO GHO Data'!$AE$9:$AE$13,MATCH($E209,'WHO GHO Data'!$AD$9:$AD$13,0))*'HCW + Staff Summary'!$O209/1000),"")</f>
        <v/>
      </c>
    </row>
    <row r="210" spans="2:19" x14ac:dyDescent="0.75">
      <c r="B210" s="43" t="s">
        <v>514</v>
      </c>
      <c r="C210" s="43" t="s">
        <v>124</v>
      </c>
      <c r="D210" s="132" t="s">
        <v>1072</v>
      </c>
      <c r="E210" s="132" t="s">
        <v>411</v>
      </c>
      <c r="F210" s="132" t="str">
        <f t="shared" si="10"/>
        <v>Not LMIC</v>
      </c>
      <c r="G210" s="646">
        <f>INDEX('WB HCW &amp; Beds'!$C$558:$BO$821,MATCH($C210,'WB HCW &amp; Beds'!$C$558:$C$821,0),MATCH("Latest value",'WB HCW &amp; Beds'!$C$557:$BO$557,0))</f>
        <v>2.39</v>
      </c>
      <c r="H210" s="647">
        <f>INDEX('WB HCW &amp; Beds'!$C$558:$BO$821,MATCH($C210,'WB HCW &amp; Beds'!$C$558:$C$821,0),MATCH("Latest year",'WB HCW &amp; Beds'!$C$557:$BO$557,0))</f>
        <v>2016</v>
      </c>
      <c r="I210" s="651">
        <f>INDEX('WB HCW &amp; Beds'!$C$286:$BP$561,MATCH($C210,'WB HCW &amp; Beds'!$C$286:$C$561,0),MATCH("Value",'WB HCW &amp; Beds'!$C$286:$BP$286,0))</f>
        <v>0.4</v>
      </c>
      <c r="J210" s="647" t="str">
        <f>'WB HCW &amp; Beds'!BO490</f>
        <v>No reported value</v>
      </c>
      <c r="K210" s="653">
        <f>'WB HCW &amp; Beds'!BN218</f>
        <v>5.7</v>
      </c>
      <c r="L210" s="654">
        <f>'WB HCW &amp; Beds'!BO218</f>
        <v>2016</v>
      </c>
      <c r="M210" s="720">
        <f>IFERROR(IFERROR(INDEX('WHO GHO Data'!$AB$8:$AB$201,MATCH('HCW + Staff Summary'!$C210,'WHO GHO Data'!$C$8:$C$201,0)),INDEX('WHO GHO Data'!$AE$9:$AE$13,MATCH('HCW + Staff Summary'!$E210,'WHO GHO Data'!$AD$9:$AD$13,0))),"")</f>
        <v>0.6840884071360801</v>
      </c>
      <c r="O210" s="29">
        <f>INDEX('WB Population Data'!$D$6:$D$269,MATCH($B210,'WB Population Data'!$B$6:$B$269,0))</f>
        <v>34814000</v>
      </c>
      <c r="P210" s="30">
        <f t="shared" si="11"/>
        <v>83205.460000000006</v>
      </c>
      <c r="Q210" s="29">
        <f t="shared" si="9"/>
        <v>13925.6</v>
      </c>
      <c r="R210" s="29">
        <f>IFERROR(IFERROR(INDEX('WHO GHO Data'!$S$8:$S$201,MATCH($C210,'WHO GHO Data'!$C$8:$C$201,0)),($O210/1000*$K210)),IFERROR($O210/1000*VLOOKUP(E210,$W$9:$Y$12,3,0),0))</f>
        <v>188939.52539913161</v>
      </c>
      <c r="S210" s="30">
        <f>IFERROR(IFERROR(INDEX('WHO GHO Data'!$U$8:$U$201,MATCH($C210,'WHO GHO Data'!$C$8:$C$201,0)),INDEX('WHO GHO Data'!$AE$9:$AE$13,MATCH($E210,'WHO GHO Data'!$AD$9:$AD$13,0))*'HCW + Staff Summary'!$O210/1000),"")</f>
        <v>23815.853806035491</v>
      </c>
    </row>
    <row r="211" spans="2:19" x14ac:dyDescent="0.75">
      <c r="B211" s="43" t="s">
        <v>233</v>
      </c>
      <c r="C211" s="43" t="s">
        <v>125</v>
      </c>
      <c r="D211" s="132" t="s">
        <v>1072</v>
      </c>
      <c r="E211" s="132" t="s">
        <v>455</v>
      </c>
      <c r="F211" s="132" t="str">
        <f t="shared" si="10"/>
        <v>LMIC</v>
      </c>
      <c r="G211" s="646">
        <f>INDEX('WB HCW &amp; Beds'!$C$558:$BO$821,MATCH($C211,'WB HCW &amp; Beds'!$C$558:$C$821,0),MATCH("Latest value",'WB HCW &amp; Beds'!$C$557:$BO$557,0))</f>
        <v>0.41</v>
      </c>
      <c r="H211" s="647">
        <f>INDEX('WB HCW &amp; Beds'!$C$558:$BO$821,MATCH($C211,'WB HCW &amp; Beds'!$C$558:$C$821,0),MATCH("Latest year",'WB HCW &amp; Beds'!$C$557:$BO$557,0))</f>
        <v>2015</v>
      </c>
      <c r="I211" s="651">
        <f>INDEX('WB HCW &amp; Beds'!$C$286:$BP$561,MATCH($C211,'WB HCW &amp; Beds'!$C$286:$C$561,0),MATCH("Value",'WB HCW &amp; Beds'!$C$286:$BP$286,0))</f>
        <v>0.151</v>
      </c>
      <c r="J211" s="647">
        <f>'WB HCW &amp; Beds'!BO491</f>
        <v>2004</v>
      </c>
      <c r="K211" s="653">
        <f>'WB HCW &amp; Beds'!BN219</f>
        <v>0.83</v>
      </c>
      <c r="L211" s="654">
        <f>'WB HCW &amp; Beds'!BO219</f>
        <v>2015</v>
      </c>
      <c r="M211" s="720">
        <f>IFERROR(IFERROR(INDEX('WHO GHO Data'!$AB$8:$AB$201,MATCH('HCW + Staff Summary'!$C211,'WHO GHO Data'!$C$8:$C$201,0)),INDEX('WHO GHO Data'!$AE$9:$AE$13,MATCH('HCW + Staff Summary'!$E211,'WHO GHO Data'!$AD$9:$AD$13,0))),"")</f>
        <v>8.1706989656215812E-2</v>
      </c>
      <c r="O211" s="29">
        <f>INDEX('WB Population Data'!$D$6:$D$269,MATCH($B211,'WB Population Data'!$B$6:$B$269,0))</f>
        <v>43849000</v>
      </c>
      <c r="P211" s="30">
        <f t="shared" si="11"/>
        <v>17978.09</v>
      </c>
      <c r="Q211" s="29">
        <f t="shared" si="9"/>
        <v>6621.1989999999996</v>
      </c>
      <c r="R211" s="29">
        <f>IFERROR(IFERROR(INDEX('WHO GHO Data'!$S$8:$S$201,MATCH($C211,'WHO GHO Data'!$C$8:$C$201,0)),($O211/1000*$K211)),IFERROR($O211/1000*VLOOKUP(E211,$W$9:$Y$12,3,0),0))</f>
        <v>13136.590125515522</v>
      </c>
      <c r="S211" s="30">
        <f>IFERROR(IFERROR(INDEX('WHO GHO Data'!$U$8:$U$201,MATCH($C211,'WHO GHO Data'!$C$8:$C$201,0)),INDEX('WHO GHO Data'!$AE$9:$AE$13,MATCH($E211,'WHO GHO Data'!$AD$9:$AD$13,0))*'HCW + Staff Summary'!$O211/1000),"")</f>
        <v>3582.7697894354073</v>
      </c>
    </row>
    <row r="212" spans="2:19" x14ac:dyDescent="0.75">
      <c r="B212" s="43" t="s">
        <v>212</v>
      </c>
      <c r="C212" s="43" t="s">
        <v>126</v>
      </c>
      <c r="D212" s="132" t="s">
        <v>1073</v>
      </c>
      <c r="E212" s="132" t="s">
        <v>455</v>
      </c>
      <c r="F212" s="132" t="str">
        <f t="shared" si="10"/>
        <v>LMIC</v>
      </c>
      <c r="G212" s="646">
        <f>INDEX('WB HCW &amp; Beds'!$C$558:$BO$821,MATCH($C212,'WB HCW &amp; Beds'!$C$558:$C$821,0),MATCH("Latest value",'WB HCW &amp; Beds'!$C$557:$BO$557,0))</f>
        <v>6.9199999999999998E-2</v>
      </c>
      <c r="H212" s="647">
        <f>INDEX('WB HCW &amp; Beds'!$C$558:$BO$821,MATCH($C212,'WB HCW &amp; Beds'!$C$558:$C$821,0),MATCH("Latest year",'WB HCW &amp; Beds'!$C$557:$BO$557,0))</f>
        <v>2016</v>
      </c>
      <c r="I212" s="651">
        <f>INDEX('WB HCW &amp; Beds'!$C$286:$BP$561,MATCH($C212,'WB HCW &amp; Beds'!$C$286:$C$561,0),MATCH("Value",'WB HCW &amp; Beds'!$C$286:$BP$286,0))</f>
        <v>0</v>
      </c>
      <c r="J212" s="647">
        <f>'WB HCW &amp; Beds'!BO492</f>
        <v>2016</v>
      </c>
      <c r="K212" s="653">
        <f>'WB HCW &amp; Beds'!BN220</f>
        <v>0.31290000000000001</v>
      </c>
      <c r="L212" s="654">
        <f>'WB HCW &amp; Beds'!BO220</f>
        <v>2016</v>
      </c>
      <c r="M212" s="720">
        <f>IFERROR(IFERROR(INDEX('WHO GHO Data'!$AB$8:$AB$201,MATCH('HCW + Staff Summary'!$C212,'WHO GHO Data'!$C$8:$C$201,0)),INDEX('WHO GHO Data'!$AE$9:$AE$13,MATCH('HCW + Staff Summary'!$E212,'WHO GHO Data'!$AD$9:$AD$13,0))),"")</f>
        <v>2.4006823391543555E-3</v>
      </c>
      <c r="O212" s="29">
        <f>INDEX('WB Population Data'!$D$6:$D$269,MATCH($B212,'WB Population Data'!$B$6:$B$269,0))</f>
        <v>16744000</v>
      </c>
      <c r="P212" s="30">
        <f t="shared" si="11"/>
        <v>1158.6848</v>
      </c>
      <c r="Q212" s="29">
        <f t="shared" si="9"/>
        <v>0</v>
      </c>
      <c r="R212" s="29">
        <f>IFERROR(IFERROR(INDEX('WHO GHO Data'!$S$8:$S$201,MATCH($C212,'WHO GHO Data'!$C$8:$C$201,0)),($O212/1000*$K212)),IFERROR($O212/1000*VLOOKUP(E212,$W$9:$Y$12,3,0),0))</f>
        <v>3063.6651552642566</v>
      </c>
      <c r="S212" s="30">
        <f>IFERROR(IFERROR(INDEX('WHO GHO Data'!$U$8:$U$201,MATCH($C212,'WHO GHO Data'!$C$8:$C$201,0)),INDEX('WHO GHO Data'!$AE$9:$AE$13,MATCH($E212,'WHO GHO Data'!$AD$9:$AD$13,0))*'HCW + Staff Summary'!$O212/1000),"")</f>
        <v>40.197025086800529</v>
      </c>
    </row>
    <row r="213" spans="2:19" x14ac:dyDescent="0.75">
      <c r="B213" s="43" t="s">
        <v>516</v>
      </c>
      <c r="C213" s="43" t="s">
        <v>127</v>
      </c>
      <c r="D213" s="132" t="s">
        <v>1076</v>
      </c>
      <c r="E213" s="132" t="s">
        <v>411</v>
      </c>
      <c r="F213" s="132" t="str">
        <f t="shared" si="10"/>
        <v>Not LMIC</v>
      </c>
      <c r="G213" s="646">
        <f>INDEX('WB HCW &amp; Beds'!$C$558:$BO$821,MATCH($C213,'WB HCW &amp; Beds'!$C$558:$C$821,0),MATCH("Latest value",'WB HCW &amp; Beds'!$C$557:$BO$557,0))</f>
        <v>2.3062999999999998</v>
      </c>
      <c r="H213" s="647">
        <f>INDEX('WB HCW &amp; Beds'!$C$558:$BO$821,MATCH($C213,'WB HCW &amp; Beds'!$C$558:$C$821,0),MATCH("Latest year",'WB HCW &amp; Beds'!$C$557:$BO$557,0))</f>
        <v>2016</v>
      </c>
      <c r="I213" s="651">
        <f>INDEX('WB HCW &amp; Beds'!$C$286:$BP$561,MATCH($C213,'WB HCW &amp; Beds'!$C$286:$C$561,0),MATCH("Value",'WB HCW &amp; Beds'!$C$286:$BP$286,0))</f>
        <v>0.503</v>
      </c>
      <c r="J213" s="647">
        <f>'WB HCW &amp; Beds'!BO493</f>
        <v>2016</v>
      </c>
      <c r="K213" s="653">
        <f>'WB HCW &amp; Beds'!BN221</f>
        <v>7.2141000000000002</v>
      </c>
      <c r="L213" s="654">
        <f>'WB HCW &amp; Beds'!BO221</f>
        <v>2016</v>
      </c>
      <c r="M213" s="720">
        <f>IFERROR(IFERROR(INDEX('WHO GHO Data'!$AB$8:$AB$201,MATCH('HCW + Staff Summary'!$C213,'WHO GHO Data'!$C$8:$C$201,0)),INDEX('WHO GHO Data'!$AE$9:$AE$13,MATCH('HCW + Staff Summary'!$E213,'WHO GHO Data'!$AD$9:$AD$13,0))),"")</f>
        <v>0.54650004528486062</v>
      </c>
      <c r="O213" s="29">
        <f>INDEX('WB Population Data'!$D$6:$D$269,MATCH($B213,'WB Population Data'!$B$6:$B$269,0))</f>
        <v>5772000</v>
      </c>
      <c r="P213" s="30">
        <f t="shared" si="11"/>
        <v>13311.963599999999</v>
      </c>
      <c r="Q213" s="29">
        <f t="shared" si="9"/>
        <v>2903.3159999999998</v>
      </c>
      <c r="R213" s="29">
        <f>IFERROR(IFERROR(INDEX('WHO GHO Data'!$S$8:$S$201,MATCH($C213,'WHO GHO Data'!$C$8:$C$201,0)),($O213/1000*$K213)),IFERROR($O213/1000*VLOOKUP(E213,$W$9:$Y$12,3,0),0))</f>
        <v>36572.159748614227</v>
      </c>
      <c r="S213" s="30">
        <f>IFERROR(IFERROR(INDEX('WHO GHO Data'!$U$8:$U$201,MATCH($C213,'WHO GHO Data'!$C$8:$C$201,0)),INDEX('WHO GHO Data'!$AE$9:$AE$13,MATCH($E213,'WHO GHO Data'!$AD$9:$AD$13,0))*'HCW + Staff Summary'!$O213/1000),"")</f>
        <v>3154.3982613842159</v>
      </c>
    </row>
    <row r="214" spans="2:19" x14ac:dyDescent="0.75">
      <c r="B214" s="43" t="s">
        <v>255</v>
      </c>
      <c r="C214" s="43" t="s">
        <v>128</v>
      </c>
      <c r="D214" s="132" t="s">
        <v>1076</v>
      </c>
      <c r="E214" s="132" t="s">
        <v>455</v>
      </c>
      <c r="F214" s="132" t="str">
        <f t="shared" si="10"/>
        <v>LMIC</v>
      </c>
      <c r="G214" s="646">
        <f>INDEX('WB HCW &amp; Beds'!$C$558:$BO$821,MATCH($C214,'WB HCW &amp; Beds'!$C$558:$C$821,0),MATCH("Latest value",'WB HCW &amp; Beds'!$C$557:$BO$557,0))</f>
        <v>0.19989999999999999</v>
      </c>
      <c r="H214" s="647">
        <f>INDEX('WB HCW &amp; Beds'!$C$558:$BO$821,MATCH($C214,'WB HCW &amp; Beds'!$C$558:$C$821,0),MATCH("Latest year",'WB HCW &amp; Beds'!$C$557:$BO$557,0))</f>
        <v>2016</v>
      </c>
      <c r="I214" s="651">
        <f>INDEX('WB HCW &amp; Beds'!$C$286:$BP$561,MATCH($C214,'WB HCW &amp; Beds'!$C$286:$C$561,0),MATCH("Value",'WB HCW &amp; Beds'!$C$286:$BP$286,0))</f>
        <v>0.4</v>
      </c>
      <c r="J214" s="647" t="str">
        <f>'WB HCW &amp; Beds'!BO494</f>
        <v>No reported value</v>
      </c>
      <c r="K214" s="653">
        <f>'WB HCW &amp; Beds'!BN222</f>
        <v>2.1307</v>
      </c>
      <c r="L214" s="654">
        <f>'WB HCW &amp; Beds'!BO222</f>
        <v>2016</v>
      </c>
      <c r="M214" s="720">
        <f>IFERROR(IFERROR(INDEX('WHO GHO Data'!$AB$8:$AB$201,MATCH('HCW + Staff Summary'!$C214,'WHO GHO Data'!$C$8:$C$201,0)),INDEX('WHO GHO Data'!$AE$9:$AE$13,MATCH('HCW + Staff Summary'!$E214,'WHO GHO Data'!$AD$9:$AD$13,0))),"")</f>
        <v>7.3507007726019868E-2</v>
      </c>
      <c r="O214" s="29">
        <f>INDEX('WB Population Data'!$D$6:$D$269,MATCH($B214,'WB Population Data'!$B$6:$B$269,0))</f>
        <v>687000</v>
      </c>
      <c r="P214" s="30">
        <f t="shared" si="11"/>
        <v>137.3313</v>
      </c>
      <c r="Q214" s="29">
        <f t="shared" si="9"/>
        <v>274.8</v>
      </c>
      <c r="R214" s="29">
        <f>IFERROR(IFERROR(INDEX('WHO GHO Data'!$S$8:$S$201,MATCH($C214,'WHO GHO Data'!$C$8:$C$201,0)),($O214/1000*$K214)),IFERROR($O214/1000*VLOOKUP(E214,$W$9:$Y$12,3,0),0))</f>
        <v>1489.3941542313059</v>
      </c>
      <c r="S214" s="30">
        <f>IFERROR(IFERROR(INDEX('WHO GHO Data'!$U$8:$U$201,MATCH($C214,'WHO GHO Data'!$C$8:$C$201,0)),INDEX('WHO GHO Data'!$AE$9:$AE$13,MATCH($E214,'WHO GHO Data'!$AD$9:$AD$13,0))*'HCW + Staff Summary'!$O214/1000),"")</f>
        <v>50.499314307775649</v>
      </c>
    </row>
    <row r="215" spans="2:19" x14ac:dyDescent="0.75">
      <c r="B215" s="43" t="s">
        <v>214</v>
      </c>
      <c r="C215" s="43" t="s">
        <v>129</v>
      </c>
      <c r="D215" s="132" t="s">
        <v>1073</v>
      </c>
      <c r="E215" s="132" t="s">
        <v>453</v>
      </c>
      <c r="F215" s="132" t="str">
        <f t="shared" si="10"/>
        <v>LMIC</v>
      </c>
      <c r="G215" s="646">
        <f>INDEX('WB HCW &amp; Beds'!$C$558:$BO$821,MATCH($C215,'WB HCW &amp; Beds'!$C$558:$C$821,0),MATCH("Latest value",'WB HCW &amp; Beds'!$C$557:$BO$557,0))</f>
        <v>2.5000000000000001E-2</v>
      </c>
      <c r="H215" s="647">
        <f>INDEX('WB HCW &amp; Beds'!$C$558:$BO$821,MATCH($C215,'WB HCW &amp; Beds'!$C$558:$C$821,0),MATCH("Latest year",'WB HCW &amp; Beds'!$C$557:$BO$557,0))</f>
        <v>2011</v>
      </c>
      <c r="I215" s="651">
        <f>INDEX('WB HCW &amp; Beds'!$C$286:$BP$561,MATCH($C215,'WB HCW &amp; Beds'!$C$286:$C$561,0),MATCH("Value",'WB HCW &amp; Beds'!$C$286:$BP$286,0))</f>
        <v>2.3E-2</v>
      </c>
      <c r="J215" s="647">
        <f>'WB HCW &amp; Beds'!BO495</f>
        <v>2010</v>
      </c>
      <c r="K215" s="653">
        <f>'WB HCW &amp; Beds'!BN223</f>
        <v>0.99619999999999997</v>
      </c>
      <c r="L215" s="654">
        <f>'WB HCW &amp; Beds'!BO223</f>
        <v>2014</v>
      </c>
      <c r="M215" s="720">
        <f>IFERROR(IFERROR(INDEX('WHO GHO Data'!$AB$8:$AB$201,MATCH('HCW + Staff Summary'!$C215,'WHO GHO Data'!$C$8:$C$201,0)),INDEX('WHO GHO Data'!$AE$9:$AE$13,MATCH('HCW + Staff Summary'!$E215,'WHO GHO Data'!$AD$9:$AD$13,0))),"")</f>
        <v>3.9688462043051702E-2</v>
      </c>
      <c r="O215" s="29">
        <f>INDEX('WB Population Data'!$D$6:$D$269,MATCH($B215,'WB Population Data'!$B$6:$B$269,0))</f>
        <v>7977000</v>
      </c>
      <c r="P215" s="30">
        <f t="shared" si="11"/>
        <v>199.42500000000001</v>
      </c>
      <c r="Q215" s="29">
        <f t="shared" si="9"/>
        <v>183.471</v>
      </c>
      <c r="R215" s="29">
        <f>IFERROR(IFERROR(INDEX('WHO GHO Data'!$S$8:$S$201,MATCH($C215,'WHO GHO Data'!$C$8:$C$201,0)),($O215/1000*$K215)),IFERROR($O215/1000*VLOOKUP(E215,$W$9:$Y$12,3,0),0))</f>
        <v>1447.0071501792679</v>
      </c>
      <c r="S215" s="30">
        <f>IFERROR(IFERROR(INDEX('WHO GHO Data'!$U$8:$U$201,MATCH($C215,'WHO GHO Data'!$C$8:$C$201,0)),INDEX('WHO GHO Data'!$AE$9:$AE$13,MATCH($E215,'WHO GHO Data'!$AD$9:$AD$13,0))*'HCW + Staff Summary'!$O215/1000),"")</f>
        <v>316.59486171742344</v>
      </c>
    </row>
    <row r="216" spans="2:19" x14ac:dyDescent="0.75">
      <c r="B216" s="43" t="s">
        <v>222</v>
      </c>
      <c r="C216" s="43" t="s">
        <v>164</v>
      </c>
      <c r="D216" s="132" t="s">
        <v>1075</v>
      </c>
      <c r="E216" s="132" t="s">
        <v>455</v>
      </c>
      <c r="F216" s="132" t="str">
        <f t="shared" si="10"/>
        <v>LMIC</v>
      </c>
      <c r="G216" s="646">
        <f>INDEX('WB HCW &amp; Beds'!$C$558:$BO$821,MATCH($C216,'WB HCW &amp; Beds'!$C$558:$C$821,0),MATCH("Latest value",'WB HCW &amp; Beds'!$C$557:$BO$557,0))</f>
        <v>1.569</v>
      </c>
      <c r="H216" s="647">
        <f>INDEX('WB HCW &amp; Beds'!$C$558:$BO$821,MATCH($C216,'WB HCW &amp; Beds'!$C$558:$C$821,0),MATCH("Latest year",'WB HCW &amp; Beds'!$C$557:$BO$557,0))</f>
        <v>2016</v>
      </c>
      <c r="I216" s="651">
        <f>INDEX('WB HCW &amp; Beds'!$C$286:$BP$561,MATCH($C216,'WB HCW &amp; Beds'!$C$286:$C$561,0),MATCH("Value",'WB HCW &amp; Beds'!$C$286:$BP$286,0))</f>
        <v>0.4</v>
      </c>
      <c r="J216" s="647" t="str">
        <f>'WB HCW &amp; Beds'!BO496</f>
        <v>No reported value</v>
      </c>
      <c r="K216" s="653">
        <f>'WB HCW &amp; Beds'!BN224</f>
        <v>2.278</v>
      </c>
      <c r="L216" s="654">
        <f>'WB HCW &amp; Beds'!BO224</f>
        <v>2016</v>
      </c>
      <c r="M216" s="720">
        <f>IFERROR(IFERROR(INDEX('WHO GHO Data'!$AB$8:$AB$201,MATCH('HCW + Staff Summary'!$C216,'WHO GHO Data'!$C$8:$C$201,0)),INDEX('WHO GHO Data'!$AE$9:$AE$13,MATCH('HCW + Staff Summary'!$E216,'WHO GHO Data'!$AD$9:$AD$13,0))),"")</f>
        <v>0.32211912598145126</v>
      </c>
      <c r="O216" s="29">
        <f>INDEX('WB Population Data'!$D$6:$D$269,MATCH($B216,'WB Population Data'!$B$6:$B$269,0))</f>
        <v>6486000</v>
      </c>
      <c r="P216" s="30">
        <f t="shared" si="11"/>
        <v>10176.534</v>
      </c>
      <c r="Q216" s="29">
        <f t="shared" si="9"/>
        <v>2594.4</v>
      </c>
      <c r="R216" s="29">
        <f>IFERROR(IFERROR(INDEX('WHO GHO Data'!$S$8:$S$201,MATCH($C216,'WHO GHO Data'!$C$8:$C$201,0)),($O216/1000*$K216)),IFERROR($O216/1000*VLOOKUP(E216,$W$9:$Y$12,3,0),0))</f>
        <v>11893.161025128451</v>
      </c>
      <c r="S216" s="30">
        <f>IFERROR(IFERROR(INDEX('WHO GHO Data'!$U$8:$U$201,MATCH($C216,'WHO GHO Data'!$C$8:$C$201,0)),INDEX('WHO GHO Data'!$AE$9:$AE$13,MATCH($E216,'WHO GHO Data'!$AD$9:$AD$13,0))*'HCW + Staff Summary'!$O216/1000),"")</f>
        <v>2089.2646511156927</v>
      </c>
    </row>
    <row r="217" spans="2:19" x14ac:dyDescent="0.75">
      <c r="B217" s="43" t="s">
        <v>513</v>
      </c>
      <c r="C217" s="43" t="s">
        <v>130</v>
      </c>
      <c r="D217" s="132" t="s">
        <v>1074</v>
      </c>
      <c r="E217" s="132" t="s">
        <v>411</v>
      </c>
      <c r="F217" s="132" t="str">
        <f t="shared" si="10"/>
        <v>Not LMIC</v>
      </c>
      <c r="G217" s="646">
        <f>INDEX('WB HCW &amp; Beds'!$C$558:$BO$821,MATCH($C217,'WB HCW &amp; Beds'!$C$558:$C$821,0),MATCH("Latest value",'WB HCW &amp; Beds'!$C$557:$BO$557,0))</f>
        <v>6.1467999999999998</v>
      </c>
      <c r="H217" s="647">
        <f>INDEX('WB HCW &amp; Beds'!$C$558:$BO$821,MATCH($C217,'WB HCW &amp; Beds'!$C$558:$C$821,0),MATCH("Latest year",'WB HCW &amp; Beds'!$C$557:$BO$557,0))</f>
        <v>2014</v>
      </c>
      <c r="I217" s="651">
        <f>INDEX('WB HCW &amp; Beds'!$C$286:$BP$561,MATCH($C217,'WB HCW &amp; Beds'!$C$286:$C$561,0),MATCH("Value",'WB HCW &amp; Beds'!$C$286:$BP$286,0))</f>
        <v>0.4</v>
      </c>
      <c r="J217" s="647" t="str">
        <f>'WB HCW &amp; Beds'!BO497</f>
        <v>No reported value</v>
      </c>
      <c r="K217" s="653">
        <f>'WB HCW &amp; Beds'!BN225</f>
        <v>8.7767999999999997</v>
      </c>
      <c r="L217" s="654">
        <f>'WB HCW &amp; Beds'!BO225</f>
        <v>2014</v>
      </c>
      <c r="M217" s="720">
        <f>IFERROR(IFERROR(INDEX('WHO GHO Data'!$AB$8:$AB$201,MATCH('HCW + Staff Summary'!$C217,'WHO GHO Data'!$C$8:$C$201,0)),INDEX('WHO GHO Data'!$AE$9:$AE$13,MATCH('HCW + Staff Summary'!$E217,'WHO GHO Data'!$AD$9:$AD$13,0))),"")</f>
        <v>0.54650004528486062</v>
      </c>
      <c r="O217" s="29">
        <f>INDEX('WB Population Data'!$D$6:$D$269,MATCH($B217,'WB Population Data'!$B$6:$B$269,0))</f>
        <v>34000</v>
      </c>
      <c r="P217" s="30">
        <f t="shared" si="11"/>
        <v>208.99119999999999</v>
      </c>
      <c r="Q217" s="29">
        <f t="shared" si="9"/>
        <v>13.600000000000001</v>
      </c>
      <c r="R217" s="29">
        <f>IFERROR(IFERROR(INDEX('WHO GHO Data'!$S$8:$S$201,MATCH($C217,'WHO GHO Data'!$C$8:$C$201,0)),($O217/1000*$K217)),IFERROR($O217/1000*VLOOKUP(E217,$W$9:$Y$12,3,0),0))</f>
        <v>264.48950635441685</v>
      </c>
      <c r="S217" s="30">
        <f>IFERROR(IFERROR(INDEX('WHO GHO Data'!$U$8:$U$201,MATCH($C217,'WHO GHO Data'!$C$8:$C$201,0)),INDEX('WHO GHO Data'!$AE$9:$AE$13,MATCH($E217,'WHO GHO Data'!$AD$9:$AD$13,0))*'HCW + Staff Summary'!$O217/1000),"")</f>
        <v>18.581001539685261</v>
      </c>
    </row>
    <row r="218" spans="2:19" x14ac:dyDescent="0.75">
      <c r="B218" s="43" t="s">
        <v>232</v>
      </c>
      <c r="C218" s="43" t="s">
        <v>171</v>
      </c>
      <c r="D218" s="132" t="s">
        <v>1072</v>
      </c>
      <c r="E218" s="132" t="s">
        <v>453</v>
      </c>
      <c r="F218" s="132" t="str">
        <f t="shared" si="10"/>
        <v>LMIC</v>
      </c>
      <c r="G218" s="646">
        <f>INDEX('WB HCW &amp; Beds'!$C$558:$BO$821,MATCH($C218,'WB HCW &amp; Beds'!$C$558:$C$821,0),MATCH("Latest value",'WB HCW &amp; Beds'!$C$557:$BO$557,0))</f>
        <v>2.29E-2</v>
      </c>
      <c r="H218" s="647">
        <f>INDEX('WB HCW &amp; Beds'!$C$558:$BO$821,MATCH($C218,'WB HCW &amp; Beds'!$C$558:$C$821,0),MATCH("Latest year",'WB HCW &amp; Beds'!$C$557:$BO$557,0))</f>
        <v>2014</v>
      </c>
      <c r="I218" s="651">
        <f>INDEX('WB HCW &amp; Beds'!$C$286:$BP$561,MATCH($C218,'WB HCW &amp; Beds'!$C$286:$C$561,0),MATCH("Value",'WB HCW &amp; Beds'!$C$286:$BP$286,0))</f>
        <v>0.4</v>
      </c>
      <c r="J218" s="647" t="str">
        <f>'WB HCW &amp; Beds'!BO498</f>
        <v>No reported value</v>
      </c>
      <c r="K218" s="653">
        <f>'WB HCW &amp; Beds'!BN226</f>
        <v>6.1100000000000002E-2</v>
      </c>
      <c r="L218" s="654">
        <f>'WB HCW &amp; Beds'!BO226</f>
        <v>2014</v>
      </c>
      <c r="M218" s="720">
        <f>IFERROR(IFERROR(INDEX('WHO GHO Data'!$AB$8:$AB$201,MATCH('HCW + Staff Summary'!$C218,'WHO GHO Data'!$C$8:$C$201,0)),INDEX('WHO GHO Data'!$AE$9:$AE$13,MATCH('HCW + Staff Summary'!$E218,'WHO GHO Data'!$AD$9:$AD$13,0))),"")</f>
        <v>1.4135137021689925E-2</v>
      </c>
      <c r="O218" s="29">
        <f>INDEX('WB Population Data'!$D$6:$D$269,MATCH($B218,'WB Population Data'!$B$6:$B$269,0))</f>
        <v>15893000</v>
      </c>
      <c r="P218" s="30">
        <f t="shared" si="11"/>
        <v>363.94970000000001</v>
      </c>
      <c r="Q218" s="29">
        <f t="shared" si="9"/>
        <v>6357.2000000000007</v>
      </c>
      <c r="R218" s="29">
        <f>IFERROR(IFERROR(INDEX('WHO GHO Data'!$S$8:$S$201,MATCH($C218,'WHO GHO Data'!$C$8:$C$201,0)),($O218/1000*$K218)),IFERROR($O218/1000*VLOOKUP(E218,$W$9:$Y$12,3,0),0))</f>
        <v>972.25862308006435</v>
      </c>
      <c r="S218" s="30">
        <f>IFERROR(IFERROR(INDEX('WHO GHO Data'!$U$8:$U$201,MATCH($C218,'WHO GHO Data'!$C$8:$C$201,0)),INDEX('WHO GHO Data'!$AE$9:$AE$13,MATCH($E218,'WHO GHO Data'!$AD$9:$AD$13,0))*'HCW + Staff Summary'!$O218/1000),"")</f>
        <v>224.64973268571796</v>
      </c>
    </row>
    <row r="219" spans="2:19" x14ac:dyDescent="0.75">
      <c r="B219" s="43" t="s">
        <v>515</v>
      </c>
      <c r="C219" s="43" t="s">
        <v>131</v>
      </c>
      <c r="D219" s="132" t="s">
        <v>1074</v>
      </c>
      <c r="E219" s="132" t="s">
        <v>558</v>
      </c>
      <c r="F219" s="132" t="str">
        <f t="shared" si="10"/>
        <v>LMIC</v>
      </c>
      <c r="G219" s="646">
        <f>INDEX('WB HCW &amp; Beds'!$C$558:$BO$821,MATCH($C219,'WB HCW &amp; Beds'!$C$558:$C$821,0),MATCH("Latest value",'WB HCW &amp; Beds'!$C$557:$BO$557,0))</f>
        <v>3.125</v>
      </c>
      <c r="H219" s="647">
        <f>INDEX('WB HCW &amp; Beds'!$C$558:$BO$821,MATCH($C219,'WB HCW &amp; Beds'!$C$558:$C$821,0),MATCH("Latest year",'WB HCW &amp; Beds'!$C$557:$BO$557,0))</f>
        <v>2016</v>
      </c>
      <c r="I219" s="651">
        <f>INDEX('WB HCW &amp; Beds'!$C$286:$BP$561,MATCH($C219,'WB HCW &amp; Beds'!$C$286:$C$561,0),MATCH("Value",'WB HCW &amp; Beds'!$C$286:$BP$286,0))</f>
        <v>0.4</v>
      </c>
      <c r="J219" s="647" t="str">
        <f>'WB HCW &amp; Beds'!BO499</f>
        <v>No reported value</v>
      </c>
      <c r="K219" s="653">
        <f>'WB HCW &amp; Beds'!BN227</f>
        <v>6.1203000000000003</v>
      </c>
      <c r="L219" s="654">
        <f>'WB HCW &amp; Beds'!BO227</f>
        <v>2016</v>
      </c>
      <c r="M219" s="720">
        <f>IFERROR(IFERROR(INDEX('WHO GHO Data'!$AB$8:$AB$201,MATCH('HCW + Staff Summary'!$C219,'WHO GHO Data'!$C$8:$C$201,0)),INDEX('WHO GHO Data'!$AE$9:$AE$13,MATCH('HCW + Staff Summary'!$E219,'WHO GHO Data'!$AD$9:$AD$13,0))),"")</f>
        <v>0.79903478539084838</v>
      </c>
      <c r="O219" s="29">
        <f>INDEX('WB Population Data'!$D$6:$D$269,MATCH($B219,'WB Population Data'!$B$6:$B$269,0))</f>
        <v>6929000</v>
      </c>
      <c r="P219" s="30">
        <f t="shared" si="11"/>
        <v>21653.125</v>
      </c>
      <c r="Q219" s="29">
        <f t="shared" si="9"/>
        <v>2771.6000000000004</v>
      </c>
      <c r="R219" s="29">
        <f>IFERROR(IFERROR(INDEX('WHO GHO Data'!$S$8:$S$201,MATCH($C219,'WHO GHO Data'!$C$8:$C$201,0)),($O219/1000*$K219)),IFERROR($O219/1000*VLOOKUP(E219,$W$9:$Y$12,3,0),0))</f>
        <v>52780.043273040224</v>
      </c>
      <c r="S219" s="30">
        <f>IFERROR(IFERROR(INDEX('WHO GHO Data'!$U$8:$U$201,MATCH($C219,'WHO GHO Data'!$C$8:$C$201,0)),INDEX('WHO GHO Data'!$AE$9:$AE$13,MATCH($E219,'WHO GHO Data'!$AD$9:$AD$13,0))*'HCW + Staff Summary'!$O219/1000),"")</f>
        <v>5536.5120279731882</v>
      </c>
    </row>
    <row r="220" spans="2:19" x14ac:dyDescent="0.75">
      <c r="B220" s="43" t="s">
        <v>540</v>
      </c>
      <c r="C220" s="43" t="s">
        <v>541</v>
      </c>
      <c r="D220" s="132" t="s">
        <v>1124</v>
      </c>
      <c r="E220" s="132" t="s">
        <v>750</v>
      </c>
      <c r="F220" s="132" t="str">
        <f t="shared" si="10"/>
        <v>Not LMIC</v>
      </c>
      <c r="G220" s="646">
        <f>INDEX('WB HCW &amp; Beds'!$C$558:$BO$821,MATCH($C220,'WB HCW &amp; Beds'!$C$558:$C$821,0),MATCH("Latest value",'WB HCW &amp; Beds'!$C$557:$BO$557,0))</f>
        <v>0.2195762670475227</v>
      </c>
      <c r="H220" s="647">
        <f>INDEX('WB HCW &amp; Beds'!$C$558:$BO$821,MATCH($C220,'WB HCW &amp; Beds'!$C$558:$C$821,0),MATCH("Latest year",'WB HCW &amp; Beds'!$C$557:$BO$557,0))</f>
        <v>2015</v>
      </c>
      <c r="I220" s="651">
        <f>INDEX('WB HCW &amp; Beds'!$C$286:$BP$561,MATCH($C220,'WB HCW &amp; Beds'!$C$286:$C$561,0),MATCH("Value",'WB HCW &amp; Beds'!$C$286:$BP$286,0))</f>
        <v>0.4</v>
      </c>
      <c r="J220" s="647" t="str">
        <f>'WB HCW &amp; Beds'!BO500</f>
        <v>No reported value</v>
      </c>
      <c r="K220" s="653">
        <f>'WB HCW &amp; Beds'!BN228</f>
        <v>1.0283834399004534</v>
      </c>
      <c r="L220" s="654">
        <f>'WB HCW &amp; Beds'!BO228</f>
        <v>2015</v>
      </c>
      <c r="M220" s="720" t="str">
        <f>IFERROR(IFERROR(INDEX('WHO GHO Data'!$AB$8:$AB$201,MATCH('HCW + Staff Summary'!$C220,'WHO GHO Data'!$C$8:$C$201,0)),INDEX('WHO GHO Data'!$AE$9:$AE$13,MATCH('HCW + Staff Summary'!$E220,'WHO GHO Data'!$AD$9:$AD$13,0))),"")</f>
        <v/>
      </c>
      <c r="O220" s="29">
        <f>INDEX('WB Population Data'!$D$6:$D$269,MATCH($B220,'WB Population Data'!$B$6:$B$269,0))</f>
        <v>1135954000</v>
      </c>
      <c r="P220" s="30">
        <f t="shared" si="11"/>
        <v>0</v>
      </c>
      <c r="Q220" s="29">
        <f t="shared" si="9"/>
        <v>454381.60000000003</v>
      </c>
      <c r="R220" s="29">
        <f>IFERROR(IFERROR(INDEX('WHO GHO Data'!$S$8:$S$201,MATCH($C220,'WHO GHO Data'!$C$8:$C$201,0)),($O220/1000*$K220)),IFERROR($O220/1000*VLOOKUP(E220,$W$9:$Y$12,3,0),0))</f>
        <v>1168196.2820886797</v>
      </c>
      <c r="S220" s="30" t="str">
        <f>IFERROR(IFERROR(INDEX('WHO GHO Data'!$U$8:$U$201,MATCH($C220,'WHO GHO Data'!$C$8:$C$201,0)),INDEX('WHO GHO Data'!$AE$9:$AE$13,MATCH($E220,'WHO GHO Data'!$AD$9:$AD$13,0))*'HCW + Staff Summary'!$O220/1000),"")</f>
        <v/>
      </c>
    </row>
    <row r="221" spans="2:19" x14ac:dyDescent="0.75">
      <c r="B221" s="43" t="s">
        <v>528</v>
      </c>
      <c r="C221" s="43" t="s">
        <v>529</v>
      </c>
      <c r="D221" s="132" t="s">
        <v>1072</v>
      </c>
      <c r="E221" s="132" t="s">
        <v>453</v>
      </c>
      <c r="F221" s="132" t="str">
        <f t="shared" si="10"/>
        <v>LMIC</v>
      </c>
      <c r="G221" s="646" t="str">
        <f>INDEX('WB HCW &amp; Beds'!$C$558:$BO$821,MATCH($C221,'WB HCW &amp; Beds'!$C$558:$C$821,0),MATCH("Latest value",'WB HCW &amp; Beds'!$C$557:$BO$557,0))</f>
        <v>No reported value</v>
      </c>
      <c r="H221" s="647" t="str">
        <f>INDEX('WB HCW &amp; Beds'!$C$558:$BO$821,MATCH($C221,'WB HCW &amp; Beds'!$C$558:$C$821,0),MATCH("Latest year",'WB HCW &amp; Beds'!$C$557:$BO$557,0))</f>
        <v>No reported value</v>
      </c>
      <c r="I221" s="651">
        <f>INDEX('WB HCW &amp; Beds'!$C$286:$BP$561,MATCH($C221,'WB HCW &amp; Beds'!$C$286:$C$561,0),MATCH("Value",'WB HCW &amp; Beds'!$C$286:$BP$286,0))</f>
        <v>0.4</v>
      </c>
      <c r="J221" s="647" t="str">
        <f>'WB HCW &amp; Beds'!BO501</f>
        <v>No reported value</v>
      </c>
      <c r="K221" s="653" t="str">
        <f>'WB HCW &amp; Beds'!BN229</f>
        <v>No reported value</v>
      </c>
      <c r="L221" s="654" t="str">
        <f>'WB HCW &amp; Beds'!BO229</f>
        <v>No reported value</v>
      </c>
      <c r="M221" s="720">
        <f>IFERROR(IFERROR(INDEX('WHO GHO Data'!$AB$8:$AB$201,MATCH('HCW + Staff Summary'!$C221,'WHO GHO Data'!$C$8:$C$201,0)),INDEX('WHO GHO Data'!$AE$9:$AE$13,MATCH('HCW + Staff Summary'!$E221,'WHO GHO Data'!$AD$9:$AD$13,0))),"")</f>
        <v>9.849709954994014E-2</v>
      </c>
      <c r="O221" s="29">
        <f>INDEX('WB Population Data'!$D$6:$D$269,MATCH($B221,'WB Population Data'!$B$6:$B$269,0))</f>
        <v>11194000</v>
      </c>
      <c r="P221" s="30">
        <f t="shared" si="11"/>
        <v>2419.6795999999995</v>
      </c>
      <c r="Q221" s="29">
        <f t="shared" si="9"/>
        <v>4477.6000000000004</v>
      </c>
      <c r="R221" s="29">
        <f>IFERROR(IFERROR(INDEX('WHO GHO Data'!$S$8:$S$201,MATCH($C221,'WHO GHO Data'!$C$8:$C$201,0)),($O221/1000*$K221)),IFERROR($O221/1000*VLOOKUP(E221,$W$9:$Y$12,3,0),0))</f>
        <v>9162.9066000000021</v>
      </c>
      <c r="S221" s="30">
        <f>IFERROR(IFERROR(INDEX('WHO GHO Data'!$U$8:$U$201,MATCH($C221,'WHO GHO Data'!$C$8:$C$201,0)),INDEX('WHO GHO Data'!$AE$9:$AE$13,MATCH($E221,'WHO GHO Data'!$AD$9:$AD$13,0))*'HCW + Staff Summary'!$O221/1000),"")</f>
        <v>1102.5765323620299</v>
      </c>
    </row>
    <row r="222" spans="2:19" x14ac:dyDescent="0.75">
      <c r="B222" s="43" t="s">
        <v>538</v>
      </c>
      <c r="C222" s="43" t="s">
        <v>539</v>
      </c>
      <c r="D222" s="132" t="s">
        <v>1124</v>
      </c>
      <c r="E222" s="132" t="s">
        <v>750</v>
      </c>
      <c r="F222" s="132" t="str">
        <f t="shared" si="10"/>
        <v>Not LMIC</v>
      </c>
      <c r="G222" s="646">
        <f>INDEX('WB HCW &amp; Beds'!$C$558:$BO$821,MATCH($C222,'WB HCW &amp; Beds'!$C$558:$C$821,0),MATCH("Latest value",'WB HCW &amp; Beds'!$C$557:$BO$557,0))</f>
        <v>0.2196453959396874</v>
      </c>
      <c r="H222" s="647">
        <f>INDEX('WB HCW &amp; Beds'!$C$558:$BO$821,MATCH($C222,'WB HCW &amp; Beds'!$C$558:$C$821,0),MATCH("Latest year",'WB HCW &amp; Beds'!$C$557:$BO$557,0))</f>
        <v>2015</v>
      </c>
      <c r="I222" s="651">
        <f>INDEX('WB HCW &amp; Beds'!$C$286:$BP$561,MATCH($C222,'WB HCW &amp; Beds'!$C$286:$C$561,0),MATCH("Value",'WB HCW &amp; Beds'!$C$286:$BP$286,0))</f>
        <v>0.4</v>
      </c>
      <c r="J222" s="647" t="str">
        <f>'WB HCW &amp; Beds'!BO502</f>
        <v>No reported value</v>
      </c>
      <c r="K222" s="653">
        <f>'WB HCW &amp; Beds'!BN230</f>
        <v>1.0285959901671162</v>
      </c>
      <c r="L222" s="654">
        <f>'WB HCW &amp; Beds'!BO230</f>
        <v>2015</v>
      </c>
      <c r="M222" s="720" t="str">
        <f>IFERROR(IFERROR(INDEX('WHO GHO Data'!$AB$8:$AB$201,MATCH('HCW + Staff Summary'!$C222,'WHO GHO Data'!$C$8:$C$201,0)),INDEX('WHO GHO Data'!$AE$9:$AE$13,MATCH('HCW + Staff Summary'!$E222,'WHO GHO Data'!$AD$9:$AD$13,0))),"")</f>
        <v/>
      </c>
      <c r="O222" s="29">
        <f>INDEX('WB Population Data'!$D$6:$D$269,MATCH($B222,'WB Population Data'!$B$6:$B$269,0))</f>
        <v>1136052000</v>
      </c>
      <c r="P222" s="30">
        <f t="shared" si="11"/>
        <v>0</v>
      </c>
      <c r="Q222" s="29">
        <f t="shared" si="9"/>
        <v>454420.80000000005</v>
      </c>
      <c r="R222" s="29">
        <f>IFERROR(IFERROR(INDEX('WHO GHO Data'!$S$8:$S$201,MATCH($C222,'WHO GHO Data'!$C$8:$C$201,0)),($O222/1000*$K222)),IFERROR($O222/1000*VLOOKUP(E222,$W$9:$Y$12,3,0),0))</f>
        <v>1168538.5318213326</v>
      </c>
      <c r="S222" s="30" t="str">
        <f>IFERROR(IFERROR(INDEX('WHO GHO Data'!$U$8:$U$201,MATCH($C222,'WHO GHO Data'!$C$8:$C$201,0)),INDEX('WHO GHO Data'!$AE$9:$AE$13,MATCH($E222,'WHO GHO Data'!$AD$9:$AD$13,0))*'HCW + Staff Summary'!$O222/1000),"")</f>
        <v/>
      </c>
    </row>
    <row r="223" spans="2:19" x14ac:dyDescent="0.75">
      <c r="B223" s="43" t="s">
        <v>522</v>
      </c>
      <c r="C223" s="43" t="s">
        <v>523</v>
      </c>
      <c r="D223" s="132" t="s">
        <v>1124</v>
      </c>
      <c r="E223" s="132" t="s">
        <v>750</v>
      </c>
      <c r="F223" s="132" t="str">
        <f t="shared" si="10"/>
        <v>Not LMIC</v>
      </c>
      <c r="G223" s="646">
        <f>INDEX('WB HCW &amp; Beds'!$C$558:$BO$821,MATCH($C223,'WB HCW &amp; Beds'!$C$558:$C$821,0),MATCH("Latest value",'WB HCW &amp; Beds'!$C$557:$BO$557,0))</f>
        <v>0.89873717540380282</v>
      </c>
      <c r="H223" s="647">
        <f>INDEX('WB HCW &amp; Beds'!$C$558:$BO$821,MATCH($C223,'WB HCW &amp; Beds'!$C$558:$C$821,0),MATCH("Latest year",'WB HCW &amp; Beds'!$C$557:$BO$557,0))</f>
        <v>2015</v>
      </c>
      <c r="I223" s="651">
        <f>INDEX('WB HCW &amp; Beds'!$C$286:$BP$561,MATCH($C223,'WB HCW &amp; Beds'!$C$286:$C$561,0),MATCH("Value",'WB HCW &amp; Beds'!$C$286:$BP$286,0))</f>
        <v>0.4</v>
      </c>
      <c r="J223" s="647" t="str">
        <f>'WB HCW &amp; Beds'!BO503</f>
        <v>No reported value</v>
      </c>
      <c r="K223" s="653">
        <f>'WB HCW &amp; Beds'!BN231</f>
        <v>2.9570366047094603</v>
      </c>
      <c r="L223" s="654">
        <f>'WB HCW &amp; Beds'!BO231</f>
        <v>2015</v>
      </c>
      <c r="M223" s="720" t="str">
        <f>IFERROR(IFERROR(INDEX('WHO GHO Data'!$AB$8:$AB$201,MATCH('HCW + Staff Summary'!$C223,'WHO GHO Data'!$C$8:$C$201,0)),INDEX('WHO GHO Data'!$AE$9:$AE$13,MATCH('HCW + Staff Summary'!$E223,'WHO GHO Data'!$AD$9:$AD$13,0))),"")</f>
        <v/>
      </c>
      <c r="O223" s="29">
        <f>INDEX('WB Population Data'!$D$6:$D$269,MATCH($B223,'WB Population Data'!$B$6:$B$269,0))</f>
        <v>41855000</v>
      </c>
      <c r="P223" s="30">
        <f t="shared" si="11"/>
        <v>0</v>
      </c>
      <c r="Q223" s="29">
        <f t="shared" si="9"/>
        <v>16742</v>
      </c>
      <c r="R223" s="29">
        <f>IFERROR(IFERROR(INDEX('WHO GHO Data'!$S$8:$S$201,MATCH($C223,'WHO GHO Data'!$C$8:$C$201,0)),($O223/1000*$K223)),IFERROR($O223/1000*VLOOKUP(E223,$W$9:$Y$12,3,0),0))</f>
        <v>123766.76709011446</v>
      </c>
      <c r="S223" s="30" t="str">
        <f>IFERROR(IFERROR(INDEX('WHO GHO Data'!$U$8:$U$201,MATCH($C223,'WHO GHO Data'!$C$8:$C$201,0)),INDEX('WHO GHO Data'!$AE$9:$AE$13,MATCH($E223,'WHO GHO Data'!$AD$9:$AD$13,0))*'HCW + Staff Summary'!$O223/1000),"")</f>
        <v/>
      </c>
    </row>
    <row r="224" spans="2:19" x14ac:dyDescent="0.75">
      <c r="B224" s="43" t="s">
        <v>211</v>
      </c>
      <c r="C224" s="43" t="s">
        <v>175</v>
      </c>
      <c r="D224" s="132" t="s">
        <v>1073</v>
      </c>
      <c r="E224" s="132" t="s">
        <v>455</v>
      </c>
      <c r="F224" s="132" t="str">
        <f t="shared" si="10"/>
        <v>LMIC</v>
      </c>
      <c r="G224" s="646">
        <f>INDEX('WB HCW &amp; Beds'!$C$558:$BO$821,MATCH($C224,'WB HCW &amp; Beds'!$C$558:$C$821,0),MATCH("Latest value",'WB HCW &amp; Beds'!$C$557:$BO$557,0))</f>
        <v>0.32</v>
      </c>
      <c r="H224" s="647">
        <f>INDEX('WB HCW &amp; Beds'!$C$558:$BO$821,MATCH($C224,'WB HCW &amp; Beds'!$C$558:$C$821,0),MATCH("Latest year",'WB HCW &amp; Beds'!$C$557:$BO$557,0))</f>
        <v>2015</v>
      </c>
      <c r="I224" s="651">
        <f>INDEX('WB HCW &amp; Beds'!$C$286:$BP$561,MATCH($C224,'WB HCW &amp; Beds'!$C$286:$C$561,0),MATCH("Value",'WB HCW &amp; Beds'!$C$286:$BP$286,0))</f>
        <v>1.002</v>
      </c>
      <c r="J224" s="647">
        <f>'WB HCW &amp; Beds'!BO504</f>
        <v>2004</v>
      </c>
      <c r="K224" s="653">
        <f>'WB HCW &amp; Beds'!BN232</f>
        <v>2.2599999999999998</v>
      </c>
      <c r="L224" s="654">
        <f>'WB HCW &amp; Beds'!BO232</f>
        <v>2015</v>
      </c>
      <c r="M224" s="720">
        <f>IFERROR(IFERROR(INDEX('WHO GHO Data'!$AB$8:$AB$201,MATCH('HCW + Staff Summary'!$C224,'WHO GHO Data'!$C$8:$C$201,0)),INDEX('WHO GHO Data'!$AE$9:$AE$13,MATCH('HCW + Staff Summary'!$E224,'WHO GHO Data'!$AD$9:$AD$13,0))),"")</f>
        <v>0.2707007275670788</v>
      </c>
      <c r="O224" s="29">
        <f>INDEX('WB Population Data'!$D$6:$D$269,MATCH($B224,'WB Population Data'!$B$6:$B$269,0))</f>
        <v>219000</v>
      </c>
      <c r="P224" s="30">
        <f t="shared" si="11"/>
        <v>70.08</v>
      </c>
      <c r="Q224" s="29">
        <f t="shared" si="9"/>
        <v>219.43799999999999</v>
      </c>
      <c r="R224" s="29">
        <f>IFERROR(IFERROR(INDEX('WHO GHO Data'!$S$8:$S$201,MATCH($C224,'WHO GHO Data'!$C$8:$C$201,0)),($O224/1000*$K224)),IFERROR($O224/1000*VLOOKUP(E224,$W$9:$Y$12,3,0),0))</f>
        <v>421.41611712575616</v>
      </c>
      <c r="S224" s="30">
        <f>IFERROR(IFERROR(INDEX('WHO GHO Data'!$U$8:$U$201,MATCH($C224,'WHO GHO Data'!$C$8:$C$201,0)),INDEX('WHO GHO Data'!$AE$9:$AE$13,MATCH($E224,'WHO GHO Data'!$AD$9:$AD$13,0))*'HCW + Staff Summary'!$O224/1000),"")</f>
        <v>59.283459337190259</v>
      </c>
    </row>
    <row r="225" spans="2:19" x14ac:dyDescent="0.75">
      <c r="B225" s="43" t="s">
        <v>229</v>
      </c>
      <c r="C225" s="43" t="s">
        <v>170</v>
      </c>
      <c r="D225" s="132" t="s">
        <v>1075</v>
      </c>
      <c r="E225" s="132" t="s">
        <v>558</v>
      </c>
      <c r="F225" s="132" t="str">
        <f t="shared" si="10"/>
        <v>LMIC</v>
      </c>
      <c r="G225" s="646">
        <f>INDEX('WB HCW &amp; Beds'!$C$558:$BO$821,MATCH($C225,'WB HCW &amp; Beds'!$C$558:$C$821,0),MATCH("Latest value",'WB HCW &amp; Beds'!$C$557:$BO$557,0))</f>
        <v>1.2264999999999999</v>
      </c>
      <c r="H225" s="647">
        <f>INDEX('WB HCW &amp; Beds'!$C$558:$BO$821,MATCH($C225,'WB HCW &amp; Beds'!$C$558:$C$821,0),MATCH("Latest year",'WB HCW &amp; Beds'!$C$557:$BO$557,0))</f>
        <v>2018</v>
      </c>
      <c r="I225" s="651">
        <f>INDEX('WB HCW &amp; Beds'!$C$286:$BP$561,MATCH($C225,'WB HCW &amp; Beds'!$C$286:$C$561,0),MATCH("Value",'WB HCW &amp; Beds'!$C$286:$BP$286,0))</f>
        <v>0.4</v>
      </c>
      <c r="J225" s="647" t="str">
        <f>'WB HCW &amp; Beds'!BO505</f>
        <v>No reported value</v>
      </c>
      <c r="K225" s="653">
        <f>'WB HCW &amp; Beds'!BN233</f>
        <v>4.0983000000000001</v>
      </c>
      <c r="L225" s="654">
        <f>'WB HCW &amp; Beds'!BO233</f>
        <v>2017</v>
      </c>
      <c r="M225" s="720">
        <f>IFERROR(IFERROR(INDEX('WHO GHO Data'!$AB$8:$AB$201,MATCH('HCW + Staff Summary'!$C225,'WHO GHO Data'!$C$8:$C$201,0)),INDEX('WHO GHO Data'!$AE$9:$AE$13,MATCH('HCW + Staff Summary'!$E225,'WHO GHO Data'!$AD$9:$AD$13,0))),"")</f>
        <v>0.21980423949700909</v>
      </c>
      <c r="O225" s="29">
        <f>INDEX('WB Population Data'!$D$6:$D$269,MATCH($B225,'WB Population Data'!$B$6:$B$269,0))</f>
        <v>587000</v>
      </c>
      <c r="P225" s="30">
        <f t="shared" si="11"/>
        <v>719.95549999999992</v>
      </c>
      <c r="Q225" s="29">
        <f t="shared" si="9"/>
        <v>234.8</v>
      </c>
      <c r="R225" s="29">
        <f>IFERROR(IFERROR(INDEX('WHO GHO Data'!$S$8:$S$201,MATCH($C225,'WHO GHO Data'!$C$8:$C$201,0)),($O225/1000*$K225)),IFERROR($O225/1000*VLOOKUP(E225,$W$9:$Y$12,3,0),0))</f>
        <v>1620.6318877530607</v>
      </c>
      <c r="S225" s="30">
        <f>IFERROR(IFERROR(INDEX('WHO GHO Data'!$U$8:$U$201,MATCH($C225,'WHO GHO Data'!$C$8:$C$201,0)),INDEX('WHO GHO Data'!$AE$9:$AE$13,MATCH($E225,'WHO GHO Data'!$AD$9:$AD$13,0))*'HCW + Staff Summary'!$O225/1000),"")</f>
        <v>129.02508858474434</v>
      </c>
    </row>
    <row r="226" spans="2:19" x14ac:dyDescent="0.75">
      <c r="B226" s="43" t="s">
        <v>519</v>
      </c>
      <c r="C226" s="43" t="s">
        <v>520</v>
      </c>
      <c r="D226" s="132" t="s">
        <v>1074</v>
      </c>
      <c r="E226" s="132" t="s">
        <v>411</v>
      </c>
      <c r="F226" s="132" t="str">
        <f t="shared" si="10"/>
        <v>Not LMIC</v>
      </c>
      <c r="G226" s="646">
        <f>INDEX('WB HCW &amp; Beds'!$C$558:$BO$821,MATCH($C226,'WB HCW &amp; Beds'!$C$558:$C$821,0),MATCH("Latest value",'WB HCW &amp; Beds'!$C$557:$BO$557,0))</f>
        <v>2.4643000000000002</v>
      </c>
      <c r="H226" s="647">
        <f>INDEX('WB HCW &amp; Beds'!$C$558:$BO$821,MATCH($C226,'WB HCW &amp; Beds'!$C$558:$C$821,0),MATCH("Latest year",'WB HCW &amp; Beds'!$C$557:$BO$557,0))</f>
        <v>2016</v>
      </c>
      <c r="I226" s="651">
        <f>INDEX('WB HCW &amp; Beds'!$C$286:$BP$561,MATCH($C226,'WB HCW &amp; Beds'!$C$286:$C$561,0),MATCH("Value",'WB HCW &amp; Beds'!$C$286:$BP$286,0))</f>
        <v>1.7999999999999999E-2</v>
      </c>
      <c r="J226" s="647">
        <f>'WB HCW &amp; Beds'!BO506</f>
        <v>2013</v>
      </c>
      <c r="K226" s="653">
        <f>'WB HCW &amp; Beds'!BN234</f>
        <v>9.1727000000000007</v>
      </c>
      <c r="L226" s="654">
        <f>'WB HCW &amp; Beds'!BO234</f>
        <v>2016</v>
      </c>
      <c r="M226" s="720">
        <f>IFERROR(IFERROR(INDEX('WHO GHO Data'!$AB$8:$AB$201,MATCH('HCW + Staff Summary'!$C226,'WHO GHO Data'!$C$8:$C$201,0)),INDEX('WHO GHO Data'!$AE$9:$AE$13,MATCH('HCW + Staff Summary'!$E226,'WHO GHO Data'!$AD$9:$AD$13,0))),"")</f>
        <v>0.58122819852250396</v>
      </c>
      <c r="O226" s="29">
        <f>INDEX('WB Population Data'!$D$6:$D$269,MATCH($B226,'WB Population Data'!$B$6:$B$269,0))</f>
        <v>5448000</v>
      </c>
      <c r="P226" s="30">
        <f t="shared" si="11"/>
        <v>13425.5064</v>
      </c>
      <c r="Q226" s="29">
        <f t="shared" si="9"/>
        <v>98.063999999999993</v>
      </c>
      <c r="R226" s="29">
        <f>IFERROR(IFERROR(INDEX('WHO GHO Data'!$S$8:$S$201,MATCH($C226,'WHO GHO Data'!$C$8:$C$201,0)),($O226/1000*$K226)),IFERROR($O226/1000*VLOOKUP(E226,$W$9:$Y$12,3,0),0))</f>
        <v>31337.728986760074</v>
      </c>
      <c r="S226" s="30">
        <f>IFERROR(IFERROR(INDEX('WHO GHO Data'!$U$8:$U$201,MATCH($C226,'WHO GHO Data'!$C$8:$C$201,0)),INDEX('WHO GHO Data'!$AE$9:$AE$13,MATCH($E226,'WHO GHO Data'!$AD$9:$AD$13,0))*'HCW + Staff Summary'!$O226/1000),"")</f>
        <v>3166.5312255506014</v>
      </c>
    </row>
    <row r="227" spans="2:19" x14ac:dyDescent="0.75">
      <c r="B227" s="43" t="s">
        <v>521</v>
      </c>
      <c r="C227" s="43" t="s">
        <v>132</v>
      </c>
      <c r="D227" s="132" t="s">
        <v>1074</v>
      </c>
      <c r="E227" s="132" t="s">
        <v>411</v>
      </c>
      <c r="F227" s="132" t="str">
        <f t="shared" si="10"/>
        <v>Not LMIC</v>
      </c>
      <c r="G227" s="646">
        <f>INDEX('WB HCW &amp; Beds'!$C$558:$BO$821,MATCH($C227,'WB HCW &amp; Beds'!$C$558:$C$821,0),MATCH("Latest value",'WB HCW &amp; Beds'!$C$557:$BO$557,0))</f>
        <v>2.9952999999999999</v>
      </c>
      <c r="H227" s="647">
        <f>INDEX('WB HCW &amp; Beds'!$C$558:$BO$821,MATCH($C227,'WB HCW &amp; Beds'!$C$558:$C$821,0),MATCH("Latest year",'WB HCW &amp; Beds'!$C$557:$BO$557,0))</f>
        <v>2016</v>
      </c>
      <c r="I227" s="651">
        <f>INDEX('WB HCW &amp; Beds'!$C$286:$BP$561,MATCH($C227,'WB HCW &amp; Beds'!$C$286:$C$561,0),MATCH("Value",'WB HCW &amp; Beds'!$C$286:$BP$286,0))</f>
        <v>0.4</v>
      </c>
      <c r="J227" s="647" t="str">
        <f>'WB HCW &amp; Beds'!BO507</f>
        <v>No reported value</v>
      </c>
      <c r="K227" s="653">
        <f>'WB HCW &amp; Beds'!BN235</f>
        <v>9.68</v>
      </c>
      <c r="L227" s="654">
        <f>'WB HCW &amp; Beds'!BO235</f>
        <v>2016</v>
      </c>
      <c r="M227" s="720">
        <f>IFERROR(IFERROR(INDEX('WHO GHO Data'!$AB$8:$AB$201,MATCH('HCW + Staff Summary'!$C227,'WHO GHO Data'!$C$8:$C$201,0)),INDEX('WHO GHO Data'!$AE$9:$AE$13,MATCH('HCW + Staff Summary'!$E227,'WHO GHO Data'!$AD$9:$AD$13,0))),"")</f>
        <v>0.54650004528486062</v>
      </c>
      <c r="O227" s="29">
        <f>INDEX('WB Population Data'!$D$6:$D$269,MATCH($B227,'WB Population Data'!$B$6:$B$269,0))</f>
        <v>2067000</v>
      </c>
      <c r="P227" s="30">
        <f t="shared" si="11"/>
        <v>6191.2851000000001</v>
      </c>
      <c r="Q227" s="29">
        <f t="shared" si="9"/>
        <v>826.80000000000007</v>
      </c>
      <c r="R227" s="29">
        <f>IFERROR(IFERROR(INDEX('WHO GHO Data'!$S$8:$S$201,MATCH($C227,'WHO GHO Data'!$C$8:$C$201,0)),($O227/1000*$K227)),IFERROR($O227/1000*VLOOKUP(E227,$W$9:$Y$12,3,0),0))</f>
        <v>20549.261937100258</v>
      </c>
      <c r="S227" s="30">
        <f>IFERROR(IFERROR(INDEX('WHO GHO Data'!$U$8:$U$201,MATCH($C227,'WHO GHO Data'!$C$8:$C$201,0)),INDEX('WHO GHO Data'!$AE$9:$AE$13,MATCH($E227,'WHO GHO Data'!$AD$9:$AD$13,0))*'HCW + Staff Summary'!$O227/1000),"")</f>
        <v>1129.6155936038067</v>
      </c>
    </row>
    <row r="228" spans="2:19" x14ac:dyDescent="0.75">
      <c r="B228" s="43" t="s">
        <v>544</v>
      </c>
      <c r="C228" s="43" t="s">
        <v>133</v>
      </c>
      <c r="D228" s="132" t="s">
        <v>1074</v>
      </c>
      <c r="E228" s="132" t="s">
        <v>411</v>
      </c>
      <c r="F228" s="132" t="str">
        <f t="shared" si="10"/>
        <v>Not LMIC</v>
      </c>
      <c r="G228" s="646">
        <f>INDEX('WB HCW &amp; Beds'!$C$558:$BO$821,MATCH($C228,'WB HCW &amp; Beds'!$C$558:$C$821,0),MATCH("Latest value",'WB HCW &amp; Beds'!$C$557:$BO$557,0))</f>
        <v>5.3996000000000004</v>
      </c>
      <c r="H228" s="647">
        <f>INDEX('WB HCW &amp; Beds'!$C$558:$BO$821,MATCH($C228,'WB HCW &amp; Beds'!$C$558:$C$821,0),MATCH("Latest year",'WB HCW &amp; Beds'!$C$557:$BO$557,0))</f>
        <v>2016</v>
      </c>
      <c r="I228" s="651">
        <f>INDEX('WB HCW &amp; Beds'!$C$286:$BP$561,MATCH($C228,'WB HCW &amp; Beds'!$C$286:$C$561,0),MATCH("Value",'WB HCW &amp; Beds'!$C$286:$BP$286,0))</f>
        <v>0.4</v>
      </c>
      <c r="J228" s="647" t="str">
        <f>'WB HCW &amp; Beds'!BO508</f>
        <v>No reported value</v>
      </c>
      <c r="K228" s="653">
        <f>'WB HCW &amp; Beds'!BN236</f>
        <v>11.5434</v>
      </c>
      <c r="L228" s="654">
        <f>'WB HCW &amp; Beds'!BO236</f>
        <v>2016</v>
      </c>
      <c r="M228" s="720">
        <f>IFERROR(IFERROR(INDEX('WHO GHO Data'!$AB$8:$AB$201,MATCH('HCW + Staff Summary'!$C228,'WHO GHO Data'!$C$8:$C$201,0)),INDEX('WHO GHO Data'!$AE$9:$AE$13,MATCH('HCW + Staff Summary'!$E228,'WHO GHO Data'!$AD$9:$AD$13,0))),"")</f>
        <v>0.54650004528486062</v>
      </c>
      <c r="O228" s="29">
        <f>INDEX('WB Population Data'!$D$6:$D$269,MATCH($B228,'WB Population Data'!$B$6:$B$269,0))</f>
        <v>10319000</v>
      </c>
      <c r="P228" s="30">
        <f t="shared" si="11"/>
        <v>55718.472400000006</v>
      </c>
      <c r="Q228" s="29">
        <f t="shared" si="9"/>
        <v>4127.6000000000004</v>
      </c>
      <c r="R228" s="29">
        <f>IFERROR(IFERROR(INDEX('WHO GHO Data'!$S$8:$S$201,MATCH($C228,'WHO GHO Data'!$C$8:$C$201,0)),($O228/1000*$K228)),IFERROR($O228/1000*VLOOKUP(E228,$W$9:$Y$12,3,0),0))</f>
        <v>113379.47562221123</v>
      </c>
      <c r="S228" s="30">
        <f>IFERROR(IFERROR(INDEX('WHO GHO Data'!$U$8:$U$201,MATCH($C228,'WHO GHO Data'!$C$8:$C$201,0)),INDEX('WHO GHO Data'!$AE$9:$AE$13,MATCH($E228,'WHO GHO Data'!$AD$9:$AD$13,0))*'HCW + Staff Summary'!$O228/1000),"")</f>
        <v>5639.3339672944767</v>
      </c>
    </row>
    <row r="229" spans="2:19" x14ac:dyDescent="0.75">
      <c r="B229" s="43" t="s">
        <v>380</v>
      </c>
      <c r="C229" s="43" t="s">
        <v>134</v>
      </c>
      <c r="D229" s="132" t="s">
        <v>1073</v>
      </c>
      <c r="E229" s="132" t="s">
        <v>455</v>
      </c>
      <c r="F229" s="132" t="str">
        <f t="shared" si="10"/>
        <v>LMIC</v>
      </c>
      <c r="G229" s="646">
        <f>INDEX('WB HCW &amp; Beds'!$C$558:$BO$821,MATCH($C229,'WB HCW &amp; Beds'!$C$558:$C$821,0),MATCH("Latest value",'WB HCW &amp; Beds'!$C$557:$BO$557,0))</f>
        <v>7.9600000000000004E-2</v>
      </c>
      <c r="H229" s="647">
        <f>INDEX('WB HCW &amp; Beds'!$C$558:$BO$821,MATCH($C229,'WB HCW &amp; Beds'!$C$558:$C$821,0),MATCH("Latest year",'WB HCW &amp; Beds'!$C$557:$BO$557,0))</f>
        <v>2016</v>
      </c>
      <c r="I229" s="651">
        <f>INDEX('WB HCW &amp; Beds'!$C$286:$BP$561,MATCH($C229,'WB HCW &amp; Beds'!$C$286:$C$561,0),MATCH("Value",'WB HCW &amp; Beds'!$C$286:$BP$286,0))</f>
        <v>3.6539999999999999</v>
      </c>
      <c r="J229" s="647">
        <f>'WB HCW &amp; Beds'!BO509</f>
        <v>2004</v>
      </c>
      <c r="K229" s="653">
        <f>'WB HCW &amp; Beds'!BN237</f>
        <v>2</v>
      </c>
      <c r="L229" s="654">
        <f>'WB HCW &amp; Beds'!BO237</f>
        <v>2015</v>
      </c>
      <c r="M229" s="720">
        <f>IFERROR(IFERROR(INDEX('WHO GHO Data'!$AB$8:$AB$201,MATCH('HCW + Staff Summary'!$C229,'WHO GHO Data'!$C$8:$C$201,0)),INDEX('WHO GHO Data'!$AE$9:$AE$13,MATCH('HCW + Staff Summary'!$E229,'WHO GHO Data'!$AD$9:$AD$13,0))),"")</f>
        <v>3.8272571847202383E-2</v>
      </c>
      <c r="O229" s="29">
        <f>INDEX('WB Population Data'!$D$6:$D$269,MATCH($B229,'WB Population Data'!$B$6:$B$269,0))</f>
        <v>1160000</v>
      </c>
      <c r="P229" s="30">
        <f t="shared" si="11"/>
        <v>92.335999999999999</v>
      </c>
      <c r="Q229" s="29">
        <f t="shared" si="9"/>
        <v>4238.6400000000003</v>
      </c>
      <c r="R229" s="29">
        <f>IFERROR(IFERROR(INDEX('WHO GHO Data'!$S$8:$S$201,MATCH($C229,'WHO GHO Data'!$C$8:$C$201,0)),($O229/1000*$K229)),IFERROR($O229/1000*VLOOKUP(E229,$W$9:$Y$12,3,0),0))</f>
        <v>4789.9647598450474</v>
      </c>
      <c r="S229" s="30">
        <f>IFERROR(IFERROR(INDEX('WHO GHO Data'!$U$8:$U$201,MATCH($C229,'WHO GHO Data'!$C$8:$C$201,0)),INDEX('WHO GHO Data'!$AE$9:$AE$13,MATCH($E229,'WHO GHO Data'!$AD$9:$AD$13,0))*'HCW + Staff Summary'!$O229/1000),"")</f>
        <v>44.396183342754767</v>
      </c>
    </row>
    <row r="230" spans="2:19" x14ac:dyDescent="0.75">
      <c r="B230" s="43" t="s">
        <v>517</v>
      </c>
      <c r="C230" s="43" t="s">
        <v>518</v>
      </c>
      <c r="D230" s="132" t="s">
        <v>1124</v>
      </c>
      <c r="E230" s="132" t="s">
        <v>411</v>
      </c>
      <c r="F230" s="132" t="str">
        <f t="shared" si="10"/>
        <v>Not LMIC</v>
      </c>
      <c r="G230" s="646" t="str">
        <f>INDEX('WB HCW &amp; Beds'!$C$558:$BO$821,MATCH($C230,'WB HCW &amp; Beds'!$C$558:$C$821,0),MATCH("Latest value",'WB HCW &amp; Beds'!$C$557:$BO$557,0))</f>
        <v>No reported value</v>
      </c>
      <c r="H230" s="647" t="str">
        <f>INDEX('WB HCW &amp; Beds'!$C$558:$BO$821,MATCH($C230,'WB HCW &amp; Beds'!$C$558:$C$821,0),MATCH("Latest year",'WB HCW &amp; Beds'!$C$557:$BO$557,0))</f>
        <v>No reported value</v>
      </c>
      <c r="I230" s="651">
        <f>INDEX('WB HCW &amp; Beds'!$C$286:$BP$561,MATCH($C230,'WB HCW &amp; Beds'!$C$286:$C$561,0),MATCH("Value",'WB HCW &amp; Beds'!$C$286:$BP$286,0))</f>
        <v>0.4</v>
      </c>
      <c r="J230" s="647" t="str">
        <f>'WB HCW &amp; Beds'!BO510</f>
        <v>No reported value</v>
      </c>
      <c r="K230" s="653" t="str">
        <f>'WB HCW &amp; Beds'!BN238</f>
        <v>No reported value</v>
      </c>
      <c r="L230" s="654" t="str">
        <f>'WB HCW &amp; Beds'!BO238</f>
        <v>No reported value</v>
      </c>
      <c r="M230" s="720">
        <f>IFERROR(IFERROR(INDEX('WHO GHO Data'!$AB$8:$AB$201,MATCH('HCW + Staff Summary'!$C230,'WHO GHO Data'!$C$8:$C$201,0)),INDEX('WHO GHO Data'!$AE$9:$AE$13,MATCH('HCW + Staff Summary'!$E230,'WHO GHO Data'!$AD$9:$AD$13,0))),"")</f>
        <v>0.54650004528486062</v>
      </c>
      <c r="O230" s="29">
        <f>INDEX('WB Population Data'!$D$6:$D$269,MATCH($B230,'WB Population Data'!$B$6:$B$269,0))</f>
        <v>43847</v>
      </c>
      <c r="P230" s="30">
        <f t="shared" si="11"/>
        <v>122.84848664084508</v>
      </c>
      <c r="Q230" s="29">
        <f t="shared" si="9"/>
        <v>17.538800000000002</v>
      </c>
      <c r="R230" s="29">
        <f>IFERROR(IFERROR(INDEX('WHO GHO Data'!$S$8:$S$201,MATCH($C230,'WHO GHO Data'!$C$8:$C$201,0)),($O230/1000*$K230)),IFERROR($O230/1000*VLOOKUP(E230,$W$9:$Y$12,3,0),0))</f>
        <v>345.61868562068975</v>
      </c>
      <c r="S230" s="30">
        <f>IFERROR(IFERROR(INDEX('WHO GHO Data'!$U$8:$U$201,MATCH($C230,'WHO GHO Data'!$C$8:$C$201,0)),INDEX('WHO GHO Data'!$AE$9:$AE$13,MATCH($E230,'WHO GHO Data'!$AD$9:$AD$13,0))*'HCW + Staff Summary'!$O230/1000),"")</f>
        <v>23.962387485605284</v>
      </c>
    </row>
    <row r="231" spans="2:19" x14ac:dyDescent="0.75">
      <c r="B231" s="43" t="s">
        <v>213</v>
      </c>
      <c r="C231" s="43" t="s">
        <v>135</v>
      </c>
      <c r="D231" s="132" t="s">
        <v>1073</v>
      </c>
      <c r="E231" s="132" t="s">
        <v>411</v>
      </c>
      <c r="F231" s="132" t="str">
        <f t="shared" si="10"/>
        <v>Not LMIC</v>
      </c>
      <c r="G231" s="646">
        <f>INDEX('WB HCW &amp; Beds'!$C$558:$BO$821,MATCH($C231,'WB HCW &amp; Beds'!$C$558:$C$821,0),MATCH("Latest value",'WB HCW &amp; Beds'!$C$557:$BO$557,0))</f>
        <v>0.94579999999999997</v>
      </c>
      <c r="H231" s="647">
        <f>INDEX('WB HCW &amp; Beds'!$C$558:$BO$821,MATCH($C231,'WB HCW &amp; Beds'!$C$558:$C$821,0),MATCH("Latest year",'WB HCW &amp; Beds'!$C$557:$BO$557,0))</f>
        <v>2016</v>
      </c>
      <c r="I231" s="651">
        <f>INDEX('WB HCW &amp; Beds'!$C$286:$BP$561,MATCH($C231,'WB HCW &amp; Beds'!$C$286:$C$561,0),MATCH("Value",'WB HCW &amp; Beds'!$C$286:$BP$286,0))</f>
        <v>0.4</v>
      </c>
      <c r="J231" s="647" t="str">
        <f>'WB HCW &amp; Beds'!BO511</f>
        <v>No reported value</v>
      </c>
      <c r="K231" s="653">
        <f>'WB HCW &amp; Beds'!BN239</f>
        <v>3.2612999999999999</v>
      </c>
      <c r="L231" s="654">
        <f>'WB HCW &amp; Beds'!BO239</f>
        <v>2016</v>
      </c>
      <c r="M231" s="720">
        <f>IFERROR(IFERROR(INDEX('WHO GHO Data'!$AB$8:$AB$201,MATCH('HCW + Staff Summary'!$C231,'WHO GHO Data'!$C$8:$C$201,0)),INDEX('WHO GHO Data'!$AE$9:$AE$13,MATCH('HCW + Staff Summary'!$E231,'WHO GHO Data'!$AD$9:$AD$13,0))),"")</f>
        <v>0.59192305041609816</v>
      </c>
      <c r="O231" s="29">
        <f>INDEX('WB Population Data'!$D$6:$D$269,MATCH($B231,'WB Population Data'!$B$6:$B$269,0))</f>
        <v>98000</v>
      </c>
      <c r="P231" s="30">
        <f t="shared" si="11"/>
        <v>92.688400000000001</v>
      </c>
      <c r="Q231" s="29">
        <f t="shared" si="9"/>
        <v>39.200000000000003</v>
      </c>
      <c r="R231" s="29">
        <f>IFERROR(IFERROR(INDEX('WHO GHO Data'!$S$8:$S$201,MATCH($C231,'WHO GHO Data'!$C$8:$C$201,0)),($O231/1000*$K231)),IFERROR($O231/1000*VLOOKUP(E231,$W$9:$Y$12,3,0),0))</f>
        <v>724.83553397444109</v>
      </c>
      <c r="S231" s="30">
        <f>IFERROR(IFERROR(INDEX('WHO GHO Data'!$U$8:$U$201,MATCH($C231,'WHO GHO Data'!$C$8:$C$201,0)),INDEX('WHO GHO Data'!$AE$9:$AE$13,MATCH($E231,'WHO GHO Data'!$AD$9:$AD$13,0))*'HCW + Staff Summary'!$O231/1000),"")</f>
        <v>58.008458940777615</v>
      </c>
    </row>
    <row r="232" spans="2:19" x14ac:dyDescent="0.75">
      <c r="B232" s="43" t="s">
        <v>546</v>
      </c>
      <c r="C232" s="43" t="s">
        <v>136</v>
      </c>
      <c r="D232" s="132" t="s">
        <v>1072</v>
      </c>
      <c r="E232" s="132" t="s">
        <v>453</v>
      </c>
      <c r="F232" s="132" t="str">
        <f t="shared" si="10"/>
        <v>LMIC</v>
      </c>
      <c r="G232" s="646">
        <f>INDEX('WB HCW &amp; Beds'!$C$558:$BO$821,MATCH($C232,'WB HCW &amp; Beds'!$C$558:$C$821,0),MATCH("Latest value",'WB HCW &amp; Beds'!$C$557:$BO$557,0))</f>
        <v>1.22</v>
      </c>
      <c r="H232" s="647">
        <f>INDEX('WB HCW &amp; Beds'!$C$558:$BO$821,MATCH($C232,'WB HCW &amp; Beds'!$C$558:$C$821,0),MATCH("Latest year",'WB HCW &amp; Beds'!$C$557:$BO$557,0))</f>
        <v>2016</v>
      </c>
      <c r="I232" s="651">
        <f>INDEX('WB HCW &amp; Beds'!$C$286:$BP$561,MATCH($C232,'WB HCW &amp; Beds'!$C$286:$C$561,0),MATCH("Value",'WB HCW &amp; Beds'!$C$286:$BP$286,0))</f>
        <v>0.4</v>
      </c>
      <c r="J232" s="647" t="str">
        <f>'WB HCW &amp; Beds'!BO512</f>
        <v>No reported value</v>
      </c>
      <c r="K232" s="653">
        <f>'WB HCW &amp; Beds'!BN240</f>
        <v>1.46</v>
      </c>
      <c r="L232" s="654">
        <f>'WB HCW &amp; Beds'!BO240</f>
        <v>2016</v>
      </c>
      <c r="M232" s="720">
        <f>IFERROR(IFERROR(INDEX('WHO GHO Data'!$AB$8:$AB$201,MATCH('HCW + Staff Summary'!$C232,'WHO GHO Data'!$C$8:$C$201,0)),INDEX('WHO GHO Data'!$AE$9:$AE$13,MATCH('HCW + Staff Summary'!$E232,'WHO GHO Data'!$AD$9:$AD$13,0))),"")</f>
        <v>9.849709954994014E-2</v>
      </c>
      <c r="O232" s="29">
        <f>INDEX('WB Population Data'!$D$6:$D$269,MATCH($B232,'WB Population Data'!$B$6:$B$269,0))</f>
        <v>17501000</v>
      </c>
      <c r="P232" s="30">
        <f t="shared" si="11"/>
        <v>21351.22</v>
      </c>
      <c r="Q232" s="29">
        <f t="shared" si="9"/>
        <v>7000.4000000000005</v>
      </c>
      <c r="R232" s="29">
        <f>IFERROR(IFERROR(INDEX('WHO GHO Data'!$S$8:$S$201,MATCH($C232,'WHO GHO Data'!$C$8:$C$201,0)),($O232/1000*$K232)),IFERROR($O232/1000*VLOOKUP(E232,$W$9:$Y$12,3,0),0))</f>
        <v>23879.635133492291</v>
      </c>
      <c r="S232" s="30">
        <f>IFERROR(IFERROR(INDEX('WHO GHO Data'!$U$8:$U$201,MATCH($C232,'WHO GHO Data'!$C$8:$C$201,0)),INDEX('WHO GHO Data'!$AE$9:$AE$13,MATCH($E232,'WHO GHO Data'!$AD$9:$AD$13,0))*'HCW + Staff Summary'!$O232/1000),"")</f>
        <v>1723.7977392235023</v>
      </c>
    </row>
    <row r="233" spans="2:19" x14ac:dyDescent="0.75">
      <c r="B233" s="43" t="s">
        <v>553</v>
      </c>
      <c r="C233" s="43" t="s">
        <v>554</v>
      </c>
      <c r="D233" s="132" t="s">
        <v>1124</v>
      </c>
      <c r="E233" s="132" t="s">
        <v>411</v>
      </c>
      <c r="F233" s="132" t="str">
        <f t="shared" si="10"/>
        <v>Not LMIC</v>
      </c>
      <c r="G233" s="646" t="str">
        <f>INDEX('WB HCW &amp; Beds'!$C$558:$BO$821,MATCH($C233,'WB HCW &amp; Beds'!$C$558:$C$821,0),MATCH("Latest value",'WB HCW &amp; Beds'!$C$557:$BO$557,0))</f>
        <v>No reported value</v>
      </c>
      <c r="H233" s="647" t="str">
        <f>INDEX('WB HCW &amp; Beds'!$C$558:$BO$821,MATCH($C233,'WB HCW &amp; Beds'!$C$558:$C$821,0),MATCH("Latest year",'WB HCW &amp; Beds'!$C$557:$BO$557,0))</f>
        <v>No reported value</v>
      </c>
      <c r="I233" s="651">
        <f>INDEX('WB HCW &amp; Beds'!$C$286:$BP$561,MATCH($C233,'WB HCW &amp; Beds'!$C$286:$C$561,0),MATCH("Value",'WB HCW &amp; Beds'!$C$286:$BP$286,0))</f>
        <v>0.4</v>
      </c>
      <c r="J233" s="647" t="str">
        <f>'WB HCW &amp; Beds'!BO513</f>
        <v>No reported value</v>
      </c>
      <c r="K233" s="653" t="str">
        <f>'WB HCW &amp; Beds'!BN241</f>
        <v>No reported value</v>
      </c>
      <c r="L233" s="654" t="str">
        <f>'WB HCW &amp; Beds'!BO241</f>
        <v>No reported value</v>
      </c>
      <c r="M233" s="720">
        <f>IFERROR(IFERROR(INDEX('WHO GHO Data'!$AB$8:$AB$201,MATCH('HCW + Staff Summary'!$C233,'WHO GHO Data'!$C$8:$C$201,0)),INDEX('WHO GHO Data'!$AE$9:$AE$13,MATCH('HCW + Staff Summary'!$E233,'WHO GHO Data'!$AD$9:$AD$13,0))),"")</f>
        <v>0.54650004528486062</v>
      </c>
      <c r="O233" s="29">
        <f>INDEX('WB Population Data'!$D$6:$D$269,MATCH($B233,'WB Population Data'!$B$6:$B$269,0))</f>
        <v>39000</v>
      </c>
      <c r="P233" s="30">
        <f t="shared" si="11"/>
        <v>109.26838732394366</v>
      </c>
      <c r="Q233" s="29">
        <f t="shared" si="9"/>
        <v>15.600000000000001</v>
      </c>
      <c r="R233" s="29">
        <f>IFERROR(IFERROR(INDEX('WHO GHO Data'!$S$8:$S$201,MATCH($C233,'WHO GHO Data'!$C$8:$C$201,0)),($O233/1000*$K233)),IFERROR($O233/1000*VLOOKUP(E233,$W$9:$Y$12,3,0),0))</f>
        <v>307.41279310344834</v>
      </c>
      <c r="S233" s="30">
        <f>IFERROR(IFERROR(INDEX('WHO GHO Data'!$U$8:$U$201,MATCH($C233,'WHO GHO Data'!$C$8:$C$201,0)),INDEX('WHO GHO Data'!$AE$9:$AE$13,MATCH($E233,'WHO GHO Data'!$AD$9:$AD$13,0))*'HCW + Staff Summary'!$O233/1000),"")</f>
        <v>21.313501766109564</v>
      </c>
    </row>
    <row r="234" spans="2:19" x14ac:dyDescent="0.75">
      <c r="B234" s="43" t="s">
        <v>189</v>
      </c>
      <c r="C234" s="43" t="s">
        <v>169</v>
      </c>
      <c r="D234" s="132" t="s">
        <v>1073</v>
      </c>
      <c r="E234" s="132" t="s">
        <v>453</v>
      </c>
      <c r="F234" s="132" t="str">
        <f t="shared" si="10"/>
        <v>LMIC</v>
      </c>
      <c r="G234" s="646">
        <f>INDEX('WB HCW &amp; Beds'!$C$558:$BO$821,MATCH($C234,'WB HCW &amp; Beds'!$C$558:$C$821,0),MATCH("Latest value",'WB HCW &amp; Beds'!$C$557:$BO$557,0))</f>
        <v>4.7500000000000001E-2</v>
      </c>
      <c r="H234" s="647">
        <f>INDEX('WB HCW &amp; Beds'!$C$558:$BO$821,MATCH($C234,'WB HCW &amp; Beds'!$C$558:$C$821,0),MATCH("Latest year",'WB HCW &amp; Beds'!$C$557:$BO$557,0))</f>
        <v>2016</v>
      </c>
      <c r="I234" s="651">
        <f>INDEX('WB HCW &amp; Beds'!$C$286:$BP$561,MATCH($C234,'WB HCW &amp; Beds'!$C$286:$C$561,0),MATCH("Value",'WB HCW &amp; Beds'!$C$286:$BP$286,0))</f>
        <v>1.6E-2</v>
      </c>
      <c r="J234" s="647">
        <f>'WB HCW &amp; Beds'!BO514</f>
        <v>2004</v>
      </c>
      <c r="K234" s="653">
        <f>'WB HCW &amp; Beds'!BN242</f>
        <v>0.36370000000000002</v>
      </c>
      <c r="L234" s="654">
        <f>'WB HCW &amp; Beds'!BO242</f>
        <v>2016</v>
      </c>
      <c r="M234" s="720">
        <f>IFERROR(IFERROR(INDEX('WHO GHO Data'!$AB$8:$AB$201,MATCH('HCW + Staff Summary'!$C234,'WHO GHO Data'!$C$8:$C$201,0)),INDEX('WHO GHO Data'!$AE$9:$AE$13,MATCH('HCW + Staff Summary'!$E234,'WHO GHO Data'!$AD$9:$AD$13,0))),"")</f>
        <v>3.061165732772295E-2</v>
      </c>
      <c r="O234" s="29">
        <f>INDEX('WB Population Data'!$D$6:$D$269,MATCH($B234,'WB Population Data'!$B$6:$B$269,0))</f>
        <v>16426000</v>
      </c>
      <c r="P234" s="30">
        <f t="shared" si="11"/>
        <v>780.23500000000001</v>
      </c>
      <c r="Q234" s="29">
        <f t="shared" si="9"/>
        <v>262.81600000000003</v>
      </c>
      <c r="R234" s="29">
        <f>IFERROR(IFERROR(INDEX('WHO GHO Data'!$S$8:$S$201,MATCH($C234,'WHO GHO Data'!$C$8:$C$201,0)),($O234/1000*$K234)),IFERROR($O234/1000*VLOOKUP(E234,$W$9:$Y$12,3,0),0))</f>
        <v>3827.3235613167644</v>
      </c>
      <c r="S234" s="30">
        <f>IFERROR(IFERROR(INDEX('WHO GHO Data'!$U$8:$U$201,MATCH($C234,'WHO GHO Data'!$C$8:$C$201,0)),INDEX('WHO GHO Data'!$AE$9:$AE$13,MATCH($E234,'WHO GHO Data'!$AD$9:$AD$13,0))*'HCW + Staff Summary'!$O234/1000),"")</f>
        <v>502.82708326517712</v>
      </c>
    </row>
    <row r="235" spans="2:19" x14ac:dyDescent="0.75">
      <c r="B235" s="43" t="s">
        <v>375</v>
      </c>
      <c r="C235" s="43" t="s">
        <v>376</v>
      </c>
      <c r="D235" s="132" t="s">
        <v>1124</v>
      </c>
      <c r="E235" s="132" t="s">
        <v>750</v>
      </c>
      <c r="F235" s="132" t="str">
        <f t="shared" si="10"/>
        <v>Not LMIC</v>
      </c>
      <c r="G235" s="646">
        <f>INDEX('WB HCW &amp; Beds'!$C$558:$BO$821,MATCH($C235,'WB HCW &amp; Beds'!$C$558:$C$821,0),MATCH("Latest value",'WB HCW &amp; Beds'!$C$557:$BO$557,0))</f>
        <v>1.4486429865861432</v>
      </c>
      <c r="H235" s="647">
        <f>INDEX('WB HCW &amp; Beds'!$C$558:$BO$821,MATCH($C235,'WB HCW &amp; Beds'!$C$558:$C$821,0),MATCH("Latest year",'WB HCW &amp; Beds'!$C$557:$BO$557,0))</f>
        <v>2015</v>
      </c>
      <c r="I235" s="651">
        <f>INDEX('WB HCW &amp; Beds'!$C$286:$BP$561,MATCH($C235,'WB HCW &amp; Beds'!$C$286:$C$561,0),MATCH("Value",'WB HCW &amp; Beds'!$C$286:$BP$286,0))</f>
        <v>0.6814814941465519</v>
      </c>
      <c r="J235" s="647">
        <f>'WB HCW &amp; Beds'!BO515</f>
        <v>2011</v>
      </c>
      <c r="K235" s="653">
        <f>'WB HCW &amp; Beds'!BN243</f>
        <v>2.1248211972701894</v>
      </c>
      <c r="L235" s="654">
        <f>'WB HCW &amp; Beds'!BO243</f>
        <v>2015</v>
      </c>
      <c r="M235" s="720" t="str">
        <f>IFERROR(IFERROR(INDEX('WHO GHO Data'!$AB$8:$AB$201,MATCH('HCW + Staff Summary'!$C235,'WHO GHO Data'!$C$8:$C$201,0)),INDEX('WHO GHO Data'!$AE$9:$AE$13,MATCH('HCW + Staff Summary'!$E235,'WHO GHO Data'!$AD$9:$AD$13,0))),"")</f>
        <v/>
      </c>
      <c r="O235" s="29">
        <f>INDEX('WB Population Data'!$D$6:$D$269,MATCH($B235,'WB Population Data'!$B$6:$B$269,0))</f>
        <v>2078467000</v>
      </c>
      <c r="P235" s="30">
        <f t="shared" si="11"/>
        <v>0</v>
      </c>
      <c r="Q235" s="29">
        <f t="shared" si="9"/>
        <v>1416436.7966943013</v>
      </c>
      <c r="R235" s="29">
        <f>IFERROR(IFERROR(INDEX('WHO GHO Data'!$S$8:$S$201,MATCH($C235,'WHO GHO Data'!$C$8:$C$201,0)),($O235/1000*$K235)),IFERROR($O235/1000*VLOOKUP(E235,$W$9:$Y$12,3,0),0))</f>
        <v>4416370.7394265784</v>
      </c>
      <c r="S235" s="30" t="str">
        <f>IFERROR(IFERROR(INDEX('WHO GHO Data'!$U$8:$U$201,MATCH($C235,'WHO GHO Data'!$C$8:$C$201,0)),INDEX('WHO GHO Data'!$AE$9:$AE$13,MATCH($E235,'WHO GHO Data'!$AD$9:$AD$13,0))*'HCW + Staff Summary'!$O235/1000),"")</f>
        <v/>
      </c>
    </row>
    <row r="236" spans="2:19" x14ac:dyDescent="0.75">
      <c r="B236" s="43" t="s">
        <v>387</v>
      </c>
      <c r="C236" s="43" t="s">
        <v>388</v>
      </c>
      <c r="D236" s="132" t="s">
        <v>1124</v>
      </c>
      <c r="E236" s="132" t="s">
        <v>750</v>
      </c>
      <c r="F236" s="132" t="str">
        <f t="shared" si="10"/>
        <v>Not LMIC</v>
      </c>
      <c r="G236" s="646">
        <f>INDEX('WB HCW &amp; Beds'!$C$558:$BO$821,MATCH($C236,'WB HCW &amp; Beds'!$C$558:$C$821,0),MATCH("Latest value",'WB HCW &amp; Beds'!$C$557:$BO$557,0))</f>
        <v>2.9904806133074908</v>
      </c>
      <c r="H236" s="647">
        <f>INDEX('WB HCW &amp; Beds'!$C$558:$BO$821,MATCH($C236,'WB HCW &amp; Beds'!$C$558:$C$821,0),MATCH("Latest year",'WB HCW &amp; Beds'!$C$557:$BO$557,0))</f>
        <v>2015</v>
      </c>
      <c r="I236" s="651">
        <f>INDEX('WB HCW &amp; Beds'!$C$286:$BP$561,MATCH($C236,'WB HCW &amp; Beds'!$C$286:$C$561,0),MATCH("Value",'WB HCW &amp; Beds'!$C$286:$BP$286,0))</f>
        <v>0.4</v>
      </c>
      <c r="J236" s="647" t="str">
        <f>'WB HCW &amp; Beds'!BO516</f>
        <v>No reported value</v>
      </c>
      <c r="K236" s="653">
        <f>'WB HCW &amp; Beds'!BN244</f>
        <v>6.9216664116514464</v>
      </c>
      <c r="L236" s="654">
        <f>'WB HCW &amp; Beds'!BO244</f>
        <v>2015</v>
      </c>
      <c r="M236" s="720" t="str">
        <f>IFERROR(IFERROR(INDEX('WHO GHO Data'!$AB$8:$AB$201,MATCH('HCW + Staff Summary'!$C236,'WHO GHO Data'!$C$8:$C$201,0)),INDEX('WHO GHO Data'!$AE$9:$AE$13,MATCH('HCW + Staff Summary'!$E236,'WHO GHO Data'!$AD$9:$AD$13,0))),"")</f>
        <v/>
      </c>
      <c r="O236" s="29">
        <f>INDEX('WB Population Data'!$D$6:$D$269,MATCH($B236,'WB Population Data'!$B$6:$B$269,0))</f>
        <v>462615000</v>
      </c>
      <c r="P236" s="30">
        <f t="shared" si="11"/>
        <v>0</v>
      </c>
      <c r="Q236" s="29">
        <f t="shared" si="9"/>
        <v>185046</v>
      </c>
      <c r="R236" s="29">
        <f>IFERROR(IFERROR(INDEX('WHO GHO Data'!$S$8:$S$201,MATCH($C236,'WHO GHO Data'!$C$8:$C$201,0)),($O236/1000*$K236)),IFERROR($O236/1000*VLOOKUP(E236,$W$9:$Y$12,3,0),0))</f>
        <v>3202066.7070261338</v>
      </c>
      <c r="S236" s="30" t="str">
        <f>IFERROR(IFERROR(INDEX('WHO GHO Data'!$U$8:$U$201,MATCH($C236,'WHO GHO Data'!$C$8:$C$201,0)),INDEX('WHO GHO Data'!$AE$9:$AE$13,MATCH($E236,'WHO GHO Data'!$AD$9:$AD$13,0))*'HCW + Staff Summary'!$O236/1000),"")</f>
        <v/>
      </c>
    </row>
    <row r="237" spans="2:19" x14ac:dyDescent="0.75">
      <c r="B237" s="43" t="s">
        <v>215</v>
      </c>
      <c r="C237" s="43" t="s">
        <v>137</v>
      </c>
      <c r="D237" s="132" t="s">
        <v>1073</v>
      </c>
      <c r="E237" s="132" t="s">
        <v>453</v>
      </c>
      <c r="F237" s="132" t="str">
        <f t="shared" si="10"/>
        <v>LMIC</v>
      </c>
      <c r="G237" s="646">
        <f>INDEX('WB HCW &amp; Beds'!$C$558:$BO$821,MATCH($C237,'WB HCW &amp; Beds'!$C$558:$C$821,0),MATCH("Latest value",'WB HCW &amp; Beds'!$C$557:$BO$557,0))</f>
        <v>4.87E-2</v>
      </c>
      <c r="H237" s="647">
        <f>INDEX('WB HCW &amp; Beds'!$C$558:$BO$821,MATCH($C237,'WB HCW &amp; Beds'!$C$558:$C$821,0),MATCH("Latest year",'WB HCW &amp; Beds'!$C$557:$BO$557,0))</f>
        <v>2015</v>
      </c>
      <c r="I237" s="651">
        <f>INDEX('WB HCW &amp; Beds'!$C$286:$BP$561,MATCH($C237,'WB HCW &amp; Beds'!$C$286:$C$561,0),MATCH("Value",'WB HCW &amp; Beds'!$C$286:$BP$286,0))</f>
        <v>0.4</v>
      </c>
      <c r="J237" s="647" t="str">
        <f>'WB HCW &amp; Beds'!BO517</f>
        <v>No reported value</v>
      </c>
      <c r="K237" s="653">
        <f>'WB HCW &amp; Beds'!BN245</f>
        <v>0.29799999999999999</v>
      </c>
      <c r="L237" s="654">
        <f>'WB HCW &amp; Beds'!BO245</f>
        <v>2015</v>
      </c>
      <c r="M237" s="720">
        <f>IFERROR(IFERROR(INDEX('WHO GHO Data'!$AB$8:$AB$201,MATCH('HCW + Staff Summary'!$C237,'WHO GHO Data'!$C$8:$C$201,0)),INDEX('WHO GHO Data'!$AE$9:$AE$13,MATCH('HCW + Staff Summary'!$E237,'WHO GHO Data'!$AD$9:$AD$13,0))),"")</f>
        <v>8.1632021648242598E-2</v>
      </c>
      <c r="O237" s="29">
        <f>INDEX('WB Population Data'!$D$6:$D$269,MATCH($B237,'WB Population Data'!$B$6:$B$269,0))</f>
        <v>8279000</v>
      </c>
      <c r="P237" s="30">
        <f t="shared" si="11"/>
        <v>403.18729999999999</v>
      </c>
      <c r="Q237" s="29">
        <f t="shared" si="9"/>
        <v>3311.6000000000004</v>
      </c>
      <c r="R237" s="29">
        <f>IFERROR(IFERROR(INDEX('WHO GHO Data'!$S$8:$S$201,MATCH($C237,'WHO GHO Data'!$C$8:$C$201,0)),($O237/1000*$K237)),IFERROR($O237/1000*VLOOKUP(E237,$W$9:$Y$12,3,0),0))</f>
        <v>2050.61783918746</v>
      </c>
      <c r="S237" s="30">
        <f>IFERROR(IFERROR(INDEX('WHO GHO Data'!$U$8:$U$201,MATCH($C237,'WHO GHO Data'!$C$8:$C$201,0)),INDEX('WHO GHO Data'!$AE$9:$AE$13,MATCH($E237,'WHO GHO Data'!$AD$9:$AD$13,0))*'HCW + Staff Summary'!$O237/1000),"")</f>
        <v>675.83150722580046</v>
      </c>
    </row>
    <row r="238" spans="2:19" x14ac:dyDescent="0.75">
      <c r="B238" s="43" t="s">
        <v>548</v>
      </c>
      <c r="C238" s="43" t="s">
        <v>138</v>
      </c>
      <c r="D238" s="132" t="s">
        <v>1077</v>
      </c>
      <c r="E238" s="132" t="s">
        <v>558</v>
      </c>
      <c r="F238" s="132" t="str">
        <f t="shared" si="10"/>
        <v>LMIC</v>
      </c>
      <c r="G238" s="646">
        <f>INDEX('WB HCW &amp; Beds'!$C$558:$BO$821,MATCH($C238,'WB HCW &amp; Beds'!$C$558:$C$821,0),MATCH("Latest value",'WB HCW &amp; Beds'!$C$557:$BO$557,0))</f>
        <v>0.80959999999999999</v>
      </c>
      <c r="H238" s="647">
        <f>INDEX('WB HCW &amp; Beds'!$C$558:$BO$821,MATCH($C238,'WB HCW &amp; Beds'!$C$558:$C$821,0),MATCH("Latest year",'WB HCW &amp; Beds'!$C$557:$BO$557,0))</f>
        <v>2017</v>
      </c>
      <c r="I238" s="651">
        <f>INDEX('WB HCW &amp; Beds'!$C$286:$BP$561,MATCH($C238,'WB HCW &amp; Beds'!$C$286:$C$561,0),MATCH("Value",'WB HCW &amp; Beds'!$C$286:$BP$286,0))</f>
        <v>5.8999999999999997E-2</v>
      </c>
      <c r="J238" s="647">
        <f>'WB HCW &amp; Beds'!BO518</f>
        <v>2000</v>
      </c>
      <c r="K238" s="653">
        <f>'WB HCW &amp; Beds'!BN246</f>
        <v>2.9647000000000001</v>
      </c>
      <c r="L238" s="654">
        <f>'WB HCW &amp; Beds'!BO246</f>
        <v>2017</v>
      </c>
      <c r="M238" s="720">
        <f>IFERROR(IFERROR(INDEX('WHO GHO Data'!$AB$8:$AB$201,MATCH('HCW + Staff Summary'!$C238,'WHO GHO Data'!$C$8:$C$201,0)),INDEX('WHO GHO Data'!$AE$9:$AE$13,MATCH('HCW + Staff Summary'!$E238,'WHO GHO Data'!$AD$9:$AD$13,0))),"")</f>
        <v>3.5511077773347291E-2</v>
      </c>
      <c r="O238" s="29">
        <f>INDEX('WB Population Data'!$D$6:$D$269,MATCH($B238,'WB Population Data'!$B$6:$B$269,0))</f>
        <v>69800000</v>
      </c>
      <c r="P238" s="30">
        <f t="shared" si="11"/>
        <v>56510.080000000002</v>
      </c>
      <c r="Q238" s="29">
        <f t="shared" si="9"/>
        <v>4118.2</v>
      </c>
      <c r="R238" s="29">
        <f>IFERROR(IFERROR(INDEX('WHO GHO Data'!$S$8:$S$201,MATCH($C238,'WHO GHO Data'!$C$8:$C$201,0)),($O238/1000*$K238)),IFERROR($O238/1000*VLOOKUP(E238,$W$9:$Y$12,3,0),0))</f>
        <v>193008.14754713656</v>
      </c>
      <c r="S238" s="30">
        <f>IFERROR(IFERROR(INDEX('WHO GHO Data'!$U$8:$U$201,MATCH($C238,'WHO GHO Data'!$C$8:$C$201,0)),INDEX('WHO GHO Data'!$AE$9:$AE$13,MATCH($E238,'WHO GHO Data'!$AD$9:$AD$13,0))*'HCW + Staff Summary'!$O238/1000),"")</f>
        <v>2478.6732285796411</v>
      </c>
    </row>
    <row r="239" spans="2:19" x14ac:dyDescent="0.75">
      <c r="B239" s="43" t="s">
        <v>238</v>
      </c>
      <c r="C239" s="43" t="s">
        <v>163</v>
      </c>
      <c r="D239" s="132" t="s">
        <v>1074</v>
      </c>
      <c r="E239" s="132" t="s">
        <v>453</v>
      </c>
      <c r="F239" s="132" t="str">
        <f t="shared" si="10"/>
        <v>LMIC</v>
      </c>
      <c r="G239" s="646">
        <f>INDEX('WB HCW &amp; Beds'!$C$558:$BO$821,MATCH($C239,'WB HCW &amp; Beds'!$C$558:$C$821,0),MATCH("Latest value",'WB HCW &amp; Beds'!$C$557:$BO$557,0))</f>
        <v>1.7002999999999999</v>
      </c>
      <c r="H239" s="647">
        <f>INDEX('WB HCW &amp; Beds'!$C$558:$BO$821,MATCH($C239,'WB HCW &amp; Beds'!$C$558:$C$821,0),MATCH("Latest year",'WB HCW &amp; Beds'!$C$557:$BO$557,0))</f>
        <v>2014</v>
      </c>
      <c r="I239" s="651">
        <f>INDEX('WB HCW &amp; Beds'!$C$286:$BP$561,MATCH($C239,'WB HCW &amp; Beds'!$C$286:$C$561,0),MATCH("Value",'WB HCW &amp; Beds'!$C$286:$BP$286,0))</f>
        <v>0.4</v>
      </c>
      <c r="J239" s="647" t="str">
        <f>'WB HCW &amp; Beds'!BO519</f>
        <v>No reported value</v>
      </c>
      <c r="K239" s="653">
        <f>'WB HCW &amp; Beds'!BN247</f>
        <v>5.2329999999999997</v>
      </c>
      <c r="L239" s="654">
        <f>'WB HCW &amp; Beds'!BO247</f>
        <v>2014</v>
      </c>
      <c r="M239" s="720">
        <f>IFERROR(IFERROR(INDEX('WHO GHO Data'!$AB$8:$AB$201,MATCH('HCW + Staff Summary'!$C239,'WHO GHO Data'!$C$8:$C$201,0)),INDEX('WHO GHO Data'!$AE$9:$AE$13,MATCH('HCW + Staff Summary'!$E239,'WHO GHO Data'!$AD$9:$AD$13,0))),"")</f>
        <v>9.849709954994014E-2</v>
      </c>
      <c r="O239" s="29">
        <f>INDEX('WB Population Data'!$D$6:$D$269,MATCH($B239,'WB Population Data'!$B$6:$B$269,0))</f>
        <v>9538000</v>
      </c>
      <c r="P239" s="30">
        <f t="shared" si="11"/>
        <v>16217.4614</v>
      </c>
      <c r="Q239" s="29">
        <f t="shared" si="9"/>
        <v>3815.2000000000003</v>
      </c>
      <c r="R239" s="29">
        <f>IFERROR(IFERROR(INDEX('WHO GHO Data'!$S$8:$S$201,MATCH($C239,'WHO GHO Data'!$C$8:$C$201,0)),($O239/1000*$K239)),IFERROR($O239/1000*VLOOKUP(E239,$W$9:$Y$12,3,0),0))</f>
        <v>40071.262746895816</v>
      </c>
      <c r="S239" s="30">
        <f>IFERROR(IFERROR(INDEX('WHO GHO Data'!$U$8:$U$201,MATCH($C239,'WHO GHO Data'!$C$8:$C$201,0)),INDEX('WHO GHO Data'!$AE$9:$AE$13,MATCH($E239,'WHO GHO Data'!$AD$9:$AD$13,0))*'HCW + Staff Summary'!$O239/1000),"")</f>
        <v>939.46533550732909</v>
      </c>
    </row>
    <row r="240" spans="2:19" x14ac:dyDescent="0.75">
      <c r="B240" s="43" t="s">
        <v>552</v>
      </c>
      <c r="C240" s="43" t="s">
        <v>139</v>
      </c>
      <c r="D240" s="132" t="s">
        <v>1074</v>
      </c>
      <c r="E240" s="132" t="s">
        <v>558</v>
      </c>
      <c r="F240" s="132" t="str">
        <f t="shared" si="10"/>
        <v>LMIC</v>
      </c>
      <c r="G240" s="646">
        <f>INDEX('WB HCW &amp; Beds'!$C$558:$BO$821,MATCH($C240,'WB HCW &amp; Beds'!$C$558:$C$821,0),MATCH("Latest value",'WB HCW &amp; Beds'!$C$557:$BO$557,0))</f>
        <v>2.2248000000000001</v>
      </c>
      <c r="H240" s="647">
        <f>INDEX('WB HCW &amp; Beds'!$C$558:$BO$821,MATCH($C240,'WB HCW &amp; Beds'!$C$558:$C$821,0),MATCH("Latest year",'WB HCW &amp; Beds'!$C$557:$BO$557,0))</f>
        <v>2014</v>
      </c>
      <c r="I240" s="651">
        <f>INDEX('WB HCW &amp; Beds'!$C$286:$BP$561,MATCH($C240,'WB HCW &amp; Beds'!$C$286:$C$561,0),MATCH("Value",'WB HCW &amp; Beds'!$C$286:$BP$286,0))</f>
        <v>0.4</v>
      </c>
      <c r="J240" s="647" t="str">
        <f>'WB HCW &amp; Beds'!BO520</f>
        <v>No reported value</v>
      </c>
      <c r="K240" s="653">
        <f>'WB HCW &amp; Beds'!BN248</f>
        <v>4.6306000000000003</v>
      </c>
      <c r="L240" s="654">
        <f>'WB HCW &amp; Beds'!BO248</f>
        <v>2014</v>
      </c>
      <c r="M240" s="720">
        <f>IFERROR(IFERROR(INDEX('WHO GHO Data'!$AB$8:$AB$201,MATCH('HCW + Staff Summary'!$C240,'WHO GHO Data'!$C$8:$C$201,0)),INDEX('WHO GHO Data'!$AE$9:$AE$13,MATCH('HCW + Staff Summary'!$E240,'WHO GHO Data'!$AD$9:$AD$13,0))),"")</f>
        <v>0.21980423949700909</v>
      </c>
      <c r="O240" s="29">
        <f>INDEX('WB Population Data'!$D$6:$D$269,MATCH($B240,'WB Population Data'!$B$6:$B$269,0))</f>
        <v>6031000</v>
      </c>
      <c r="P240" s="30">
        <f t="shared" si="11"/>
        <v>13417.7688</v>
      </c>
      <c r="Q240" s="29">
        <f t="shared" si="9"/>
        <v>2412.4</v>
      </c>
      <c r="R240" s="29">
        <f>IFERROR(IFERROR(INDEX('WHO GHO Data'!$S$8:$S$201,MATCH($C240,'WHO GHO Data'!$C$8:$C$201,0)),($O240/1000*$K240)),IFERROR($O240/1000*VLOOKUP(E240,$W$9:$Y$12,3,0),0))</f>
        <v>25591.139765218868</v>
      </c>
      <c r="S240" s="30">
        <f>IFERROR(IFERROR(INDEX('WHO GHO Data'!$U$8:$U$201,MATCH($C240,'WHO GHO Data'!$C$8:$C$201,0)),INDEX('WHO GHO Data'!$AE$9:$AE$13,MATCH($E240,'WHO GHO Data'!$AD$9:$AD$13,0))*'HCW + Staff Summary'!$O240/1000),"")</f>
        <v>1325.6393684064617</v>
      </c>
    </row>
    <row r="241" spans="2:19" x14ac:dyDescent="0.75">
      <c r="B241" s="43" t="s">
        <v>441</v>
      </c>
      <c r="C241" s="43" t="s">
        <v>442</v>
      </c>
      <c r="D241" s="132" t="s">
        <v>1124</v>
      </c>
      <c r="E241" s="132" t="s">
        <v>750</v>
      </c>
      <c r="F241" s="132" t="str">
        <f t="shared" si="10"/>
        <v>Not LMIC</v>
      </c>
      <c r="G241" s="646">
        <f>INDEX('WB HCW &amp; Beds'!$C$558:$BO$821,MATCH($C241,'WB HCW &amp; Beds'!$C$558:$C$821,0),MATCH("Latest value",'WB HCW &amp; Beds'!$C$557:$BO$557,0))</f>
        <v>2.0517429280473296</v>
      </c>
      <c r="H241" s="647">
        <f>INDEX('WB HCW &amp; Beds'!$C$558:$BO$821,MATCH($C241,'WB HCW &amp; Beds'!$C$558:$C$821,0),MATCH("Latest year",'WB HCW &amp; Beds'!$C$557:$BO$557,0))</f>
        <v>2015</v>
      </c>
      <c r="I241" s="651">
        <f>INDEX('WB HCW &amp; Beds'!$C$286:$BP$561,MATCH($C241,'WB HCW &amp; Beds'!$C$286:$C$561,0),MATCH("Value",'WB HCW &amp; Beds'!$C$286:$BP$286,0))</f>
        <v>0.4</v>
      </c>
      <c r="J241" s="647" t="str">
        <f>'WB HCW &amp; Beds'!BO521</f>
        <v>No reported value</v>
      </c>
      <c r="K241" s="653">
        <f>'WB HCW &amp; Beds'!BN249</f>
        <v>4.6623691490508543</v>
      </c>
      <c r="L241" s="654">
        <f>'WB HCW &amp; Beds'!BO249</f>
        <v>2015</v>
      </c>
      <c r="M241" s="720" t="str">
        <f>IFERROR(IFERROR(INDEX('WHO GHO Data'!$AB$8:$AB$201,MATCH('HCW + Staff Summary'!$C241,'WHO GHO Data'!$C$8:$C$201,0)),INDEX('WHO GHO Data'!$AE$9:$AE$13,MATCH('HCW + Staff Summary'!$E241,'WHO GHO Data'!$AD$9:$AD$13,0))),"")</f>
        <v/>
      </c>
      <c r="O241" s="29">
        <f>INDEX('WB Population Data'!$D$6:$D$269,MATCH($B241,'WB Population Data'!$B$6:$B$269,0))</f>
        <v>637480000</v>
      </c>
      <c r="P241" s="30">
        <f t="shared" si="11"/>
        <v>0</v>
      </c>
      <c r="Q241" s="29">
        <f t="shared" si="9"/>
        <v>254992</v>
      </c>
      <c r="R241" s="29">
        <f>IFERROR(IFERROR(INDEX('WHO GHO Data'!$S$8:$S$201,MATCH($C241,'WHO GHO Data'!$C$8:$C$201,0)),($O241/1000*$K241)),IFERROR($O241/1000*VLOOKUP(E241,$W$9:$Y$12,3,0),0))</f>
        <v>2972167.0851369384</v>
      </c>
      <c r="S241" s="30" t="str">
        <f>IFERROR(IFERROR(INDEX('WHO GHO Data'!$U$8:$U$201,MATCH($C241,'WHO GHO Data'!$C$8:$C$201,0)),INDEX('WHO GHO Data'!$AE$9:$AE$13,MATCH($E241,'WHO GHO Data'!$AD$9:$AD$13,0))*'HCW + Staff Summary'!$O241/1000),"")</f>
        <v/>
      </c>
    </row>
    <row r="242" spans="2:19" x14ac:dyDescent="0.75">
      <c r="B242" s="43" t="s">
        <v>246</v>
      </c>
      <c r="C242" s="43" t="s">
        <v>140</v>
      </c>
      <c r="D242" s="132" t="s">
        <v>1077</v>
      </c>
      <c r="E242" s="132" t="s">
        <v>455</v>
      </c>
      <c r="F242" s="132" t="str">
        <f t="shared" si="10"/>
        <v>LMIC</v>
      </c>
      <c r="G242" s="646">
        <f>INDEX('WB HCW &amp; Beds'!$C$558:$BO$821,MATCH($C242,'WB HCW &amp; Beds'!$C$558:$C$821,0),MATCH("Latest value",'WB HCW &amp; Beds'!$C$557:$BO$557,0))</f>
        <v>0.71970000000000001</v>
      </c>
      <c r="H242" s="647">
        <f>INDEX('WB HCW &amp; Beds'!$C$558:$BO$821,MATCH($C242,'WB HCW &amp; Beds'!$C$558:$C$821,0),MATCH("Latest year",'WB HCW &amp; Beds'!$C$557:$BO$557,0))</f>
        <v>2017</v>
      </c>
      <c r="I242" s="651">
        <f>INDEX('WB HCW &amp; Beds'!$C$286:$BP$561,MATCH($C242,'WB HCW &amp; Beds'!$C$286:$C$561,0),MATCH("Value",'WB HCW &amp; Beds'!$C$286:$BP$286,0))</f>
        <v>0.01</v>
      </c>
      <c r="J242" s="647">
        <f>'WB HCW &amp; Beds'!BO522</f>
        <v>2004</v>
      </c>
      <c r="K242" s="653">
        <f>'WB HCW &amp; Beds'!BN250</f>
        <v>1.6700999999999999</v>
      </c>
      <c r="L242" s="654">
        <f>'WB HCW &amp; Beds'!BO250</f>
        <v>2017</v>
      </c>
      <c r="M242" s="720">
        <f>IFERROR(IFERROR(INDEX('WHO GHO Data'!$AB$8:$AB$201,MATCH('HCW + Staff Summary'!$C242,'WHO GHO Data'!$C$8:$C$201,0)),INDEX('WHO GHO Data'!$AE$9:$AE$13,MATCH('HCW + Staff Summary'!$E242,'WHO GHO Data'!$AD$9:$AD$13,0))),"")</f>
        <v>0.11859583921775153</v>
      </c>
      <c r="O242" s="29">
        <f>INDEX('WB Population Data'!$D$6:$D$269,MATCH($B242,'WB Population Data'!$B$6:$B$269,0))</f>
        <v>1318000</v>
      </c>
      <c r="P242" s="30">
        <f t="shared" si="11"/>
        <v>948.56460000000004</v>
      </c>
      <c r="Q242" s="29">
        <f t="shared" si="9"/>
        <v>13.18</v>
      </c>
      <c r="R242" s="29">
        <f>IFERROR(IFERROR(INDEX('WHO GHO Data'!$S$8:$S$201,MATCH($C242,'WHO GHO Data'!$C$8:$C$201,0)),($O242/1000*$K242)),IFERROR($O242/1000*VLOOKUP(E242,$W$9:$Y$12,3,0),0))</f>
        <v>1554.3017669463907</v>
      </c>
      <c r="S242" s="30">
        <f>IFERROR(IFERROR(INDEX('WHO GHO Data'!$U$8:$U$201,MATCH($C242,'WHO GHO Data'!$C$8:$C$201,0)),INDEX('WHO GHO Data'!$AE$9:$AE$13,MATCH($E242,'WHO GHO Data'!$AD$9:$AD$13,0))*'HCW + Staff Summary'!$O242/1000),"")</f>
        <v>156.30931608899652</v>
      </c>
    </row>
    <row r="243" spans="2:19" x14ac:dyDescent="0.75">
      <c r="B243" s="43" t="s">
        <v>470</v>
      </c>
      <c r="C243" s="43" t="s">
        <v>471</v>
      </c>
      <c r="D243" s="132" t="s">
        <v>1124</v>
      </c>
      <c r="E243" s="132" t="s">
        <v>750</v>
      </c>
      <c r="F243" s="132" t="str">
        <f t="shared" si="10"/>
        <v>Not LMIC</v>
      </c>
      <c r="G243" s="646">
        <f>INDEX('WB HCW &amp; Beds'!$C$558:$BO$821,MATCH($C243,'WB HCW &amp; Beds'!$C$558:$C$821,0),MATCH("Latest value",'WB HCW &amp; Beds'!$C$557:$BO$557,0))</f>
        <v>1.0694376664304046</v>
      </c>
      <c r="H243" s="647">
        <f>INDEX('WB HCW &amp; Beds'!$C$558:$BO$821,MATCH($C243,'WB HCW &amp; Beds'!$C$558:$C$821,0),MATCH("Latest year",'WB HCW &amp; Beds'!$C$557:$BO$557,0))</f>
        <v>2015</v>
      </c>
      <c r="I243" s="651">
        <f>INDEX('WB HCW &amp; Beds'!$C$286:$BP$561,MATCH($C243,'WB HCW &amp; Beds'!$C$286:$C$561,0),MATCH("Value",'WB HCW &amp; Beds'!$C$286:$BP$286,0))</f>
        <v>0.4</v>
      </c>
      <c r="J243" s="647" t="str">
        <f>'WB HCW &amp; Beds'!BO523</f>
        <v>No reported value</v>
      </c>
      <c r="K243" s="653">
        <f>'WB HCW &amp; Beds'!BN251</f>
        <v>1.752603675461049</v>
      </c>
      <c r="L243" s="654">
        <f>'WB HCW &amp; Beds'!BO251</f>
        <v>2015</v>
      </c>
      <c r="M243" s="720" t="str">
        <f>IFERROR(IFERROR(INDEX('WHO GHO Data'!$AB$8:$AB$201,MATCH('HCW + Staff Summary'!$C243,'WHO GHO Data'!$C$8:$C$201,0)),INDEX('WHO GHO Data'!$AE$9:$AE$13,MATCH('HCW + Staff Summary'!$E243,'WHO GHO Data'!$AD$9:$AD$13,0))),"")</f>
        <v/>
      </c>
      <c r="O243" s="29">
        <f>INDEX('WB Population Data'!$D$6:$D$269,MATCH($B243,'WB Population Data'!$B$6:$B$269,0))</f>
        <v>391344000</v>
      </c>
      <c r="P243" s="30">
        <f t="shared" si="11"/>
        <v>0</v>
      </c>
      <c r="Q243" s="29">
        <f t="shared" si="9"/>
        <v>156537.60000000001</v>
      </c>
      <c r="R243" s="29">
        <f>IFERROR(IFERROR(INDEX('WHO GHO Data'!$S$8:$S$201,MATCH($C243,'WHO GHO Data'!$C$8:$C$201,0)),($O243/1000*$K243)),IFERROR($O243/1000*VLOOKUP(E243,$W$9:$Y$12,3,0),0))</f>
        <v>685870.93276962871</v>
      </c>
      <c r="S243" s="30" t="str">
        <f>IFERROR(IFERROR(INDEX('WHO GHO Data'!$U$8:$U$201,MATCH($C243,'WHO GHO Data'!$C$8:$C$201,0)),INDEX('WHO GHO Data'!$AE$9:$AE$13,MATCH($E243,'WHO GHO Data'!$AD$9:$AD$13,0))*'HCW + Staff Summary'!$O243/1000),"")</f>
        <v/>
      </c>
    </row>
    <row r="244" spans="2:19" x14ac:dyDescent="0.75">
      <c r="B244" s="43" t="s">
        <v>256</v>
      </c>
      <c r="C244" s="43" t="s">
        <v>141</v>
      </c>
      <c r="D244" s="132" t="s">
        <v>1076</v>
      </c>
      <c r="E244" s="132" t="s">
        <v>558</v>
      </c>
      <c r="F244" s="132" t="str">
        <f t="shared" si="10"/>
        <v>LMIC</v>
      </c>
      <c r="G244" s="646">
        <f>INDEX('WB HCW &amp; Beds'!$C$558:$BO$821,MATCH($C244,'WB HCW &amp; Beds'!$C$558:$C$821,0),MATCH("Latest value",'WB HCW &amp; Beds'!$C$557:$BO$557,0))</f>
        <v>0.52229999999999999</v>
      </c>
      <c r="H244" s="647">
        <f>INDEX('WB HCW &amp; Beds'!$C$558:$BO$821,MATCH($C244,'WB HCW &amp; Beds'!$C$558:$C$821,0),MATCH("Latest year",'WB HCW &amp; Beds'!$C$557:$BO$557,0))</f>
        <v>2013</v>
      </c>
      <c r="I244" s="651">
        <f>INDEX('WB HCW &amp; Beds'!$C$286:$BP$561,MATCH($C244,'WB HCW &amp; Beds'!$C$286:$C$561,0),MATCH("Value",'WB HCW &amp; Beds'!$C$286:$BP$286,0))</f>
        <v>0.4</v>
      </c>
      <c r="J244" s="647" t="str">
        <f>'WB HCW &amp; Beds'!BO524</f>
        <v>No reported value</v>
      </c>
      <c r="K244" s="653">
        <f>'WB HCW &amp; Beds'!BN252</f>
        <v>3.9319999999999999</v>
      </c>
      <c r="L244" s="654">
        <f>'WB HCW &amp; Beds'!BO252</f>
        <v>2016</v>
      </c>
      <c r="M244" s="720">
        <f>IFERROR(IFERROR(INDEX('WHO GHO Data'!$AB$8:$AB$201,MATCH('HCW + Staff Summary'!$C244,'WHO GHO Data'!$C$8:$C$201,0)),INDEX('WHO GHO Data'!$AE$9:$AE$13,MATCH('HCW + Staff Summary'!$E244,'WHO GHO Data'!$AD$9:$AD$13,0))),"")</f>
        <v>0.24049193076137801</v>
      </c>
      <c r="O244" s="29">
        <f>INDEX('WB Population Data'!$D$6:$D$269,MATCH($B244,'WB Population Data'!$B$6:$B$269,0))</f>
        <v>106000</v>
      </c>
      <c r="P244" s="30">
        <f t="shared" si="11"/>
        <v>55.363799999999998</v>
      </c>
      <c r="Q244" s="29">
        <f t="shared" si="9"/>
        <v>42.400000000000006</v>
      </c>
      <c r="R244" s="29">
        <f>IFERROR(IFERROR(INDEX('WHO GHO Data'!$S$8:$S$201,MATCH($C244,'WHO GHO Data'!$C$8:$C$201,0)),($O244/1000*$K244)),IFERROR($O244/1000*VLOOKUP(E244,$W$9:$Y$12,3,0),0))</f>
        <v>431.39613895304831</v>
      </c>
      <c r="S244" s="30">
        <f>IFERROR(IFERROR(INDEX('WHO GHO Data'!$U$8:$U$201,MATCH($C244,'WHO GHO Data'!$C$8:$C$201,0)),INDEX('WHO GHO Data'!$AE$9:$AE$13,MATCH($E244,'WHO GHO Data'!$AD$9:$AD$13,0))*'HCW + Staff Summary'!$O244/1000),"")</f>
        <v>25.492144660706067</v>
      </c>
    </row>
    <row r="245" spans="2:19" x14ac:dyDescent="0.75">
      <c r="B245" s="43" t="s">
        <v>526</v>
      </c>
      <c r="C245" s="43" t="s">
        <v>527</v>
      </c>
      <c r="D245" s="132" t="s">
        <v>1124</v>
      </c>
      <c r="E245" s="132" t="s">
        <v>750</v>
      </c>
      <c r="F245" s="132" t="str">
        <f t="shared" si="10"/>
        <v>Not LMIC</v>
      </c>
      <c r="G245" s="646">
        <f>INDEX('WB HCW &amp; Beds'!$C$558:$BO$821,MATCH($C245,'WB HCW &amp; Beds'!$C$558:$C$821,0),MATCH("Latest value",'WB HCW &amp; Beds'!$C$557:$BO$557,0))</f>
        <v>0.76812752286180397</v>
      </c>
      <c r="H245" s="647">
        <f>INDEX('WB HCW &amp; Beds'!$C$558:$BO$821,MATCH($C245,'WB HCW &amp; Beds'!$C$558:$C$821,0),MATCH("Latest year",'WB HCW &amp; Beds'!$C$557:$BO$557,0))</f>
        <v>2015</v>
      </c>
      <c r="I245" s="651">
        <f>INDEX('WB HCW &amp; Beds'!$C$286:$BP$561,MATCH($C245,'WB HCW &amp; Beds'!$C$286:$C$561,0),MATCH("Value",'WB HCW &amp; Beds'!$C$286:$BP$286,0))</f>
        <v>0.51390419136430177</v>
      </c>
      <c r="J245" s="647">
        <f>'WB HCW &amp; Beds'!BO525</f>
        <v>2011</v>
      </c>
      <c r="K245" s="653">
        <f>'WB HCW &amp; Beds'!BN253</f>
        <v>1.7372389586483101</v>
      </c>
      <c r="L245" s="654">
        <f>'WB HCW &amp; Beds'!BO253</f>
        <v>2015</v>
      </c>
      <c r="M245" s="720" t="str">
        <f>IFERROR(IFERROR(INDEX('WHO GHO Data'!$AB$8:$AB$201,MATCH('HCW + Staff Summary'!$C245,'WHO GHO Data'!$C$8:$C$201,0)),INDEX('WHO GHO Data'!$AE$9:$AE$13,MATCH('HCW + Staff Summary'!$E245,'WHO GHO Data'!$AD$9:$AD$13,0))),"")</f>
        <v/>
      </c>
      <c r="O245" s="29">
        <f>INDEX('WB Population Data'!$D$6:$D$269,MATCH($B245,'WB Population Data'!$B$6:$B$269,0))</f>
        <v>1856800000</v>
      </c>
      <c r="P245" s="30">
        <f t="shared" si="11"/>
        <v>0</v>
      </c>
      <c r="Q245" s="29">
        <f t="shared" si="9"/>
        <v>954217.30252523557</v>
      </c>
      <c r="R245" s="29">
        <f>IFERROR(IFERROR(INDEX('WHO GHO Data'!$S$8:$S$201,MATCH($C245,'WHO GHO Data'!$C$8:$C$201,0)),($O245/1000*$K245)),IFERROR($O245/1000*VLOOKUP(E245,$W$9:$Y$12,3,0),0))</f>
        <v>3225705.2984181824</v>
      </c>
      <c r="S245" s="30" t="str">
        <f>IFERROR(IFERROR(INDEX('WHO GHO Data'!$U$8:$U$201,MATCH($C245,'WHO GHO Data'!$C$8:$C$201,0)),INDEX('WHO GHO Data'!$AE$9:$AE$13,MATCH($E245,'WHO GHO Data'!$AD$9:$AD$13,0))*'HCW + Staff Summary'!$O245/1000),"")</f>
        <v/>
      </c>
    </row>
    <row r="246" spans="2:19" x14ac:dyDescent="0.75">
      <c r="B246" s="43" t="s">
        <v>542</v>
      </c>
      <c r="C246" s="43" t="s">
        <v>543</v>
      </c>
      <c r="D246" s="132" t="s">
        <v>1124</v>
      </c>
      <c r="E246" s="132" t="s">
        <v>750</v>
      </c>
      <c r="F246" s="132" t="str">
        <f t="shared" si="10"/>
        <v>Not LMIC</v>
      </c>
      <c r="G246" s="646">
        <f>INDEX('WB HCW &amp; Beds'!$C$558:$BO$821,MATCH($C246,'WB HCW &amp; Beds'!$C$558:$C$821,0),MATCH("Latest value",'WB HCW &amp; Beds'!$C$557:$BO$557,0))</f>
        <v>0.2196453959396874</v>
      </c>
      <c r="H246" s="647">
        <f>INDEX('WB HCW &amp; Beds'!$C$558:$BO$821,MATCH($C246,'WB HCW &amp; Beds'!$C$558:$C$821,0),MATCH("Latest year",'WB HCW &amp; Beds'!$C$557:$BO$557,0))</f>
        <v>2015</v>
      </c>
      <c r="I246" s="651">
        <f>INDEX('WB HCW &amp; Beds'!$C$286:$BP$561,MATCH($C246,'WB HCW &amp; Beds'!$C$286:$C$561,0),MATCH("Value",'WB HCW &amp; Beds'!$C$286:$BP$286,0))</f>
        <v>0.4</v>
      </c>
      <c r="J246" s="647" t="str">
        <f>'WB HCW &amp; Beds'!BO526</f>
        <v>No reported value</v>
      </c>
      <c r="K246" s="653">
        <f>'WB HCW &amp; Beds'!BN254</f>
        <v>1.0285959901671162</v>
      </c>
      <c r="L246" s="654">
        <f>'WB HCW &amp; Beds'!BO254</f>
        <v>2015</v>
      </c>
      <c r="M246" s="720" t="str">
        <f>IFERROR(IFERROR(INDEX('WHO GHO Data'!$AB$8:$AB$201,MATCH('HCW + Staff Summary'!$C246,'WHO GHO Data'!$C$8:$C$201,0)),INDEX('WHO GHO Data'!$AE$9:$AE$13,MATCH('HCW + Staff Summary'!$E246,'WHO GHO Data'!$AD$9:$AD$13,0))),"")</f>
        <v/>
      </c>
      <c r="O246" s="29">
        <f>INDEX('WB Population Data'!$D$6:$D$269,MATCH($B246,'WB Population Data'!$B$6:$B$269,0))</f>
        <v>1136052000</v>
      </c>
      <c r="P246" s="30">
        <f t="shared" si="11"/>
        <v>0</v>
      </c>
      <c r="Q246" s="29">
        <f t="shared" si="9"/>
        <v>454420.80000000005</v>
      </c>
      <c r="R246" s="29">
        <f>IFERROR(IFERROR(INDEX('WHO GHO Data'!$S$8:$S$201,MATCH($C246,'WHO GHO Data'!$C$8:$C$201,0)),($O246/1000*$K246)),IFERROR($O246/1000*VLOOKUP(E246,$W$9:$Y$12,3,0),0))</f>
        <v>1168538.5318213326</v>
      </c>
      <c r="S246" s="30" t="str">
        <f>IFERROR(IFERROR(INDEX('WHO GHO Data'!$U$8:$U$201,MATCH($C246,'WHO GHO Data'!$C$8:$C$201,0)),INDEX('WHO GHO Data'!$AE$9:$AE$13,MATCH($E246,'WHO GHO Data'!$AD$9:$AD$13,0))*'HCW + Staff Summary'!$O246/1000),"")</f>
        <v/>
      </c>
    </row>
    <row r="247" spans="2:19" x14ac:dyDescent="0.75">
      <c r="B247" s="43" t="s">
        <v>549</v>
      </c>
      <c r="C247" s="43" t="s">
        <v>142</v>
      </c>
      <c r="D247" s="132" t="s">
        <v>1075</v>
      </c>
      <c r="E247" s="132" t="s">
        <v>411</v>
      </c>
      <c r="F247" s="132" t="str">
        <f t="shared" si="10"/>
        <v>Not LMIC</v>
      </c>
      <c r="G247" s="646">
        <f>INDEX('WB HCW &amp; Beds'!$C$558:$BO$821,MATCH($C247,'WB HCW &amp; Beds'!$C$558:$C$821,0),MATCH("Latest value",'WB HCW &amp; Beds'!$C$557:$BO$557,0))</f>
        <v>2.6697000000000002</v>
      </c>
      <c r="H247" s="647">
        <f>INDEX('WB HCW &amp; Beds'!$C$558:$BO$821,MATCH($C247,'WB HCW &amp; Beds'!$C$558:$C$821,0),MATCH("Latest year",'WB HCW &amp; Beds'!$C$557:$BO$557,0))</f>
        <v>2015</v>
      </c>
      <c r="I247" s="651">
        <f>INDEX('WB HCW &amp; Beds'!$C$286:$BP$561,MATCH($C247,'WB HCW &amp; Beds'!$C$286:$C$561,0),MATCH("Value",'WB HCW &amp; Beds'!$C$286:$BP$286,0))</f>
        <v>0.4</v>
      </c>
      <c r="J247" s="647" t="str">
        <f>'WB HCW &amp; Beds'!BO527</f>
        <v>No reported value</v>
      </c>
      <c r="K247" s="653">
        <f>'WB HCW &amp; Beds'!BN255</f>
        <v>3.5093000000000001</v>
      </c>
      <c r="L247" s="654">
        <f>'WB HCW &amp; Beds'!BO255</f>
        <v>2015</v>
      </c>
      <c r="M247" s="720">
        <f>IFERROR(IFERROR(INDEX('WHO GHO Data'!$AB$8:$AB$201,MATCH('HCW + Staff Summary'!$C247,'WHO GHO Data'!$C$8:$C$201,0)),INDEX('WHO GHO Data'!$AE$9:$AE$13,MATCH('HCW + Staff Summary'!$E247,'WHO GHO Data'!$AD$9:$AD$13,0))),"")</f>
        <v>0.25137883075641421</v>
      </c>
      <c r="O247" s="29">
        <f>INDEX('WB Population Data'!$D$6:$D$269,MATCH($B247,'WB Population Data'!$B$6:$B$269,0))</f>
        <v>1399000</v>
      </c>
      <c r="P247" s="30">
        <f t="shared" si="11"/>
        <v>3734.9103000000005</v>
      </c>
      <c r="Q247" s="29">
        <f t="shared" si="9"/>
        <v>559.6</v>
      </c>
      <c r="R247" s="29">
        <f>IFERROR(IFERROR(INDEX('WHO GHO Data'!$S$8:$S$201,MATCH($C247,'WHO GHO Data'!$C$8:$C$201,0)),($O247/1000*$K247)),IFERROR($O247/1000*VLOOKUP(E247,$W$9:$Y$12,3,0),0))</f>
        <v>5749.1429346964469</v>
      </c>
      <c r="S247" s="30">
        <f>IFERROR(IFERROR(INDEX('WHO GHO Data'!$U$8:$U$201,MATCH($C247,'WHO GHO Data'!$C$8:$C$201,0)),INDEX('WHO GHO Data'!$AE$9:$AE$13,MATCH($E247,'WHO GHO Data'!$AD$9:$AD$13,0))*'HCW + Staff Summary'!$O247/1000),"")</f>
        <v>351.6789842282235</v>
      </c>
    </row>
    <row r="248" spans="2:19" x14ac:dyDescent="0.75">
      <c r="B248" s="43" t="s">
        <v>550</v>
      </c>
      <c r="C248" s="43" t="s">
        <v>143</v>
      </c>
      <c r="D248" s="132" t="s">
        <v>1072</v>
      </c>
      <c r="E248" s="132" t="s">
        <v>455</v>
      </c>
      <c r="F248" s="132" t="str">
        <f t="shared" si="10"/>
        <v>LMIC</v>
      </c>
      <c r="G248" s="646">
        <f>INDEX('WB HCW &amp; Beds'!$C$558:$BO$821,MATCH($C248,'WB HCW &amp; Beds'!$C$558:$C$821,0),MATCH("Latest value",'WB HCW &amp; Beds'!$C$557:$BO$557,0))</f>
        <v>1.2722</v>
      </c>
      <c r="H248" s="647">
        <f>INDEX('WB HCW &amp; Beds'!$C$558:$BO$821,MATCH($C248,'WB HCW &amp; Beds'!$C$558:$C$821,0),MATCH("Latest year",'WB HCW &amp; Beds'!$C$557:$BO$557,0))</f>
        <v>2016</v>
      </c>
      <c r="I248" s="651">
        <f>INDEX('WB HCW &amp; Beds'!$C$286:$BP$561,MATCH($C248,'WB HCW &amp; Beds'!$C$286:$C$561,0),MATCH("Value",'WB HCW &amp; Beds'!$C$286:$BP$286,0))</f>
        <v>0.4</v>
      </c>
      <c r="J248" s="647" t="str">
        <f>'WB HCW &amp; Beds'!BO528</f>
        <v>No reported value</v>
      </c>
      <c r="K248" s="653">
        <f>'WB HCW &amp; Beds'!BN256</f>
        <v>2.6351</v>
      </c>
      <c r="L248" s="654">
        <f>'WB HCW &amp; Beds'!BO256</f>
        <v>2016</v>
      </c>
      <c r="M248" s="720">
        <f>IFERROR(IFERROR(INDEX('WHO GHO Data'!$AB$8:$AB$201,MATCH('HCW + Staff Summary'!$C248,'WHO GHO Data'!$C$8:$C$201,0)),INDEX('WHO GHO Data'!$AE$9:$AE$13,MATCH('HCW + Staff Summary'!$E248,'WHO GHO Data'!$AD$9:$AD$13,0))),"")</f>
        <v>0.23138212028833638</v>
      </c>
      <c r="O248" s="29">
        <f>INDEX('WB Population Data'!$D$6:$D$269,MATCH($B248,'WB Population Data'!$B$6:$B$269,0))</f>
        <v>11819000</v>
      </c>
      <c r="P248" s="30">
        <f t="shared" si="11"/>
        <v>15036.131799999999</v>
      </c>
      <c r="Q248" s="29">
        <f t="shared" si="9"/>
        <v>4727.6000000000004</v>
      </c>
      <c r="R248" s="29">
        <f>IFERROR(IFERROR(INDEX('WHO GHO Data'!$S$8:$S$201,MATCH($C248,'WHO GHO Data'!$C$8:$C$201,0)),($O248/1000*$K248)),IFERROR($O248/1000*VLOOKUP(E248,$W$9:$Y$12,3,0),0))</f>
        <v>29687.143198537553</v>
      </c>
      <c r="S248" s="30">
        <f>IFERROR(IFERROR(INDEX('WHO GHO Data'!$U$8:$U$201,MATCH($C248,'WHO GHO Data'!$C$8:$C$201,0)),INDEX('WHO GHO Data'!$AE$9:$AE$13,MATCH($E248,'WHO GHO Data'!$AD$9:$AD$13,0))*'HCW + Staff Summary'!$O248/1000),"")</f>
        <v>2734.7052796878475</v>
      </c>
    </row>
    <row r="249" spans="2:19" x14ac:dyDescent="0.75">
      <c r="B249" s="43" t="s">
        <v>551</v>
      </c>
      <c r="C249" s="43" t="s">
        <v>144</v>
      </c>
      <c r="D249" s="132" t="s">
        <v>1074</v>
      </c>
      <c r="E249" s="132" t="s">
        <v>558</v>
      </c>
      <c r="F249" s="132" t="str">
        <f t="shared" si="10"/>
        <v>LMIC</v>
      </c>
      <c r="G249" s="646">
        <f>INDEX('WB HCW &amp; Beds'!$C$558:$BO$821,MATCH($C249,'WB HCW &amp; Beds'!$C$558:$C$821,0),MATCH("Latest value",'WB HCW &amp; Beds'!$C$557:$BO$557,0))</f>
        <v>1.7605</v>
      </c>
      <c r="H249" s="647">
        <f>INDEX('WB HCW &amp; Beds'!$C$558:$BO$821,MATCH($C249,'WB HCW &amp; Beds'!$C$558:$C$821,0),MATCH("Latest year",'WB HCW &amp; Beds'!$C$557:$BO$557,0))</f>
        <v>2014</v>
      </c>
      <c r="I249" s="651">
        <f>INDEX('WB HCW &amp; Beds'!$C$286:$BP$561,MATCH($C249,'WB HCW &amp; Beds'!$C$286:$C$561,0),MATCH("Value",'WB HCW &amp; Beds'!$C$286:$BP$286,0))</f>
        <v>0.4</v>
      </c>
      <c r="J249" s="647" t="str">
        <f>'WB HCW &amp; Beds'!BO529</f>
        <v>No reported value</v>
      </c>
      <c r="K249" s="653">
        <f>'WB HCW &amp; Beds'!BN257</f>
        <v>2.6303999999999998</v>
      </c>
      <c r="L249" s="654">
        <f>'WB HCW &amp; Beds'!BO257</f>
        <v>2015</v>
      </c>
      <c r="M249" s="720">
        <f>IFERROR(IFERROR(INDEX('WHO GHO Data'!$AB$8:$AB$201,MATCH('HCW + Staff Summary'!$C249,'WHO GHO Data'!$C$8:$C$201,0)),INDEX('WHO GHO Data'!$AE$9:$AE$13,MATCH('HCW + Staff Summary'!$E249,'WHO GHO Data'!$AD$9:$AD$13,0))),"")</f>
        <v>0.21980423949700909</v>
      </c>
      <c r="O249" s="29">
        <f>INDEX('WB Population Data'!$D$6:$D$269,MATCH($B249,'WB Population Data'!$B$6:$B$269,0))</f>
        <v>84339000</v>
      </c>
      <c r="P249" s="30">
        <f t="shared" si="11"/>
        <v>148478.8095</v>
      </c>
      <c r="Q249" s="29">
        <f t="shared" si="9"/>
        <v>33735.599999999999</v>
      </c>
      <c r="R249" s="29">
        <f>IFERROR(IFERROR(INDEX('WHO GHO Data'!$S$8:$S$201,MATCH($C249,'WHO GHO Data'!$C$8:$C$201,0)),($O249/1000*$K249)),IFERROR($O249/1000*VLOOKUP(E249,$W$9:$Y$12,3,0),0))</f>
        <v>174329.2580200705</v>
      </c>
      <c r="S249" s="30">
        <f>IFERROR(IFERROR(INDEX('WHO GHO Data'!$U$8:$U$201,MATCH($C249,'WHO GHO Data'!$C$8:$C$201,0)),INDEX('WHO GHO Data'!$AE$9:$AE$13,MATCH($E249,'WHO GHO Data'!$AD$9:$AD$13,0))*'HCW + Staff Summary'!$O249/1000),"")</f>
        <v>18538.069754938249</v>
      </c>
    </row>
    <row r="250" spans="2:19" x14ac:dyDescent="0.75">
      <c r="B250" s="43" t="s">
        <v>257</v>
      </c>
      <c r="C250" s="43" t="s">
        <v>145</v>
      </c>
      <c r="D250" s="132" t="s">
        <v>1076</v>
      </c>
      <c r="E250" s="132" t="s">
        <v>558</v>
      </c>
      <c r="F250" s="132" t="str">
        <f t="shared" si="10"/>
        <v>LMIC</v>
      </c>
      <c r="G250" s="646">
        <f>INDEX('WB HCW &amp; Beds'!$C$558:$BO$821,MATCH($C250,'WB HCW &amp; Beds'!$C$558:$C$821,0),MATCH("Latest value",'WB HCW &amp; Beds'!$C$557:$BO$557,0))</f>
        <v>0.91739999999999999</v>
      </c>
      <c r="H250" s="647">
        <f>INDEX('WB HCW &amp; Beds'!$C$558:$BO$821,MATCH($C250,'WB HCW &amp; Beds'!$C$558:$C$821,0),MATCH("Latest year",'WB HCW &amp; Beds'!$C$557:$BO$557,0))</f>
        <v>2014</v>
      </c>
      <c r="I250" s="651">
        <f>INDEX('WB HCW &amp; Beds'!$C$286:$BP$561,MATCH($C250,'WB HCW &amp; Beds'!$C$286:$C$561,0),MATCH("Value",'WB HCW &amp; Beds'!$C$286:$BP$286,0))</f>
        <v>0.4</v>
      </c>
      <c r="J250" s="647" t="str">
        <f>'WB HCW &amp; Beds'!BO530</f>
        <v>No reported value</v>
      </c>
      <c r="K250" s="653">
        <f>'WB HCW &amp; Beds'!BN258</f>
        <v>3.7614999999999998</v>
      </c>
      <c r="L250" s="654">
        <f>'WB HCW &amp; Beds'!BO258</f>
        <v>2014</v>
      </c>
      <c r="M250" s="720">
        <f>IFERROR(IFERROR(INDEX('WHO GHO Data'!$AB$8:$AB$201,MATCH('HCW + Staff Summary'!$C250,'WHO GHO Data'!$C$8:$C$201,0)),INDEX('WHO GHO Data'!$AE$9:$AE$13,MATCH('HCW + Staff Summary'!$E250,'WHO GHO Data'!$AD$9:$AD$13,0))),"")</f>
        <v>0.21980423949700909</v>
      </c>
      <c r="O250" s="29">
        <f>INDEX('WB Population Data'!$D$6:$D$269,MATCH($B250,'WB Population Data'!$B$6:$B$269,0))</f>
        <v>12000</v>
      </c>
      <c r="P250" s="30">
        <f t="shared" si="11"/>
        <v>11.008800000000001</v>
      </c>
      <c r="Q250" s="29">
        <f t="shared" si="9"/>
        <v>4.8000000000000007</v>
      </c>
      <c r="R250" s="29">
        <f>IFERROR(IFERROR(INDEX('WHO GHO Data'!$S$8:$S$201,MATCH($C250,'WHO GHO Data'!$C$8:$C$201,0)),($O250/1000*$K250)),IFERROR($O250/1000*VLOOKUP(E250,$W$9:$Y$12,3,0),0))</f>
        <v>50.148001670978616</v>
      </c>
      <c r="S250" s="30">
        <f>IFERROR(IFERROR(INDEX('WHO GHO Data'!$U$8:$U$201,MATCH($C250,'WHO GHO Data'!$C$8:$C$201,0)),INDEX('WHO GHO Data'!$AE$9:$AE$13,MATCH($E250,'WHO GHO Data'!$AD$9:$AD$13,0))*'HCW + Staff Summary'!$O250/1000),"")</f>
        <v>2.6376508739641089</v>
      </c>
    </row>
    <row r="251" spans="2:19" x14ac:dyDescent="0.75">
      <c r="B251" s="43" t="s">
        <v>547</v>
      </c>
      <c r="C251" s="43" t="s">
        <v>146</v>
      </c>
      <c r="D251" s="132" t="s">
        <v>1073</v>
      </c>
      <c r="E251" s="132" t="s">
        <v>453</v>
      </c>
      <c r="F251" s="132" t="str">
        <f t="shared" si="10"/>
        <v>LMIC</v>
      </c>
      <c r="G251" s="646">
        <f>INDEX('WB HCW &amp; Beds'!$C$558:$BO$821,MATCH($C251,'WB HCW &amp; Beds'!$C$558:$C$821,0),MATCH("Latest value",'WB HCW &amp; Beds'!$C$557:$BO$557,0))</f>
        <v>3.9899999999999998E-2</v>
      </c>
      <c r="H251" s="647">
        <f>INDEX('WB HCW &amp; Beds'!$C$558:$BO$821,MATCH($C251,'WB HCW &amp; Beds'!$C$558:$C$821,0),MATCH("Latest year",'WB HCW &amp; Beds'!$C$557:$BO$557,0))</f>
        <v>2014</v>
      </c>
      <c r="I251" s="651">
        <f>INDEX('WB HCW &amp; Beds'!$C$286:$BP$561,MATCH($C251,'WB HCW &amp; Beds'!$C$286:$C$561,0),MATCH("Value",'WB HCW &amp; Beds'!$C$286:$BP$286,0))</f>
        <v>0.4</v>
      </c>
      <c r="J251" s="647" t="str">
        <f>'WB HCW &amp; Beds'!BO531</f>
        <v>No reported value</v>
      </c>
      <c r="K251" s="653">
        <f>'WB HCW &amp; Beds'!BN259</f>
        <v>0.41260000000000002</v>
      </c>
      <c r="L251" s="654">
        <f>'WB HCW &amp; Beds'!BO259</f>
        <v>2014</v>
      </c>
      <c r="M251" s="720">
        <f>IFERROR(IFERROR(INDEX('WHO GHO Data'!$AB$8:$AB$201,MATCH('HCW + Staff Summary'!$C251,'WHO GHO Data'!$C$8:$C$201,0)),INDEX('WHO GHO Data'!$AE$9:$AE$13,MATCH('HCW + Staff Summary'!$E251,'WHO GHO Data'!$AD$9:$AD$13,0))),"")</f>
        <v>5.1981904659005596E-2</v>
      </c>
      <c r="O251" s="29">
        <f>INDEX('WB Population Data'!$D$6:$D$269,MATCH($B251,'WB Population Data'!$B$6:$B$269,0))</f>
        <v>59734000</v>
      </c>
      <c r="P251" s="30">
        <f t="shared" si="11"/>
        <v>2383.3865999999998</v>
      </c>
      <c r="Q251" s="29">
        <f t="shared" si="9"/>
        <v>23893.600000000002</v>
      </c>
      <c r="R251" s="29">
        <f>IFERROR(IFERROR(INDEX('WHO GHO Data'!$S$8:$S$201,MATCH($C251,'WHO GHO Data'!$C$8:$C$201,0)),($O251/1000*$K251)),IFERROR($O251/1000*VLOOKUP(E251,$W$9:$Y$12,3,0),0))</f>
        <v>34898.08761835636</v>
      </c>
      <c r="S251" s="30">
        <f>IFERROR(IFERROR(INDEX('WHO GHO Data'!$U$8:$U$201,MATCH($C251,'WHO GHO Data'!$C$8:$C$201,0)),INDEX('WHO GHO Data'!$AE$9:$AE$13,MATCH($E251,'WHO GHO Data'!$AD$9:$AD$13,0))*'HCW + Staff Summary'!$O251/1000),"")</f>
        <v>3105.0870929010403</v>
      </c>
    </row>
    <row r="252" spans="2:19" x14ac:dyDescent="0.75">
      <c r="B252" s="43" t="s">
        <v>216</v>
      </c>
      <c r="C252" s="43" t="s">
        <v>147</v>
      </c>
      <c r="D252" s="132" t="s">
        <v>1073</v>
      </c>
      <c r="E252" s="132" t="s">
        <v>453</v>
      </c>
      <c r="F252" s="132" t="str">
        <f t="shared" si="10"/>
        <v>LMIC</v>
      </c>
      <c r="G252" s="646">
        <f>INDEX('WB HCW &amp; Beds'!$C$558:$BO$821,MATCH($C252,'WB HCW &amp; Beds'!$C$558:$C$821,0),MATCH("Latest value",'WB HCW &amp; Beds'!$C$557:$BO$557,0))</f>
        <v>9.0800000000000006E-2</v>
      </c>
      <c r="H252" s="647">
        <f>INDEX('WB HCW &amp; Beds'!$C$558:$BO$821,MATCH($C252,'WB HCW &amp; Beds'!$C$558:$C$821,0),MATCH("Latest year",'WB HCW &amp; Beds'!$C$557:$BO$557,0))</f>
        <v>2015</v>
      </c>
      <c r="I252" s="651">
        <f>INDEX('WB HCW &amp; Beds'!$C$286:$BP$561,MATCH($C252,'WB HCW &amp; Beds'!$C$286:$C$561,0),MATCH("Value",'WB HCW &amp; Beds'!$C$286:$BP$286,0))</f>
        <v>0.19400000000000001</v>
      </c>
      <c r="J252" s="647">
        <f>'WB HCW &amp; Beds'!BO532</f>
        <v>2005</v>
      </c>
      <c r="K252" s="653">
        <f>'WB HCW &amp; Beds'!BN260</f>
        <v>0.63029999999999997</v>
      </c>
      <c r="L252" s="654">
        <f>'WB HCW &amp; Beds'!BO260</f>
        <v>2015</v>
      </c>
      <c r="M252" s="720">
        <f>IFERROR(IFERROR(INDEX('WHO GHO Data'!$AB$8:$AB$201,MATCH('HCW + Staff Summary'!$C252,'WHO GHO Data'!$C$8:$C$201,0)),INDEX('WHO GHO Data'!$AE$9:$AE$13,MATCH('HCW + Staff Summary'!$E252,'WHO GHO Data'!$AD$9:$AD$13,0))),"")</f>
        <v>6.3827970301900072E-2</v>
      </c>
      <c r="O252" s="29">
        <f>INDEX('WB Population Data'!$D$6:$D$269,MATCH($B252,'WB Population Data'!$B$6:$B$269,0))</f>
        <v>45741000</v>
      </c>
      <c r="P252" s="30">
        <f t="shared" si="11"/>
        <v>4153.2828</v>
      </c>
      <c r="Q252" s="29">
        <f t="shared" si="9"/>
        <v>8873.7540000000008</v>
      </c>
      <c r="R252" s="29">
        <f>IFERROR(IFERROR(INDEX('WHO GHO Data'!$S$8:$S$201,MATCH($C252,'WHO GHO Data'!$C$8:$C$201,0)),($O252/1000*$K252)),IFERROR($O252/1000*VLOOKUP(E252,$W$9:$Y$12,3,0),0))</f>
        <v>56778.80191824503</v>
      </c>
      <c r="S252" s="30">
        <f>IFERROR(IFERROR(INDEX('WHO GHO Data'!$U$8:$U$201,MATCH($C252,'WHO GHO Data'!$C$8:$C$201,0)),INDEX('WHO GHO Data'!$AE$9:$AE$13,MATCH($E252,'WHO GHO Data'!$AD$9:$AD$13,0))*'HCW + Staff Summary'!$O252/1000),"")</f>
        <v>2919.5551895792114</v>
      </c>
    </row>
    <row r="253" spans="2:19" x14ac:dyDescent="0.75">
      <c r="B253" s="43" t="s">
        <v>239</v>
      </c>
      <c r="C253" s="43" t="s">
        <v>148</v>
      </c>
      <c r="D253" s="132" t="s">
        <v>1074</v>
      </c>
      <c r="E253" s="132" t="s">
        <v>455</v>
      </c>
      <c r="F253" s="132" t="str">
        <f t="shared" si="10"/>
        <v>LMIC</v>
      </c>
      <c r="G253" s="646">
        <f>INDEX('WB HCW &amp; Beds'!$C$558:$BO$821,MATCH($C253,'WB HCW &amp; Beds'!$C$558:$C$821,0),MATCH("Latest value",'WB HCW &amp; Beds'!$C$557:$BO$557,0))</f>
        <v>3.0074999999999998</v>
      </c>
      <c r="H253" s="647">
        <f>INDEX('WB HCW &amp; Beds'!$C$558:$BO$821,MATCH($C253,'WB HCW &amp; Beds'!$C$558:$C$821,0),MATCH("Latest year",'WB HCW &amp; Beds'!$C$557:$BO$557,0))</f>
        <v>2014</v>
      </c>
      <c r="I253" s="651">
        <f>INDEX('WB HCW &amp; Beds'!$C$286:$BP$561,MATCH($C253,'WB HCW &amp; Beds'!$C$286:$C$561,0),MATCH("Value",'WB HCW &amp; Beds'!$C$286:$BP$286,0))</f>
        <v>0.4</v>
      </c>
      <c r="J253" s="647" t="str">
        <f>'WB HCW &amp; Beds'!BO533</f>
        <v>No reported value</v>
      </c>
      <c r="K253" s="653">
        <f>'WB HCW &amp; Beds'!BN261</f>
        <v>7.0575999999999999</v>
      </c>
      <c r="L253" s="654">
        <f>'WB HCW &amp; Beds'!BO261</f>
        <v>2014</v>
      </c>
      <c r="M253" s="720">
        <f>IFERROR(IFERROR(INDEX('WHO GHO Data'!$AB$8:$AB$201,MATCH('HCW + Staff Summary'!$C253,'WHO GHO Data'!$C$8:$C$201,0)),INDEX('WHO GHO Data'!$AE$9:$AE$13,MATCH('HCW + Staff Summary'!$E253,'WHO GHO Data'!$AD$9:$AD$13,0))),"")</f>
        <v>0.2757388684331506</v>
      </c>
      <c r="O253" s="29">
        <f>INDEX('WB Population Data'!$D$6:$D$269,MATCH($B253,'WB Population Data'!$B$6:$B$269,0))</f>
        <v>44158000</v>
      </c>
      <c r="P253" s="30">
        <f t="shared" si="11"/>
        <v>132805.185</v>
      </c>
      <c r="Q253" s="29">
        <f t="shared" si="9"/>
        <v>17663.2</v>
      </c>
      <c r="R253" s="29">
        <f>IFERROR(IFERROR(INDEX('WHO GHO Data'!$S$8:$S$201,MATCH($C253,'WHO GHO Data'!$C$8:$C$201,0)),($O253/1000*$K253)),IFERROR($O253/1000*VLOOKUP(E253,$W$9:$Y$12,3,0),0))</f>
        <v>277706.30598271411</v>
      </c>
      <c r="S253" s="30">
        <f>IFERROR(IFERROR(INDEX('WHO GHO Data'!$U$8:$U$201,MATCH($C253,'WHO GHO Data'!$C$8:$C$201,0)),INDEX('WHO GHO Data'!$AE$9:$AE$13,MATCH($E253,'WHO GHO Data'!$AD$9:$AD$13,0))*'HCW + Staff Summary'!$O253/1000),"")</f>
        <v>12176.076952271065</v>
      </c>
    </row>
    <row r="254" spans="2:19" x14ac:dyDescent="0.75">
      <c r="B254" s="43" t="s">
        <v>558</v>
      </c>
      <c r="C254" s="43" t="s">
        <v>559</v>
      </c>
      <c r="D254" s="132" t="s">
        <v>1124</v>
      </c>
      <c r="E254" s="132" t="s">
        <v>750</v>
      </c>
      <c r="F254" s="132" t="str">
        <f t="shared" si="10"/>
        <v>Not LMIC</v>
      </c>
      <c r="G254" s="646">
        <f>INDEX('WB HCW &amp; Beds'!$C$558:$BO$821,MATCH($C254,'WB HCW &amp; Beds'!$C$558:$C$821,0),MATCH("Latest value",'WB HCW &amp; Beds'!$C$557:$BO$557,0))</f>
        <v>1.9712890693055864</v>
      </c>
      <c r="H254" s="647">
        <f>INDEX('WB HCW &amp; Beds'!$C$558:$BO$821,MATCH($C254,'WB HCW &amp; Beds'!$C$558:$C$821,0),MATCH("Latest year",'WB HCW &amp; Beds'!$C$557:$BO$557,0))</f>
        <v>2015</v>
      </c>
      <c r="I254" s="651">
        <f>INDEX('WB HCW &amp; Beds'!$C$286:$BP$561,MATCH($C254,'WB HCW &amp; Beds'!$C$286:$C$561,0),MATCH("Value",'WB HCW &amp; Beds'!$C$286:$BP$286,0))</f>
        <v>0.4</v>
      </c>
      <c r="J254" s="647" t="str">
        <f>'WB HCW &amp; Beds'!BO534</f>
        <v>No reported value</v>
      </c>
      <c r="K254" s="653">
        <f>'WB HCW &amp; Beds'!BN262</f>
        <v>3.4765419762677725</v>
      </c>
      <c r="L254" s="654">
        <f>'WB HCW &amp; Beds'!BO262</f>
        <v>2015</v>
      </c>
      <c r="M254" s="720" t="str">
        <f>IFERROR(IFERROR(INDEX('WHO GHO Data'!$AB$8:$AB$201,MATCH('HCW + Staff Summary'!$C254,'WHO GHO Data'!$C$8:$C$201,0)),INDEX('WHO GHO Data'!$AE$9:$AE$13,MATCH('HCW + Staff Summary'!$E254,'WHO GHO Data'!$AD$9:$AD$13,0))),"")</f>
        <v/>
      </c>
      <c r="O254" s="29">
        <f>INDEX('WB Population Data'!$D$6:$D$269,MATCH($B254,'WB Population Data'!$B$6:$B$269,0))</f>
        <v>2685886000</v>
      </c>
      <c r="P254" s="30">
        <f t="shared" si="11"/>
        <v>0</v>
      </c>
      <c r="Q254" s="29">
        <f t="shared" si="9"/>
        <v>1074354.4000000001</v>
      </c>
      <c r="R254" s="29">
        <f>IFERROR(IFERROR(INDEX('WHO GHO Data'!$S$8:$S$201,MATCH($C254,'WHO GHO Data'!$C$8:$C$201,0)),($O254/1000*$K254)),IFERROR($O254/1000*VLOOKUP(E254,$W$9:$Y$12,3,0),0))</f>
        <v>9337595.4224699419</v>
      </c>
      <c r="S254" s="30" t="str">
        <f>IFERROR(IFERROR(INDEX('WHO GHO Data'!$U$8:$U$201,MATCH($C254,'WHO GHO Data'!$C$8:$C$201,0)),INDEX('WHO GHO Data'!$AE$9:$AE$13,MATCH($E254,'WHO GHO Data'!$AD$9:$AD$13,0))*'HCW + Staff Summary'!$O254/1000),"")</f>
        <v/>
      </c>
    </row>
    <row r="255" spans="2:19" x14ac:dyDescent="0.75">
      <c r="B255" s="43" t="s">
        <v>560</v>
      </c>
      <c r="C255" s="43" t="s">
        <v>561</v>
      </c>
      <c r="D255" s="132" t="s">
        <v>1075</v>
      </c>
      <c r="E255" s="132" t="s">
        <v>411</v>
      </c>
      <c r="F255" s="132" t="str">
        <f t="shared" si="10"/>
        <v>Not LMIC</v>
      </c>
      <c r="G255" s="646">
        <f>INDEX('WB HCW &amp; Beds'!$C$558:$BO$821,MATCH($C255,'WB HCW &amp; Beds'!$C$558:$C$821,0),MATCH("Latest value",'WB HCW &amp; Beds'!$C$557:$BO$557,0))</f>
        <v>5.0499000000000001</v>
      </c>
      <c r="H255" s="647">
        <f>INDEX('WB HCW &amp; Beds'!$C$558:$BO$821,MATCH($C255,'WB HCW &amp; Beds'!$C$558:$C$821,0),MATCH("Latest year",'WB HCW &amp; Beds'!$C$557:$BO$557,0))</f>
        <v>2017</v>
      </c>
      <c r="I255" s="651">
        <f>INDEX('WB HCW &amp; Beds'!$C$286:$BP$561,MATCH($C255,'WB HCW &amp; Beds'!$C$286:$C$561,0),MATCH("Value",'WB HCW &amp; Beds'!$C$286:$BP$286,0))</f>
        <v>0.4</v>
      </c>
      <c r="J255" s="647" t="str">
        <f>'WB HCW &amp; Beds'!BO535</f>
        <v>No reported value</v>
      </c>
      <c r="K255" s="653">
        <f>'WB HCW &amp; Beds'!BN263</f>
        <v>1.9298999999999999</v>
      </c>
      <c r="L255" s="654">
        <f>'WB HCW &amp; Beds'!BO263</f>
        <v>2017</v>
      </c>
      <c r="M255" s="720">
        <f>IFERROR(IFERROR(INDEX('WHO GHO Data'!$AB$8:$AB$201,MATCH('HCW + Staff Summary'!$C255,'WHO GHO Data'!$C$8:$C$201,0)),INDEX('WHO GHO Data'!$AE$9:$AE$13,MATCH('HCW + Staff Summary'!$E255,'WHO GHO Data'!$AD$9:$AD$13,0))),"")</f>
        <v>0.41450552433196125</v>
      </c>
      <c r="O255" s="29">
        <f>INDEX('WB Population Data'!$D$6:$D$269,MATCH($B255,'WB Population Data'!$B$6:$B$269,0))</f>
        <v>3474000</v>
      </c>
      <c r="P255" s="30">
        <f t="shared" si="11"/>
        <v>17543.352600000002</v>
      </c>
      <c r="Q255" s="29">
        <f t="shared" si="9"/>
        <v>1389.6000000000001</v>
      </c>
      <c r="R255" s="29">
        <f>IFERROR(IFERROR(INDEX('WHO GHO Data'!$S$8:$S$201,MATCH($C255,'WHO GHO Data'!$C$8:$C$201,0)),($O255/1000*$K255)),IFERROR($O255/1000*VLOOKUP(E255,$W$9:$Y$12,3,0),0))</f>
        <v>6741.3175518177459</v>
      </c>
      <c r="S255" s="30">
        <f>IFERROR(IFERROR(INDEX('WHO GHO Data'!$U$8:$U$201,MATCH($C255,'WHO GHO Data'!$C$8:$C$201,0)),INDEX('WHO GHO Data'!$AE$9:$AE$13,MATCH($E255,'WHO GHO Data'!$AD$9:$AD$13,0))*'HCW + Staff Summary'!$O255/1000),"")</f>
        <v>1439.9921915292334</v>
      </c>
    </row>
    <row r="256" spans="2:19" x14ac:dyDescent="0.75">
      <c r="B256" s="43" t="s">
        <v>557</v>
      </c>
      <c r="C256" s="43" t="s">
        <v>149</v>
      </c>
      <c r="D256" s="132" t="s">
        <v>1075</v>
      </c>
      <c r="E256" s="132" t="s">
        <v>411</v>
      </c>
      <c r="F256" s="132" t="str">
        <f t="shared" si="10"/>
        <v>Not LMIC</v>
      </c>
      <c r="G256" s="646">
        <f>INDEX('WB HCW &amp; Beds'!$C$558:$BO$821,MATCH($C256,'WB HCW &amp; Beds'!$C$558:$C$821,0),MATCH("Latest value",'WB HCW &amp; Beds'!$C$557:$BO$557,0))</f>
        <v>2.5948000000000002</v>
      </c>
      <c r="H256" s="647">
        <f>INDEX('WB HCW &amp; Beds'!$C$558:$BO$821,MATCH($C256,'WB HCW &amp; Beds'!$C$558:$C$821,0),MATCH("Latest year",'WB HCW &amp; Beds'!$C$557:$BO$557,0))</f>
        <v>2016</v>
      </c>
      <c r="I256" s="651">
        <f>INDEX('WB HCW &amp; Beds'!$C$286:$BP$561,MATCH($C256,'WB HCW &amp; Beds'!$C$286:$C$561,0),MATCH("Value",'WB HCW &amp; Beds'!$C$286:$BP$286,0))</f>
        <v>0.4</v>
      </c>
      <c r="J256" s="647" t="str">
        <f>'WB HCW &amp; Beds'!BO536</f>
        <v>No reported value</v>
      </c>
      <c r="K256" s="653">
        <f>'WB HCW &amp; Beds'!BN264</f>
        <v>8.5500000000000007</v>
      </c>
      <c r="L256" s="654">
        <f>'WB HCW &amp; Beds'!BO264</f>
        <v>2015</v>
      </c>
      <c r="M256" s="720">
        <f>IFERROR(IFERROR(INDEX('WHO GHO Data'!$AB$8:$AB$201,MATCH('HCW + Staff Summary'!$C256,'WHO GHO Data'!$C$8:$C$201,0)),INDEX('WHO GHO Data'!$AE$9:$AE$13,MATCH('HCW + Staff Summary'!$E256,'WHO GHO Data'!$AD$9:$AD$13,0))),"")</f>
        <v>1.7825158900422344</v>
      </c>
      <c r="O256" s="29">
        <f>INDEX('WB Population Data'!$D$6:$D$269,MATCH($B256,'WB Population Data'!$B$6:$B$269,0))</f>
        <v>331915000</v>
      </c>
      <c r="P256" s="30">
        <f t="shared" si="11"/>
        <v>861253.04200000002</v>
      </c>
      <c r="Q256" s="29">
        <f t="shared" si="9"/>
        <v>132766</v>
      </c>
      <c r="R256" s="29">
        <f>IFERROR(IFERROR(INDEX('WHO GHO Data'!$S$8:$S$201,MATCH($C256,'WHO GHO Data'!$C$8:$C$201,0)),($O256/1000*$K256)),IFERROR($O256/1000*VLOOKUP(E256,$W$9:$Y$12,3,0),0))</f>
        <v>4828048.1126802238</v>
      </c>
      <c r="S256" s="30">
        <f>IFERROR(IFERROR(INDEX('WHO GHO Data'!$U$8:$U$201,MATCH($C256,'WHO GHO Data'!$C$8:$C$201,0)),INDEX('WHO GHO Data'!$AE$9:$AE$13,MATCH($E256,'WHO GHO Data'!$AD$9:$AD$13,0))*'HCW + Staff Summary'!$O256/1000),"")</f>
        <v>591643.76164336829</v>
      </c>
    </row>
    <row r="257" spans="2:19" x14ac:dyDescent="0.75">
      <c r="B257" s="43" t="s">
        <v>562</v>
      </c>
      <c r="C257" s="43" t="s">
        <v>150</v>
      </c>
      <c r="D257" s="132" t="s">
        <v>1074</v>
      </c>
      <c r="E257" s="132" t="s">
        <v>455</v>
      </c>
      <c r="F257" s="132" t="str">
        <f t="shared" si="10"/>
        <v>LMIC</v>
      </c>
      <c r="G257" s="646">
        <f>INDEX('WB HCW &amp; Beds'!$C$558:$BO$821,MATCH($C257,'WB HCW &amp; Beds'!$C$558:$C$821,0),MATCH("Latest value",'WB HCW &amp; Beds'!$C$557:$BO$557,0))</f>
        <v>2.3685</v>
      </c>
      <c r="H257" s="647">
        <f>INDEX('WB HCW &amp; Beds'!$C$558:$BO$821,MATCH($C257,'WB HCW &amp; Beds'!$C$558:$C$821,0),MATCH("Latest year",'WB HCW &amp; Beds'!$C$557:$BO$557,0))</f>
        <v>2014</v>
      </c>
      <c r="I257" s="651">
        <f>INDEX('WB HCW &amp; Beds'!$C$286:$BP$561,MATCH($C257,'WB HCW &amp; Beds'!$C$286:$C$561,0),MATCH("Value",'WB HCW &amp; Beds'!$C$286:$BP$286,0))</f>
        <v>0.4</v>
      </c>
      <c r="J257" s="647" t="str">
        <f>'WB HCW &amp; Beds'!BO537</f>
        <v>No reported value</v>
      </c>
      <c r="K257" s="653">
        <f>'WB HCW &amp; Beds'!BN265</f>
        <v>12.0739</v>
      </c>
      <c r="L257" s="654">
        <f>'WB HCW &amp; Beds'!BO265</f>
        <v>2014</v>
      </c>
      <c r="M257" s="720">
        <f>IFERROR(IFERROR(INDEX('WHO GHO Data'!$AB$8:$AB$201,MATCH('HCW + Staff Summary'!$C257,'WHO GHO Data'!$C$8:$C$201,0)),INDEX('WHO GHO Data'!$AE$9:$AE$13,MATCH('HCW + Staff Summary'!$E257,'WHO GHO Data'!$AD$9:$AD$13,0))),"")</f>
        <v>0.2757388684331506</v>
      </c>
      <c r="O257" s="29">
        <f>INDEX('WB Population Data'!$D$6:$D$269,MATCH($B257,'WB Population Data'!$B$6:$B$269,0))</f>
        <v>33749000</v>
      </c>
      <c r="P257" s="30">
        <f t="shared" si="11"/>
        <v>79934.506500000003</v>
      </c>
      <c r="Q257" s="29">
        <f t="shared" si="9"/>
        <v>13499.6</v>
      </c>
      <c r="R257" s="29">
        <f>IFERROR(IFERROR(INDEX('WHO GHO Data'!$S$8:$S$201,MATCH($C257,'WHO GHO Data'!$C$8:$C$201,0)),($O257/1000*$K257)),IFERROR($O257/1000*VLOOKUP(E257,$W$9:$Y$12,3,0),0))</f>
        <v>352430.32709660509</v>
      </c>
      <c r="S257" s="30">
        <f>IFERROR(IFERROR(INDEX('WHO GHO Data'!$U$8:$U$201,MATCH($C257,'WHO GHO Data'!$C$8:$C$201,0)),INDEX('WHO GHO Data'!$AE$9:$AE$13,MATCH($E257,'WHO GHO Data'!$AD$9:$AD$13,0))*'HCW + Staff Summary'!$O257/1000),"")</f>
        <v>9305.9110707503987</v>
      </c>
    </row>
    <row r="258" spans="2:19" x14ac:dyDescent="0.75">
      <c r="B258" s="43" t="s">
        <v>536</v>
      </c>
      <c r="C258" s="43" t="s">
        <v>537</v>
      </c>
      <c r="D258" s="132" t="s">
        <v>1075</v>
      </c>
      <c r="E258" s="132" t="s">
        <v>558</v>
      </c>
      <c r="F258" s="132" t="str">
        <f t="shared" si="10"/>
        <v>LMIC</v>
      </c>
      <c r="G258" s="646">
        <f>INDEX('WB HCW &amp; Beds'!$C$558:$BO$821,MATCH($C258,'WB HCW &amp; Beds'!$C$558:$C$821,0),MATCH("Latest value",'WB HCW &amp; Beds'!$C$557:$BO$557,0))</f>
        <v>0.65869999999999995</v>
      </c>
      <c r="H258" s="647">
        <f>INDEX('WB HCW &amp; Beds'!$C$558:$BO$821,MATCH($C258,'WB HCW &amp; Beds'!$C$558:$C$821,0),MATCH("Latest year",'WB HCW &amp; Beds'!$C$557:$BO$557,0))</f>
        <v>2010</v>
      </c>
      <c r="I258" s="651">
        <f>INDEX('WB HCW &amp; Beds'!$C$286:$BP$561,MATCH($C258,'WB HCW &amp; Beds'!$C$286:$C$561,0),MATCH("Value",'WB HCW &amp; Beds'!$C$286:$BP$286,0))</f>
        <v>0.41699999999999998</v>
      </c>
      <c r="J258" s="647">
        <f>'WB HCW &amp; Beds'!BO538</f>
        <v>2000</v>
      </c>
      <c r="K258" s="653">
        <f>'WB HCW &amp; Beds'!BN266</f>
        <v>2.5800999999999998</v>
      </c>
      <c r="L258" s="654">
        <f>'WB HCW &amp; Beds'!BO266</f>
        <v>2010</v>
      </c>
      <c r="M258" s="720">
        <f>IFERROR(IFERROR(INDEX('WHO GHO Data'!$AB$8:$AB$201,MATCH('HCW + Staff Summary'!$C258,'WHO GHO Data'!$C$8:$C$201,0)),INDEX('WHO GHO Data'!$AE$9:$AE$13,MATCH('HCW + Staff Summary'!$E258,'WHO GHO Data'!$AD$9:$AD$13,0))),"")</f>
        <v>0.12267651198202191</v>
      </c>
      <c r="O258" s="29">
        <f>INDEX('WB Population Data'!$D$6:$D$269,MATCH($B258,'WB Population Data'!$B$6:$B$269,0))</f>
        <v>111000</v>
      </c>
      <c r="P258" s="30">
        <f t="shared" si="11"/>
        <v>73.11569999999999</v>
      </c>
      <c r="Q258" s="29">
        <f t="shared" si="9"/>
        <v>46.286999999999999</v>
      </c>
      <c r="R258" s="29">
        <f>IFERROR(IFERROR(INDEX('WHO GHO Data'!$S$8:$S$201,MATCH($C258,'WHO GHO Data'!$C$8:$C$201,0)),($O258/1000*$K258)),IFERROR($O258/1000*VLOOKUP(E258,$W$9:$Y$12,3,0),0))</f>
        <v>777.49414040732825</v>
      </c>
      <c r="S258" s="30">
        <f>IFERROR(IFERROR(INDEX('WHO GHO Data'!$U$8:$U$201,MATCH($C258,'WHO GHO Data'!$C$8:$C$201,0)),INDEX('WHO GHO Data'!$AE$9:$AE$13,MATCH($E258,'WHO GHO Data'!$AD$9:$AD$13,0))*'HCW + Staff Summary'!$O258/1000),"")</f>
        <v>13.617092830004431</v>
      </c>
    </row>
    <row r="259" spans="2:19" x14ac:dyDescent="0.75">
      <c r="B259" s="43" t="s">
        <v>563</v>
      </c>
      <c r="C259" s="43" t="s">
        <v>564</v>
      </c>
      <c r="D259" s="132" t="s">
        <v>1075</v>
      </c>
      <c r="E259" s="132" t="s">
        <v>558</v>
      </c>
      <c r="F259" s="132" t="str">
        <f t="shared" si="10"/>
        <v>LMIC</v>
      </c>
      <c r="G259" s="646">
        <f>INDEX('WB HCW &amp; Beds'!$C$558:$BO$821,MATCH($C259,'WB HCW &amp; Beds'!$C$558:$C$821,0),MATCH("Latest value",'WB HCW &amp; Beds'!$C$557:$BO$557,0))</f>
        <v>1.9239999999999999</v>
      </c>
      <c r="H259" s="647">
        <f>INDEX('WB HCW &amp; Beds'!$C$558:$BO$821,MATCH($C259,'WB HCW &amp; Beds'!$C$558:$C$821,0),MATCH("Latest year",'WB HCW &amp; Beds'!$C$557:$BO$557,0))</f>
        <v>2001</v>
      </c>
      <c r="I259" s="651">
        <f>INDEX('WB HCW &amp; Beds'!$C$286:$BP$561,MATCH($C259,'WB HCW &amp; Beds'!$C$286:$C$561,0),MATCH("Value",'WB HCW &amp; Beds'!$C$286:$BP$286,0))</f>
        <v>0.4</v>
      </c>
      <c r="J259" s="647" t="str">
        <f>'WB HCW &amp; Beds'!BO539</f>
        <v>No reported value</v>
      </c>
      <c r="K259" s="653">
        <f>'WB HCW &amp; Beds'!BN267</f>
        <v>1.1223000000000001</v>
      </c>
      <c r="L259" s="654">
        <f>'WB HCW &amp; Beds'!BO267</f>
        <v>2001</v>
      </c>
      <c r="M259" s="720">
        <f>IFERROR(IFERROR(INDEX('WHO GHO Data'!$AB$8:$AB$201,MATCH('HCW + Staff Summary'!$C259,'WHO GHO Data'!$C$8:$C$201,0)),INDEX('WHO GHO Data'!$AE$9:$AE$13,MATCH('HCW + Staff Summary'!$E259,'WHO GHO Data'!$AD$9:$AD$13,0))),"")</f>
        <v>0.21980423949700909</v>
      </c>
      <c r="O259" s="29">
        <f>INDEX('WB Population Data'!$D$6:$D$269,MATCH($B259,'WB Population Data'!$B$6:$B$269,0))</f>
        <v>28436000</v>
      </c>
      <c r="P259" s="30">
        <f t="shared" si="11"/>
        <v>54710.864000000001</v>
      </c>
      <c r="Q259" s="29">
        <f t="shared" si="9"/>
        <v>11374.400000000001</v>
      </c>
      <c r="R259" s="29">
        <f>IFERROR(IFERROR(INDEX('WHO GHO Data'!$S$8:$S$201,MATCH($C259,'WHO GHO Data'!$C$8:$C$201,0)),($O259/1000*$K259)),IFERROR($O259/1000*VLOOKUP(E259,$W$9:$Y$12,3,0),0))</f>
        <v>26862.174150615534</v>
      </c>
      <c r="S259" s="30">
        <f>IFERROR(IFERROR(INDEX('WHO GHO Data'!$U$8:$U$201,MATCH($C259,'WHO GHO Data'!$C$8:$C$201,0)),INDEX('WHO GHO Data'!$AE$9:$AE$13,MATCH($E259,'WHO GHO Data'!$AD$9:$AD$13,0))*'HCW + Staff Summary'!$O259/1000),"")</f>
        <v>6250.3533543369504</v>
      </c>
    </row>
    <row r="260" spans="2:19" x14ac:dyDescent="0.75">
      <c r="B260" s="43" t="s">
        <v>338</v>
      </c>
      <c r="C260" s="43" t="s">
        <v>339</v>
      </c>
      <c r="D260" s="132" t="s">
        <v>1124</v>
      </c>
      <c r="E260" s="132" t="s">
        <v>411</v>
      </c>
      <c r="F260" s="132" t="str">
        <f t="shared" si="10"/>
        <v>Not LMIC</v>
      </c>
      <c r="G260" s="646" t="str">
        <f>INDEX('WB HCW &amp; Beds'!$C$558:$BO$821,MATCH($C260,'WB HCW &amp; Beds'!$C$558:$C$821,0),MATCH("Latest value",'WB HCW &amp; Beds'!$C$557:$BO$557,0))</f>
        <v>No reported value</v>
      </c>
      <c r="H260" s="647" t="str">
        <f>INDEX('WB HCW &amp; Beds'!$C$558:$BO$821,MATCH($C260,'WB HCW &amp; Beds'!$C$558:$C$821,0),MATCH("Latest year",'WB HCW &amp; Beds'!$C$557:$BO$557,0))</f>
        <v>No reported value</v>
      </c>
      <c r="I260" s="651">
        <f>INDEX('WB HCW &amp; Beds'!$C$286:$BP$561,MATCH($C260,'WB HCW &amp; Beds'!$C$286:$C$561,0),MATCH("Value",'WB HCW &amp; Beds'!$C$286:$BP$286,0))</f>
        <v>0.4</v>
      </c>
      <c r="J260" s="647" t="str">
        <f>'WB HCW &amp; Beds'!BO540</f>
        <v>No reported value</v>
      </c>
      <c r="K260" s="653" t="str">
        <f>'WB HCW &amp; Beds'!BN268</f>
        <v>No reported value</v>
      </c>
      <c r="L260" s="654" t="str">
        <f>'WB HCW &amp; Beds'!BO268</f>
        <v>No reported value</v>
      </c>
      <c r="M260" s="720">
        <f>IFERROR(IFERROR(INDEX('WHO GHO Data'!$AB$8:$AB$201,MATCH('HCW + Staff Summary'!$C260,'WHO GHO Data'!$C$8:$C$201,0)),INDEX('WHO GHO Data'!$AE$9:$AE$13,MATCH('HCW + Staff Summary'!$E260,'WHO GHO Data'!$AD$9:$AD$13,0))),"")</f>
        <v>0.54650004528486062</v>
      </c>
      <c r="O260" s="29">
        <f>INDEX('WB Population Data'!$D$6:$D$269,MATCH($B260,'WB Population Data'!$B$6:$B$269,0))</f>
        <v>30000</v>
      </c>
      <c r="P260" s="30">
        <f t="shared" si="11"/>
        <v>84.052605633802813</v>
      </c>
      <c r="Q260" s="29">
        <f t="shared" si="9"/>
        <v>12</v>
      </c>
      <c r="R260" s="29">
        <f>IFERROR(IFERROR(INDEX('WHO GHO Data'!$S$8:$S$201,MATCH($C260,'WHO GHO Data'!$C$8:$C$201,0)),($O260/1000*$K260)),IFERROR($O260/1000*VLOOKUP(E260,$W$9:$Y$12,3,0),0))</f>
        <v>236.47137931034487</v>
      </c>
      <c r="S260" s="30">
        <f>IFERROR(IFERROR(INDEX('WHO GHO Data'!$U$8:$U$201,MATCH($C260,'WHO GHO Data'!$C$8:$C$201,0)),INDEX('WHO GHO Data'!$AE$9:$AE$13,MATCH($E260,'WHO GHO Data'!$AD$9:$AD$13,0))*'HCW + Staff Summary'!$O260/1000),"")</f>
        <v>16.395001358545819</v>
      </c>
    </row>
    <row r="261" spans="2:19" x14ac:dyDescent="0.75">
      <c r="B261" s="43" t="s">
        <v>566</v>
      </c>
      <c r="C261" s="43" t="s">
        <v>567</v>
      </c>
      <c r="D261" s="132" t="s">
        <v>1124</v>
      </c>
      <c r="E261" s="132" t="s">
        <v>411</v>
      </c>
      <c r="F261" s="132" t="str">
        <f t="shared" si="10"/>
        <v>Not LMIC</v>
      </c>
      <c r="G261" s="646">
        <f>INDEX('WB HCW &amp; Beds'!$C$558:$BO$821,MATCH($C261,'WB HCW &amp; Beds'!$C$558:$C$821,0),MATCH("Latest value",'WB HCW &amp; Beds'!$C$557:$BO$557,0))</f>
        <v>1.645</v>
      </c>
      <c r="H261" s="647">
        <f>INDEX('WB HCW &amp; Beds'!$C$558:$BO$821,MATCH($C261,'WB HCW &amp; Beds'!$C$558:$C$821,0),MATCH("Latest year",'WB HCW &amp; Beds'!$C$557:$BO$557,0))</f>
        <v>1995</v>
      </c>
      <c r="I261" s="651">
        <f>INDEX('WB HCW &amp; Beds'!$C$286:$BP$561,MATCH($C261,'WB HCW &amp; Beds'!$C$286:$C$561,0),MATCH("Value",'WB HCW &amp; Beds'!$C$286:$BP$286,0))</f>
        <v>0.4</v>
      </c>
      <c r="J261" s="647" t="str">
        <f>'WB HCW &amp; Beds'!BO541</f>
        <v>No reported value</v>
      </c>
      <c r="K261" s="653" t="str">
        <f>'WB HCW &amp; Beds'!BN269</f>
        <v>No reported value</v>
      </c>
      <c r="L261" s="654" t="str">
        <f>'WB HCW &amp; Beds'!BO269</f>
        <v>No reported value</v>
      </c>
      <c r="M261" s="720">
        <f>IFERROR(IFERROR(INDEX('WHO GHO Data'!$AB$8:$AB$201,MATCH('HCW + Staff Summary'!$C261,'WHO GHO Data'!$C$8:$C$201,0)),INDEX('WHO GHO Data'!$AE$9:$AE$13,MATCH('HCW + Staff Summary'!$E261,'WHO GHO Data'!$AD$9:$AD$13,0))),"")</f>
        <v>0.54650004528486062</v>
      </c>
      <c r="O261" s="29">
        <f>INDEX('WB Population Data'!$D$6:$D$269,MATCH($B261,'WB Population Data'!$B$6:$B$269,0))</f>
        <v>107000</v>
      </c>
      <c r="P261" s="30">
        <f t="shared" si="11"/>
        <v>176.01500000000001</v>
      </c>
      <c r="Q261" s="29">
        <f t="shared" si="9"/>
        <v>42.800000000000004</v>
      </c>
      <c r="R261" s="29">
        <f>IFERROR(IFERROR(INDEX('WHO GHO Data'!$S$8:$S$201,MATCH($C261,'WHO GHO Data'!$C$8:$C$201,0)),($O261/1000*$K261)),IFERROR($O261/1000*VLOOKUP(E261,$W$9:$Y$12,3,0),0))</f>
        <v>843.41458620689673</v>
      </c>
      <c r="S261" s="30">
        <f>IFERROR(IFERROR(INDEX('WHO GHO Data'!$U$8:$U$201,MATCH($C261,'WHO GHO Data'!$C$8:$C$201,0)),INDEX('WHO GHO Data'!$AE$9:$AE$13,MATCH($E261,'WHO GHO Data'!$AD$9:$AD$13,0))*'HCW + Staff Summary'!$O261/1000),"")</f>
        <v>58.475504845480089</v>
      </c>
    </row>
    <row r="262" spans="2:19" x14ac:dyDescent="0.75">
      <c r="B262" s="43" t="s">
        <v>565</v>
      </c>
      <c r="C262" s="43" t="s">
        <v>160</v>
      </c>
      <c r="D262" s="132" t="s">
        <v>1076</v>
      </c>
      <c r="E262" s="132" t="s">
        <v>455</v>
      </c>
      <c r="F262" s="132" t="str">
        <f t="shared" si="10"/>
        <v>LMIC</v>
      </c>
      <c r="G262" s="646">
        <f>INDEX('WB HCW &amp; Beds'!$C$558:$BO$821,MATCH($C262,'WB HCW &amp; Beds'!$C$558:$C$821,0),MATCH("Latest value",'WB HCW &amp; Beds'!$C$557:$BO$557,0))</f>
        <v>0.81989999999999996</v>
      </c>
      <c r="H262" s="647">
        <f>INDEX('WB HCW &amp; Beds'!$C$558:$BO$821,MATCH($C262,'WB HCW &amp; Beds'!$C$558:$C$821,0),MATCH("Latest year",'WB HCW &amp; Beds'!$C$557:$BO$557,0))</f>
        <v>2016</v>
      </c>
      <c r="I262" s="651">
        <f>INDEX('WB HCW &amp; Beds'!$C$286:$BP$561,MATCH($C262,'WB HCW &amp; Beds'!$C$286:$C$561,0),MATCH("Value",'WB HCW &amp; Beds'!$C$286:$BP$286,0))</f>
        <v>0.4</v>
      </c>
      <c r="J262" s="647" t="str">
        <f>'WB HCW &amp; Beds'!BO542</f>
        <v>No reported value</v>
      </c>
      <c r="K262" s="653">
        <f>'WB HCW &amp; Beds'!BN270</f>
        <v>1.4320999999999999</v>
      </c>
      <c r="L262" s="654">
        <f>'WB HCW &amp; Beds'!BO270</f>
        <v>2016</v>
      </c>
      <c r="M262" s="720">
        <f>IFERROR(IFERROR(INDEX('WHO GHO Data'!$AB$8:$AB$201,MATCH('HCW + Staff Summary'!$C262,'WHO GHO Data'!$C$8:$C$201,0)),INDEX('WHO GHO Data'!$AE$9:$AE$13,MATCH('HCW + Staff Summary'!$E262,'WHO GHO Data'!$AD$9:$AD$13,0))),"")</f>
        <v>0.2757388684331506</v>
      </c>
      <c r="O262" s="29">
        <f>INDEX('WB Population Data'!$D$6:$D$269,MATCH($B262,'WB Population Data'!$B$6:$B$269,0))</f>
        <v>97339000</v>
      </c>
      <c r="P262" s="30">
        <f t="shared" si="11"/>
        <v>79808.246099999989</v>
      </c>
      <c r="Q262" s="29">
        <f t="shared" si="9"/>
        <v>38935.599999999999</v>
      </c>
      <c r="R262" s="29">
        <f>IFERROR(IFERROR(INDEX('WHO GHO Data'!$S$8:$S$201,MATCH($C262,'WHO GHO Data'!$C$8:$C$201,0)),($O262/1000*$K262)),IFERROR($O262/1000*VLOOKUP(E262,$W$9:$Y$12,3,0),0))</f>
        <v>111107.91540243701</v>
      </c>
      <c r="S262" s="30">
        <f>IFERROR(IFERROR(INDEX('WHO GHO Data'!$U$8:$U$201,MATCH($C262,'WHO GHO Data'!$C$8:$C$201,0)),INDEX('WHO GHO Data'!$AE$9:$AE$13,MATCH($E262,'WHO GHO Data'!$AD$9:$AD$13,0))*'HCW + Staff Summary'!$O262/1000),"")</f>
        <v>26840.145714414448</v>
      </c>
    </row>
    <row r="263" spans="2:19" x14ac:dyDescent="0.75">
      <c r="B263" s="43" t="s">
        <v>258</v>
      </c>
      <c r="C263" s="43" t="s">
        <v>151</v>
      </c>
      <c r="D263" s="132" t="s">
        <v>1076</v>
      </c>
      <c r="E263" s="132" t="s">
        <v>455</v>
      </c>
      <c r="F263" s="132" t="str">
        <f t="shared" si="10"/>
        <v>LMIC</v>
      </c>
      <c r="G263" s="646">
        <f>INDEX('WB HCW &amp; Beds'!$C$558:$BO$821,MATCH($C263,'WB HCW &amp; Beds'!$C$558:$C$821,0),MATCH("Latest value",'WB HCW &amp; Beds'!$C$557:$BO$557,0))</f>
        <v>0.1706</v>
      </c>
      <c r="H263" s="647">
        <f>INDEX('WB HCW &amp; Beds'!$C$558:$BO$821,MATCH($C263,'WB HCW &amp; Beds'!$C$558:$C$821,0),MATCH("Latest year",'WB HCW &amp; Beds'!$C$557:$BO$557,0))</f>
        <v>2016</v>
      </c>
      <c r="I263" s="651">
        <f>INDEX('WB HCW &amp; Beds'!$C$286:$BP$561,MATCH($C263,'WB HCW &amp; Beds'!$C$286:$C$561,0),MATCH("Value",'WB HCW &amp; Beds'!$C$286:$BP$286,0))</f>
        <v>0.94099999999999995</v>
      </c>
      <c r="J263" s="647">
        <f>'WB HCW &amp; Beds'!BO543</f>
        <v>2008</v>
      </c>
      <c r="K263" s="653">
        <f>'WB HCW &amp; Beds'!BN271</f>
        <v>1.3853</v>
      </c>
      <c r="L263" s="654">
        <f>'WB HCW &amp; Beds'!BO271</f>
        <v>2016</v>
      </c>
      <c r="M263" s="720">
        <f>IFERROR(IFERROR(INDEX('WHO GHO Data'!$AB$8:$AB$201,MATCH('HCW + Staff Summary'!$C263,'WHO GHO Data'!$C$8:$C$201,0)),INDEX('WHO GHO Data'!$AE$9:$AE$13,MATCH('HCW + Staff Summary'!$E263,'WHO GHO Data'!$AD$9:$AD$13,0))),"")</f>
        <v>0.23651435274213378</v>
      </c>
      <c r="O263" s="29">
        <f>INDEX('WB Population Data'!$D$6:$D$269,MATCH($B263,'WB Population Data'!$B$6:$B$269,0))</f>
        <v>307000</v>
      </c>
      <c r="P263" s="30">
        <f t="shared" si="11"/>
        <v>52.374200000000002</v>
      </c>
      <c r="Q263" s="29">
        <f t="shared" ref="Q263:Q275" si="12">IFERROR($O263/1000*$I263,0)</f>
        <v>288.887</v>
      </c>
      <c r="R263" s="29">
        <f>IFERROR(IFERROR(INDEX('WHO GHO Data'!$S$8:$S$201,MATCH($C263,'WHO GHO Data'!$C$8:$C$201,0)),($O263/1000*$K263)),IFERROR($O263/1000*VLOOKUP(E263,$W$9:$Y$12,3,0),0))</f>
        <v>439.20979924668427</v>
      </c>
      <c r="S263" s="30">
        <f>IFERROR(IFERROR(INDEX('WHO GHO Data'!$U$8:$U$201,MATCH($C263,'WHO GHO Data'!$C$8:$C$201,0)),INDEX('WHO GHO Data'!$AE$9:$AE$13,MATCH($E263,'WHO GHO Data'!$AD$9:$AD$13,0))*'HCW + Staff Summary'!$O263/1000),"")</f>
        <v>72.609906291835074</v>
      </c>
    </row>
    <row r="264" spans="2:19" x14ac:dyDescent="0.75">
      <c r="B264" s="43" t="s">
        <v>570</v>
      </c>
      <c r="C264" s="43" t="s">
        <v>571</v>
      </c>
      <c r="D264" s="132" t="s">
        <v>1124</v>
      </c>
      <c r="E264" s="132" t="s">
        <v>750</v>
      </c>
      <c r="F264" s="132" t="str">
        <f t="shared" ref="F264:F271" si="13">IF(OR(E264="High income",E264="Out"),"Not LMIC","LMIC")</f>
        <v>Not LMIC</v>
      </c>
      <c r="G264" s="646">
        <f>INDEX('WB HCW &amp; Beds'!$C$558:$BO$821,MATCH($C264,'WB HCW &amp; Beds'!$C$558:$C$821,0),MATCH("Latest value",'WB HCW &amp; Beds'!$C$557:$BO$557,0))</f>
        <v>1.5021258721421249</v>
      </c>
      <c r="H264" s="647">
        <f>INDEX('WB HCW &amp; Beds'!$C$558:$BO$821,MATCH($C264,'WB HCW &amp; Beds'!$C$558:$C$821,0),MATCH("Latest year",'WB HCW &amp; Beds'!$C$557:$BO$557,0))</f>
        <v>2015</v>
      </c>
      <c r="I264" s="651">
        <f>INDEX('WB HCW &amp; Beds'!$C$286:$BP$561,MATCH($C264,'WB HCW &amp; Beds'!$C$286:$C$561,0),MATCH("Value",'WB HCW &amp; Beds'!$C$286:$BP$286,0))</f>
        <v>0.4</v>
      </c>
      <c r="J264" s="647" t="str">
        <f>'WB HCW &amp; Beds'!BO544</f>
        <v>No reported value</v>
      </c>
      <c r="K264" s="653">
        <f>'WB HCW &amp; Beds'!BN272</f>
        <v>3.4234202979140669</v>
      </c>
      <c r="L264" s="654">
        <f>'WB HCW &amp; Beds'!BO272</f>
        <v>2015</v>
      </c>
      <c r="M264" s="720" t="str">
        <f>IFERROR(IFERROR(INDEX('WHO GHO Data'!$AB$8:$AB$201,MATCH('HCW + Staff Summary'!$C264,'WHO GHO Data'!$C$8:$C$201,0)),INDEX('WHO GHO Data'!$AE$9:$AE$13,MATCH('HCW + Staff Summary'!$E264,'WHO GHO Data'!$AD$9:$AD$13,0))),"")</f>
        <v/>
      </c>
      <c r="O264" s="29">
        <f>INDEX('WB Population Data'!$D$6:$D$269,MATCH($B264,'WB Population Data'!$B$6:$B$269,0))</f>
        <v>7754179000</v>
      </c>
      <c r="P264" s="30">
        <f t="shared" ref="P264:P275" si="14">IF(E264="OUT",0,IFERROR($O264/1000*$G264,$O264/1000*VLOOKUP(E264,$W$9:$X$12,2,0)))</f>
        <v>0</v>
      </c>
      <c r="Q264" s="29">
        <f t="shared" si="12"/>
        <v>3101671.6</v>
      </c>
      <c r="R264" s="29">
        <f>IFERROR(IFERROR(INDEX('WHO GHO Data'!$S$8:$S$201,MATCH($C264,'WHO GHO Data'!$C$8:$C$201,0)),($O264/1000*$K264)),IFERROR($O264/1000*VLOOKUP(E264,$W$9:$Y$12,3,0),0))</f>
        <v>26545813.782259002</v>
      </c>
      <c r="S264" s="30" t="str">
        <f>IFERROR(IFERROR(INDEX('WHO GHO Data'!$U$8:$U$201,MATCH($C264,'WHO GHO Data'!$C$8:$C$201,0)),INDEX('WHO GHO Data'!$AE$9:$AE$13,MATCH($E264,'WHO GHO Data'!$AD$9:$AD$13,0))*'HCW + Staff Summary'!$O264/1000),"")</f>
        <v/>
      </c>
    </row>
    <row r="265" spans="2:19" x14ac:dyDescent="0.75">
      <c r="B265" s="43" t="s">
        <v>254</v>
      </c>
      <c r="C265" s="43" t="s">
        <v>152</v>
      </c>
      <c r="D265" s="132" t="s">
        <v>1076</v>
      </c>
      <c r="E265" s="132" t="s">
        <v>558</v>
      </c>
      <c r="F265" s="132" t="str">
        <f t="shared" si="13"/>
        <v>LMIC</v>
      </c>
      <c r="G265" s="646">
        <f>INDEX('WB HCW &amp; Beds'!$C$558:$BO$821,MATCH($C265,'WB HCW &amp; Beds'!$C$558:$C$821,0),MATCH("Latest value",'WB HCW &amp; Beds'!$C$557:$BO$557,0))</f>
        <v>0.34089999999999998</v>
      </c>
      <c r="H265" s="647">
        <f>INDEX('WB HCW &amp; Beds'!$C$558:$BO$821,MATCH($C265,'WB HCW &amp; Beds'!$C$558:$C$821,0),MATCH("Latest year",'WB HCW &amp; Beds'!$C$557:$BO$557,0))</f>
        <v>2016</v>
      </c>
      <c r="I265" s="651">
        <f>INDEX('WB HCW &amp; Beds'!$C$286:$BP$561,MATCH($C265,'WB HCW &amp; Beds'!$C$286:$C$561,0),MATCH("Value",'WB HCW &amp; Beds'!$C$286:$BP$286,0))</f>
        <v>0.4</v>
      </c>
      <c r="J265" s="647" t="str">
        <f>'WB HCW &amp; Beds'!BO545</f>
        <v>No reported value</v>
      </c>
      <c r="K265" s="653">
        <f>'WB HCW &amp; Beds'!BN273</f>
        <v>1.8565</v>
      </c>
      <c r="L265" s="654">
        <f>'WB HCW &amp; Beds'!BO273</f>
        <v>2014</v>
      </c>
      <c r="M265" s="720">
        <f>IFERROR(IFERROR(INDEX('WHO GHO Data'!$AB$8:$AB$201,MATCH('HCW + Staff Summary'!$C265,'WHO GHO Data'!$C$8:$C$201,0)),INDEX('WHO GHO Data'!$AE$9:$AE$13,MATCH('HCW + Staff Summary'!$E265,'WHO GHO Data'!$AD$9:$AD$13,0))),"")</f>
        <v>0.19323305091818982</v>
      </c>
      <c r="O265" s="29">
        <f>INDEX('WB Population Data'!$D$6:$D$269,MATCH($B265,'WB Population Data'!$B$6:$B$269,0))</f>
        <v>198000</v>
      </c>
      <c r="P265" s="30">
        <f t="shared" si="14"/>
        <v>67.498199999999997</v>
      </c>
      <c r="Q265" s="29">
        <f t="shared" si="12"/>
        <v>79.2</v>
      </c>
      <c r="R265" s="29">
        <f>IFERROR(IFERROR(INDEX('WHO GHO Data'!$S$8:$S$201,MATCH($C265,'WHO GHO Data'!$C$8:$C$201,0)),($O265/1000*$K265)),IFERROR($O265/1000*VLOOKUP(E265,$W$9:$Y$12,3,0),0))</f>
        <v>493.47836184164015</v>
      </c>
      <c r="S265" s="30">
        <f>IFERROR(IFERROR(INDEX('WHO GHO Data'!$U$8:$U$201,MATCH($C265,'WHO GHO Data'!$C$8:$C$201,0)),INDEX('WHO GHO Data'!$AE$9:$AE$13,MATCH($E265,'WHO GHO Data'!$AD$9:$AD$13,0))*'HCW + Staff Summary'!$O265/1000),"")</f>
        <v>38.260144081801585</v>
      </c>
    </row>
    <row r="266" spans="2:19" x14ac:dyDescent="0.75">
      <c r="B266" s="43" t="s">
        <v>237</v>
      </c>
      <c r="C266" s="43" t="s">
        <v>431</v>
      </c>
      <c r="D266" s="132" t="s">
        <v>1124</v>
      </c>
      <c r="E266" s="132" t="s">
        <v>558</v>
      </c>
      <c r="F266" s="132" t="str">
        <f t="shared" si="13"/>
        <v>LMIC</v>
      </c>
      <c r="G266" s="646" t="str">
        <f>INDEX('WB HCW &amp; Beds'!$C$558:$BO$821,MATCH($C266,'WB HCW &amp; Beds'!$C$558:$C$821,0),MATCH("Latest value",'WB HCW &amp; Beds'!$C$557:$BO$557,0))</f>
        <v>No reported value</v>
      </c>
      <c r="H266" s="647" t="str">
        <f>INDEX('WB HCW &amp; Beds'!$C$558:$BO$821,MATCH($C266,'WB HCW &amp; Beds'!$C$558:$C$821,0),MATCH("Latest year",'WB HCW &amp; Beds'!$C$557:$BO$557,0))</f>
        <v>No reported value</v>
      </c>
      <c r="I266" s="651">
        <f>INDEX('WB HCW &amp; Beds'!$C$286:$BP$561,MATCH($C266,'WB HCW &amp; Beds'!$C$286:$C$561,0),MATCH("Value",'WB HCW &amp; Beds'!$C$286:$BP$286,0))</f>
        <v>0.4</v>
      </c>
      <c r="J266" s="647" t="str">
        <f>'WB HCW &amp; Beds'!BO546</f>
        <v>No reported value</v>
      </c>
      <c r="K266" s="653" t="str">
        <f>'WB HCW &amp; Beds'!BN274</f>
        <v>No reported value</v>
      </c>
      <c r="L266" s="654" t="str">
        <f>'WB HCW &amp; Beds'!BO274</f>
        <v>No reported value</v>
      </c>
      <c r="M266" s="720">
        <f>IFERROR(IFERROR(INDEX('WHO GHO Data'!$AB$8:$AB$201,MATCH('HCW + Staff Summary'!$C266,'WHO GHO Data'!$C$8:$C$201,0)),INDEX('WHO GHO Data'!$AE$9:$AE$13,MATCH('HCW + Staff Summary'!$E266,'WHO GHO Data'!$AD$9:$AD$13,0))),"")</f>
        <v>0.21980423949700909</v>
      </c>
      <c r="O266" s="29">
        <f>INDEX('WB Population Data'!$D$6:$D$269,MATCH($B266,'WB Population Data'!$B$6:$B$269,0))</f>
        <v>1870000</v>
      </c>
      <c r="P266" s="30">
        <f t="shared" si="14"/>
        <v>3385.7237457627111</v>
      </c>
      <c r="Q266" s="29">
        <f t="shared" si="12"/>
        <v>748</v>
      </c>
      <c r="R266" s="29">
        <f>IFERROR(IFERROR(INDEX('WHO GHO Data'!$S$8:$S$201,MATCH($C266,'WHO GHO Data'!$C$8:$C$201,0)),($O266/1000*$K266)),IFERROR($O266/1000*VLOOKUP(E266,$W$9:$Y$12,3,0),0))</f>
        <v>6908.7440172413799</v>
      </c>
      <c r="S266" s="30">
        <f>IFERROR(IFERROR(INDEX('WHO GHO Data'!$U$8:$U$201,MATCH($C266,'WHO GHO Data'!$C$8:$C$201,0)),INDEX('WHO GHO Data'!$AE$9:$AE$13,MATCH($E266,'WHO GHO Data'!$AD$9:$AD$13,0))*'HCW + Staff Summary'!$O266/1000),"")</f>
        <v>411.03392785940696</v>
      </c>
    </row>
    <row r="267" spans="2:19" x14ac:dyDescent="0.75">
      <c r="B267" s="43" t="s">
        <v>572</v>
      </c>
      <c r="C267" s="43" t="s">
        <v>153</v>
      </c>
      <c r="D267" s="132" t="s">
        <v>1072</v>
      </c>
      <c r="E267" s="132" t="s">
        <v>453</v>
      </c>
      <c r="F267" s="132" t="str">
        <f t="shared" si="13"/>
        <v>LMIC</v>
      </c>
      <c r="G267" s="646">
        <f>INDEX('WB HCW &amp; Beds'!$C$558:$BO$821,MATCH($C267,'WB HCW &amp; Beds'!$C$558:$C$821,0),MATCH("Latest value",'WB HCW &amp; Beds'!$C$557:$BO$557,0))</f>
        <v>0.31040000000000001</v>
      </c>
      <c r="H267" s="647">
        <f>INDEX('WB HCW &amp; Beds'!$C$558:$BO$821,MATCH($C267,'WB HCW &amp; Beds'!$C$558:$C$821,0),MATCH("Latest year",'WB HCW &amp; Beds'!$C$557:$BO$557,0))</f>
        <v>2014</v>
      </c>
      <c r="I267" s="651">
        <f>INDEX('WB HCW &amp; Beds'!$C$286:$BP$561,MATCH($C267,'WB HCW &amp; Beds'!$C$286:$C$561,0),MATCH("Value",'WB HCW &amp; Beds'!$C$286:$BP$286,0))</f>
        <v>1E-3</v>
      </c>
      <c r="J267" s="647">
        <f>'WB HCW &amp; Beds'!BO547</f>
        <v>2010</v>
      </c>
      <c r="K267" s="653">
        <f>'WB HCW &amp; Beds'!BN275</f>
        <v>0.73</v>
      </c>
      <c r="L267" s="654">
        <f>'WB HCW &amp; Beds'!BO275</f>
        <v>2014</v>
      </c>
      <c r="M267" s="720">
        <f>IFERROR(IFERROR(INDEX('WHO GHO Data'!$AB$8:$AB$201,MATCH('HCW + Staff Summary'!$C267,'WHO GHO Data'!$C$8:$C$201,0)),INDEX('WHO GHO Data'!$AE$9:$AE$13,MATCH('HCW + Staff Summary'!$E267,'WHO GHO Data'!$AD$9:$AD$13,0))),"")</f>
        <v>0.12543576045846658</v>
      </c>
      <c r="O267" s="29">
        <f>INDEX('WB Population Data'!$D$6:$D$269,MATCH($B267,'WB Population Data'!$B$6:$B$269,0))</f>
        <v>29826000</v>
      </c>
      <c r="P267" s="30">
        <f t="shared" si="14"/>
        <v>9257.9904000000006</v>
      </c>
      <c r="Q267" s="29">
        <f t="shared" si="12"/>
        <v>29.826000000000001</v>
      </c>
      <c r="R267" s="29">
        <f>IFERROR(IFERROR(INDEX('WHO GHO Data'!$S$8:$S$201,MATCH($C267,'WHO GHO Data'!$C$8:$C$201,0)),($O267/1000*$K267)),IFERROR($O267/1000*VLOOKUP(E267,$W$9:$Y$12,3,0),0))</f>
        <v>23510.891413318819</v>
      </c>
      <c r="S267" s="30">
        <f>IFERROR(IFERROR(INDEX('WHO GHO Data'!$U$8:$U$201,MATCH($C267,'WHO GHO Data'!$C$8:$C$201,0)),INDEX('WHO GHO Data'!$AE$9:$AE$13,MATCH($E267,'WHO GHO Data'!$AD$9:$AD$13,0))*'HCW + Staff Summary'!$O267/1000),"")</f>
        <v>3741.2469914342246</v>
      </c>
    </row>
    <row r="268" spans="2:19" x14ac:dyDescent="0.75">
      <c r="B268" s="43" t="s">
        <v>178</v>
      </c>
      <c r="C268" s="43" t="s">
        <v>154</v>
      </c>
      <c r="D268" s="132" t="s">
        <v>1073</v>
      </c>
      <c r="E268" s="132" t="s">
        <v>558</v>
      </c>
      <c r="F268" s="132" t="str">
        <f t="shared" si="13"/>
        <v>LMIC</v>
      </c>
      <c r="G268" s="646">
        <f>INDEX('WB HCW &amp; Beds'!$C$558:$BO$821,MATCH($C268,'WB HCW &amp; Beds'!$C$558:$C$821,0),MATCH("Latest value",'WB HCW &amp; Beds'!$C$557:$BO$557,0))</f>
        <v>0.91010000000000002</v>
      </c>
      <c r="H268" s="647">
        <f>INDEX('WB HCW &amp; Beds'!$C$558:$BO$821,MATCH($C268,'WB HCW &amp; Beds'!$C$558:$C$821,0),MATCH("Latest year",'WB HCW &amp; Beds'!$C$557:$BO$557,0))</f>
        <v>2017</v>
      </c>
      <c r="I268" s="651">
        <f>INDEX('WB HCW &amp; Beds'!$C$286:$BP$561,MATCH($C268,'WB HCW &amp; Beds'!$C$286:$C$561,0),MATCH("Value",'WB HCW &amp; Beds'!$C$286:$BP$286,0))</f>
        <v>0.192</v>
      </c>
      <c r="J268" s="647">
        <f>'WB HCW &amp; Beds'!BO548</f>
        <v>2004</v>
      </c>
      <c r="K268" s="653">
        <f>'WB HCW &amp; Beds'!BN276</f>
        <v>3.5171000000000001</v>
      </c>
      <c r="L268" s="654">
        <f>'WB HCW &amp; Beds'!BO276</f>
        <v>2017</v>
      </c>
      <c r="M268" s="720">
        <f>IFERROR(IFERROR(INDEX('WHO GHO Data'!$AB$8:$AB$201,MATCH('HCW + Staff Summary'!$C268,'WHO GHO Data'!$C$8:$C$201,0)),INDEX('WHO GHO Data'!$AE$9:$AE$13,MATCH('HCW + Staff Summary'!$E268,'WHO GHO Data'!$AD$9:$AD$13,0))),"")</f>
        <v>1.0917708632596055E-2</v>
      </c>
      <c r="O268" s="29">
        <f>INDEX('WB Population Data'!$D$6:$D$269,MATCH($B268,'WB Population Data'!$B$6:$B$269,0))</f>
        <v>59309000</v>
      </c>
      <c r="P268" s="30">
        <f t="shared" si="14"/>
        <v>53977.120900000002</v>
      </c>
      <c r="Q268" s="29">
        <f t="shared" si="12"/>
        <v>11387.328</v>
      </c>
      <c r="R268" s="29">
        <f>IFERROR(IFERROR(INDEX('WHO GHO Data'!$S$8:$S$201,MATCH($C268,'WHO GHO Data'!$C$8:$C$201,0)),($O268/1000*$K268)),IFERROR($O268/1000*VLOOKUP(E268,$W$9:$Y$12,3,0),0))</f>
        <v>77888.970886034542</v>
      </c>
      <c r="S268" s="30">
        <f>IFERROR(IFERROR(INDEX('WHO GHO Data'!$U$8:$U$201,MATCH($C268,'WHO GHO Data'!$C$8:$C$201,0)),INDEX('WHO GHO Data'!$AE$9:$AE$13,MATCH($E268,'WHO GHO Data'!$AD$9:$AD$13,0))*'HCW + Staff Summary'!$O268/1000),"")</f>
        <v>647.51838129063947</v>
      </c>
    </row>
    <row r="269" spans="2:19" x14ac:dyDescent="0.75">
      <c r="B269" s="43" t="s">
        <v>217</v>
      </c>
      <c r="C269" s="43" t="s">
        <v>155</v>
      </c>
      <c r="D269" s="132" t="s">
        <v>1073</v>
      </c>
      <c r="E269" s="132" t="s">
        <v>455</v>
      </c>
      <c r="F269" s="132" t="str">
        <f t="shared" si="13"/>
        <v>LMIC</v>
      </c>
      <c r="G269" s="646">
        <f>INDEX('WB HCW &amp; Beds'!$C$558:$BO$821,MATCH($C269,'WB HCW &amp; Beds'!$C$558:$C$821,0),MATCH("Latest value",'WB HCW &amp; Beds'!$C$557:$BO$557,0))</f>
        <v>9.1300000000000006E-2</v>
      </c>
      <c r="H269" s="647">
        <f>INDEX('WB HCW &amp; Beds'!$C$558:$BO$821,MATCH($C269,'WB HCW &amp; Beds'!$C$558:$C$821,0),MATCH("Latest year",'WB HCW &amp; Beds'!$C$557:$BO$557,0))</f>
        <v>2016</v>
      </c>
      <c r="I269" s="651">
        <f>INDEX('WB HCW &amp; Beds'!$C$286:$BP$561,MATCH($C269,'WB HCW &amp; Beds'!$C$286:$C$561,0),MATCH("Value",'WB HCW &amp; Beds'!$C$286:$BP$286,0))</f>
        <v>0.28699999999999998</v>
      </c>
      <c r="J269" s="647">
        <f>'WB HCW &amp; Beds'!BO549</f>
        <v>2008</v>
      </c>
      <c r="K269" s="653">
        <f>'WB HCW &amp; Beds'!BN277</f>
        <v>0.89249999999999996</v>
      </c>
      <c r="L269" s="654">
        <f>'WB HCW &amp; Beds'!BO277</f>
        <v>2016</v>
      </c>
      <c r="M269" s="720">
        <f>IFERROR(IFERROR(INDEX('WHO GHO Data'!$AB$8:$AB$201,MATCH('HCW + Staff Summary'!$C269,'WHO GHO Data'!$C$8:$C$201,0)),INDEX('WHO GHO Data'!$AE$9:$AE$13,MATCH('HCW + Staff Summary'!$E269,'WHO GHO Data'!$AD$9:$AD$13,0))),"")</f>
        <v>2.5454660998550309E-2</v>
      </c>
      <c r="O269" s="29">
        <f>INDEX('WB Population Data'!$D$6:$D$269,MATCH($B269,'WB Population Data'!$B$6:$B$269,0))</f>
        <v>18384000</v>
      </c>
      <c r="P269" s="30">
        <f t="shared" si="14"/>
        <v>1678.4592</v>
      </c>
      <c r="Q269" s="29">
        <f t="shared" si="12"/>
        <v>5276.2079999999996</v>
      </c>
      <c r="R269" s="29">
        <f>IFERROR(IFERROR(INDEX('WHO GHO Data'!$S$8:$S$201,MATCH($C269,'WHO GHO Data'!$C$8:$C$201,0)),($O269/1000*$K269)),IFERROR($O269/1000*VLOOKUP(E269,$W$9:$Y$12,3,0),0))</f>
        <v>24111.003990320547</v>
      </c>
      <c r="S269" s="30">
        <f>IFERROR(IFERROR(INDEX('WHO GHO Data'!$U$8:$U$201,MATCH($C269,'WHO GHO Data'!$C$8:$C$201,0)),INDEX('WHO GHO Data'!$AE$9:$AE$13,MATCH($E269,'WHO GHO Data'!$AD$9:$AD$13,0))*'HCW + Staff Summary'!$O269/1000),"")</f>
        <v>467.95848779734888</v>
      </c>
    </row>
    <row r="270" spans="2:19" x14ac:dyDescent="0.75">
      <c r="B270" s="43" t="s">
        <v>218</v>
      </c>
      <c r="C270" s="43" t="s">
        <v>156</v>
      </c>
      <c r="D270" s="132" t="s">
        <v>1073</v>
      </c>
      <c r="E270" s="132" t="s">
        <v>455</v>
      </c>
      <c r="F270" s="132" t="str">
        <f t="shared" si="13"/>
        <v>LMIC</v>
      </c>
      <c r="G270" s="646">
        <f>INDEX('WB HCW &amp; Beds'!$C$558:$BO$821,MATCH($C270,'WB HCW &amp; Beds'!$C$558:$C$821,0),MATCH("Latest value",'WB HCW &amp; Beds'!$C$557:$BO$557,0))</f>
        <v>7.6300000000000007E-2</v>
      </c>
      <c r="H270" s="647">
        <f>INDEX('WB HCW &amp; Beds'!$C$558:$BO$821,MATCH($C270,'WB HCW &amp; Beds'!$C$558:$C$821,0),MATCH("Latest year",'WB HCW &amp; Beds'!$C$557:$BO$557,0))</f>
        <v>2014</v>
      </c>
      <c r="I270" s="651">
        <f>INDEX('WB HCW &amp; Beds'!$C$286:$BP$561,MATCH($C270,'WB HCW &amp; Beds'!$C$286:$C$561,0),MATCH("Value",'WB HCW &amp; Beds'!$C$286:$BP$286,0))</f>
        <v>0.4</v>
      </c>
      <c r="J270" s="647" t="str">
        <f>'WB HCW &amp; Beds'!BO550</f>
        <v>No reported value</v>
      </c>
      <c r="K270" s="653">
        <f>'WB HCW &amp; Beds'!BN278</f>
        <v>1.1546000000000001</v>
      </c>
      <c r="L270" s="654">
        <f>'WB HCW &amp; Beds'!BO278</f>
        <v>2014</v>
      </c>
      <c r="M270" s="720">
        <f>IFERROR(IFERROR(INDEX('WHO GHO Data'!$AB$8:$AB$201,MATCH('HCW + Staff Summary'!$C270,'WHO GHO Data'!$C$8:$C$201,0)),INDEX('WHO GHO Data'!$AE$9:$AE$13,MATCH('HCW + Staff Summary'!$E270,'WHO GHO Data'!$AD$9:$AD$13,0))),"")</f>
        <v>0.12285110395486315</v>
      </c>
      <c r="O270" s="29">
        <f>INDEX('WB Population Data'!$D$6:$D$269,MATCH($B270,'WB Population Data'!$B$6:$B$269,0))</f>
        <v>14863000</v>
      </c>
      <c r="P270" s="30">
        <f t="shared" si="14"/>
        <v>1134.0469000000001</v>
      </c>
      <c r="Q270" s="29">
        <f t="shared" si="12"/>
        <v>5945.2000000000007</v>
      </c>
      <c r="R270" s="29">
        <f>IFERROR(IFERROR(INDEX('WHO GHO Data'!$S$8:$S$201,MATCH($C270,'WHO GHO Data'!$C$8:$C$201,0)),($O270/1000*$K270)),IFERROR($O270/1000*VLOOKUP(E270,$W$9:$Y$12,3,0),0))</f>
        <v>28816.776866123342</v>
      </c>
      <c r="S270" s="30">
        <f>IFERROR(IFERROR(INDEX('WHO GHO Data'!$U$8:$U$201,MATCH($C270,'WHO GHO Data'!$C$8:$C$201,0)),INDEX('WHO GHO Data'!$AE$9:$AE$13,MATCH($E270,'WHO GHO Data'!$AD$9:$AD$13,0))*'HCW + Staff Summary'!$O270/1000),"")</f>
        <v>1825.9359580811313</v>
      </c>
    </row>
    <row r="271" spans="2:19" x14ac:dyDescent="0.75">
      <c r="B271" s="43" t="s">
        <v>695</v>
      </c>
      <c r="E271" s="43" t="s">
        <v>695</v>
      </c>
      <c r="F271" s="132" t="str">
        <f t="shared" si="13"/>
        <v>LMIC</v>
      </c>
      <c r="G271" s="648">
        <f>AVERAGE(G7:G270)</f>
        <v>1.6482867843962323</v>
      </c>
      <c r="H271" s="647"/>
      <c r="I271" s="648">
        <f>AVERAGE(I7:I270)</f>
        <v>0.4067856142516732</v>
      </c>
      <c r="J271" s="647"/>
      <c r="K271" s="648">
        <f>AVERAGE(K7:K270)</f>
        <v>3.9915016633174139</v>
      </c>
      <c r="L271" s="647"/>
      <c r="M271" s="720">
        <f>IFERROR(IFERROR(INDEX('WHO GHO Data'!$AB$8:$AB$201,MATCH('HCW + Staff Summary'!$C271,'WHO GHO Data'!$C$8:$C$201,0)),INDEX('WHO GHO Data'!$AE$9:$AE$13,MATCH('HCW + Staff Summary'!$E271,'WHO GHO Data'!$AD$9:$AD$13,0))),"")</f>
        <v>0.2851350631912401</v>
      </c>
      <c r="O271" s="35">
        <f>Inputs!$C$24</f>
        <v>0</v>
      </c>
      <c r="P271" s="33">
        <f>IF(E271="OUT",0,IFERROR($O271/1000*$G271,$O271/1000*VLOOKUP(E271,$W$9:$X$12,2,0)))</f>
        <v>0</v>
      </c>
      <c r="Q271" s="29">
        <f t="shared" si="12"/>
        <v>0</v>
      </c>
      <c r="R271" s="932">
        <f>IFERROR(IFERROR(INDEX('WHO GHO Data'!$S$8:$S$201,MATCH($C271,'WHO GHO Data'!$C$8:$C$201,0)),($O271/1000*$K271)),IFERROR($O271/1000*VLOOKUP(E271,$W$9:$Y$12,3,0),0))</f>
        <v>0</v>
      </c>
      <c r="S271" s="30">
        <f>IFERROR(IFERROR(INDEX('WHO GHO Data'!$U$8:$U$201,MATCH($C271,'WHO GHO Data'!$C$8:$C$201,0)),INDEX('WHO GHO Data'!$AE$9:$AE$13,MATCH($E271,'WHO GHO Data'!$AD$9:$AD$13,0))*'HCW + Staff Summary'!$O271/1000),"")</f>
        <v>0</v>
      </c>
    </row>
    <row r="272" spans="2:19" x14ac:dyDescent="0.75">
      <c r="B272" s="43">
        <v>100</v>
      </c>
      <c r="G272" s="648">
        <f>G$271</f>
        <v>1.6482867843962323</v>
      </c>
      <c r="H272" s="647"/>
      <c r="I272" s="651" t="e">
        <f>INDEX('WB HCW &amp; Beds'!$C$286:$BP$561,MATCH($C272,'WB HCW &amp; Beds'!$C$286:$C$561,0),MATCH("Value",'WB HCW &amp; Beds'!$C$286:$BP$286,0))</f>
        <v>#N/A</v>
      </c>
      <c r="J272" s="647"/>
      <c r="K272" s="648">
        <f>K$271</f>
        <v>3.9915016633174139</v>
      </c>
      <c r="L272" s="647"/>
      <c r="M272" s="720" t="str">
        <f>IFERROR(IFERROR(INDEX('WHO GHO Data'!$AB$8:$AB$201,MATCH('HCW + Staff Summary'!$C272,'WHO GHO Data'!$C$8:$C$201,0)),INDEX('WHO GHO Data'!$AE$9:$AE$13,MATCH('HCW + Staff Summary'!$E272,'WHO GHO Data'!$AD$9:$AD$13,0))),"")</f>
        <v/>
      </c>
      <c r="O272" s="43">
        <f>$B272</f>
        <v>100</v>
      </c>
      <c r="P272" s="30">
        <f t="shared" si="14"/>
        <v>0.16482867843962323</v>
      </c>
      <c r="Q272" s="29">
        <f t="shared" si="12"/>
        <v>0</v>
      </c>
      <c r="R272" s="29">
        <f>IFERROR(IFERROR(INDEX('WHO GHO Data'!$S$8:$S$201,MATCH($C272,'WHO GHO Data'!$C$8:$C$201,0)),($O272/1000*$K272)),IFERROR($O272/1000*VLOOKUP(E272,$W$9:$Y$12,3,0),0))</f>
        <v>0.39915016633174139</v>
      </c>
      <c r="S272" s="30" t="str">
        <f>IFERROR(IFERROR(INDEX('WHO GHO Data'!$U$8:$U$201,MATCH($C272,'WHO GHO Data'!$C$8:$C$201,0)),INDEX('WHO GHO Data'!$AE$9:$AE$13,MATCH($E272,'WHO GHO Data'!$AD$9:$AD$13,0))*'HCW + Staff Summary'!$O272/1000),"")</f>
        <v/>
      </c>
    </row>
    <row r="273" spans="2:19" x14ac:dyDescent="0.75">
      <c r="B273" s="43">
        <v>1000</v>
      </c>
      <c r="G273" s="648">
        <f>G$271</f>
        <v>1.6482867843962323</v>
      </c>
      <c r="H273" s="647"/>
      <c r="I273" s="651" t="e">
        <f>INDEX('WB HCW &amp; Beds'!$C$286:$BP$561,MATCH($C273,'WB HCW &amp; Beds'!$C$286:$C$561,0),MATCH("Value",'WB HCW &amp; Beds'!$C$286:$BP$286,0))</f>
        <v>#N/A</v>
      </c>
      <c r="J273" s="647"/>
      <c r="K273" s="648">
        <f>K$271</f>
        <v>3.9915016633174139</v>
      </c>
      <c r="L273" s="647"/>
      <c r="M273" s="720" t="str">
        <f>IFERROR(IFERROR(INDEX('WHO GHO Data'!$AB$8:$AB$201,MATCH('HCW + Staff Summary'!$C273,'WHO GHO Data'!$C$8:$C$201,0)),INDEX('WHO GHO Data'!$AE$9:$AE$13,MATCH('HCW + Staff Summary'!$E273,'WHO GHO Data'!$AD$9:$AD$13,0))),"")</f>
        <v/>
      </c>
      <c r="O273" s="126">
        <f>$B273</f>
        <v>1000</v>
      </c>
      <c r="P273" s="30">
        <f t="shared" si="14"/>
        <v>1.6482867843962323</v>
      </c>
      <c r="Q273" s="29">
        <f t="shared" si="12"/>
        <v>0</v>
      </c>
      <c r="R273" s="29">
        <f>IFERROR(IFERROR(INDEX('WHO GHO Data'!$S$8:$S$201,MATCH($C273,'WHO GHO Data'!$C$8:$C$201,0)),($O273/1000*$K273)),IFERROR($O273/1000*VLOOKUP(E273,$W$9:$Y$12,3,0),0))</f>
        <v>3.9915016633174139</v>
      </c>
      <c r="S273" s="30" t="str">
        <f>IFERROR(IFERROR(INDEX('WHO GHO Data'!$U$8:$U$201,MATCH($C273,'WHO GHO Data'!$C$8:$C$201,0)),INDEX('WHO GHO Data'!$AE$9:$AE$13,MATCH($E273,'WHO GHO Data'!$AD$9:$AD$13,0))*'HCW + Staff Summary'!$O273/1000),"")</f>
        <v/>
      </c>
    </row>
    <row r="274" spans="2:19" x14ac:dyDescent="0.75">
      <c r="B274" s="43">
        <v>10000</v>
      </c>
      <c r="G274" s="648">
        <f>G$271</f>
        <v>1.6482867843962323</v>
      </c>
      <c r="H274" s="647"/>
      <c r="I274" s="651" t="e">
        <f>INDEX('WB HCW &amp; Beds'!$C$286:$BP$561,MATCH($C274,'WB HCW &amp; Beds'!$C$286:$C$561,0),MATCH("Value",'WB HCW &amp; Beds'!$C$286:$BP$286,0))</f>
        <v>#N/A</v>
      </c>
      <c r="J274" s="647"/>
      <c r="K274" s="648">
        <f>K$271</f>
        <v>3.9915016633174139</v>
      </c>
      <c r="L274" s="647"/>
      <c r="M274" s="720" t="str">
        <f>IFERROR(IFERROR(INDEX('WHO GHO Data'!$AB$8:$AB$201,MATCH('HCW + Staff Summary'!$C274,'WHO GHO Data'!$C$8:$C$201,0)),INDEX('WHO GHO Data'!$AE$9:$AE$13,MATCH('HCW + Staff Summary'!$E274,'WHO GHO Data'!$AD$9:$AD$13,0))),"")</f>
        <v/>
      </c>
      <c r="O274" s="126">
        <f>$B274</f>
        <v>10000</v>
      </c>
      <c r="P274" s="30">
        <f t="shared" si="14"/>
        <v>16.482867843962325</v>
      </c>
      <c r="Q274" s="29">
        <f t="shared" si="12"/>
        <v>0</v>
      </c>
      <c r="R274" s="29">
        <f>IFERROR(IFERROR(INDEX('WHO GHO Data'!$S$8:$S$201,MATCH($C274,'WHO GHO Data'!$C$8:$C$201,0)),($O274/1000*$K274)),IFERROR($O274/1000*VLOOKUP(E274,$W$9:$Y$12,3,0),0))</f>
        <v>39.91501663317414</v>
      </c>
      <c r="S274" s="30" t="str">
        <f>IFERROR(IFERROR(INDEX('WHO GHO Data'!$U$8:$U$201,MATCH($C274,'WHO GHO Data'!$C$8:$C$201,0)),INDEX('WHO GHO Data'!$AE$9:$AE$13,MATCH($E274,'WHO GHO Data'!$AD$9:$AD$13,0))*'HCW + Staff Summary'!$O274/1000),"")</f>
        <v/>
      </c>
    </row>
    <row r="275" spans="2:19" x14ac:dyDescent="0.75">
      <c r="B275" s="43">
        <v>100000</v>
      </c>
      <c r="G275" s="649">
        <f>G$271</f>
        <v>1.6482867843962323</v>
      </c>
      <c r="H275" s="650"/>
      <c r="I275" s="652" t="e">
        <f>INDEX('WB HCW &amp; Beds'!$C$286:$BP$561,MATCH($C275,'WB HCW &amp; Beds'!$C$286:$C$561,0),MATCH("Value",'WB HCW &amp; Beds'!$C$286:$BP$286,0))</f>
        <v>#N/A</v>
      </c>
      <c r="J275" s="650"/>
      <c r="K275" s="649">
        <f>K$271</f>
        <v>3.9915016633174139</v>
      </c>
      <c r="L275" s="650"/>
      <c r="M275" s="721" t="str">
        <f>IFERROR(IFERROR(INDEX('WHO GHO Data'!$AB$8:$AB$201,MATCH('HCW + Staff Summary'!$C275,'WHO GHO Data'!$C$8:$C$201,0)),INDEX('WHO GHO Data'!$AE$9:$AE$13,MATCH('HCW + Staff Summary'!$E275,'WHO GHO Data'!$AD$9:$AD$13,0))),"")</f>
        <v/>
      </c>
      <c r="O275" s="126">
        <f>$B275</f>
        <v>100000</v>
      </c>
      <c r="P275" s="30">
        <f t="shared" si="14"/>
        <v>164.82867843962325</v>
      </c>
      <c r="Q275" s="29">
        <f t="shared" si="12"/>
        <v>0</v>
      </c>
      <c r="R275" s="29">
        <f>IFERROR(IFERROR(INDEX('WHO GHO Data'!$S$8:$S$201,MATCH($C275,'WHO GHO Data'!$C$8:$C$201,0)),($O275/1000*$K275)),IFERROR($O275/1000*VLOOKUP(E275,$W$9:$Y$12,3,0),0))</f>
        <v>399.15016633174139</v>
      </c>
      <c r="S275" s="30" t="str">
        <f>IFERROR(IFERROR(INDEX('WHO GHO Data'!$U$8:$U$201,MATCH($C275,'WHO GHO Data'!$C$8:$C$201,0)),INDEX('WHO GHO Data'!$AE$9:$AE$13,MATCH($E275,'WHO GHO Data'!$AD$9:$AD$13,0))*'HCW + Staff Summary'!$O275/1000),"")</f>
        <v/>
      </c>
    </row>
    <row r="276" spans="2:19" x14ac:dyDescent="0.75">
      <c r="G276" s="82">
        <f>SUM(G275,K275)</f>
        <v>5.639788447713646</v>
      </c>
    </row>
    <row r="277" spans="2:19" x14ac:dyDescent="0.75">
      <c r="G277" s="82"/>
    </row>
  </sheetData>
  <sheetProtection algorithmName="SHA-512" hashValue="FN2XP41YUjcLtjZL/BuCwwdPq0EUbpowF/oYX8T9o8jnQpyKceEFq9MlwoFuwRwBX/PLpzmwym6S62VqH0grCg==" saltValue="qs/EObJ7Oy3ESppccoo6NA==" spinCount="100000" sheet="1" objects="1" scenarios="1"/>
  <autoFilter ref="B6:S276" xr:uid="{00000000-0009-0000-0000-00000F000000}"/>
  <mergeCells count="4">
    <mergeCell ref="G5:H5"/>
    <mergeCell ref="I5:J5"/>
    <mergeCell ref="K5:L5"/>
    <mergeCell ref="P5:S5"/>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theme="2" tint="-0.499984740745262"/>
  </sheetPr>
  <dimension ref="B1:AE205"/>
  <sheetViews>
    <sheetView showGridLines="0" zoomScale="80" zoomScaleNormal="80" workbookViewId="0"/>
  </sheetViews>
  <sheetFormatPr defaultColWidth="9.40625" defaultRowHeight="14.75" x14ac:dyDescent="0.75"/>
  <cols>
    <col min="1" max="1" width="2.40625" style="609" customWidth="1"/>
    <col min="2" max="3" width="27" style="609" customWidth="1"/>
    <col min="4" max="4" width="3.40625" style="609" customWidth="1"/>
    <col min="5" max="5" width="22.40625" style="629" customWidth="1"/>
    <col min="6" max="6" width="20.40625" style="450" customWidth="1"/>
    <col min="7" max="7" width="19" style="609" customWidth="1"/>
    <col min="8" max="8" width="19.40625" style="609" customWidth="1"/>
    <col min="9" max="9" width="17.40625" style="609" customWidth="1"/>
    <col min="10" max="10" width="3" style="609" customWidth="1"/>
    <col min="11" max="11" width="16.40625" style="609" customWidth="1"/>
    <col min="12" max="13" width="17.40625" style="78" customWidth="1"/>
    <col min="14" max="14" width="4.40625" style="609" customWidth="1"/>
    <col min="15" max="15" width="20.40625" style="609" customWidth="1"/>
    <col min="16" max="16" width="21.40625" style="609" customWidth="1"/>
    <col min="17" max="17" width="2.40625" style="609" customWidth="1"/>
    <col min="18" max="18" width="19.40625" style="609" customWidth="1"/>
    <col min="19" max="19" width="12.40625" style="609" bestFit="1" customWidth="1"/>
    <col min="20" max="22" width="16.40625" style="609" customWidth="1"/>
    <col min="23" max="23" width="12.40625" style="609" customWidth="1"/>
    <col min="24" max="24" width="9.40625" style="609"/>
    <col min="25" max="25" width="13.40625" style="609" bestFit="1" customWidth="1"/>
    <col min="26" max="26" width="9.40625" style="609"/>
    <col min="27" max="27" width="18.40625" style="609" bestFit="1" customWidth="1"/>
    <col min="28" max="28" width="13.40625" style="609" bestFit="1" customWidth="1"/>
    <col min="29" max="29" width="9.40625" style="609"/>
    <col min="30" max="30" width="18.40625" style="609" bestFit="1" customWidth="1"/>
    <col min="31" max="16384" width="9.40625" style="609"/>
  </cols>
  <sheetData>
    <row r="1" spans="2:31" s="5" customFormat="1" x14ac:dyDescent="0.75">
      <c r="D1" s="602"/>
    </row>
    <row r="2" spans="2:31" s="24" customFormat="1" ht="18.5" x14ac:dyDescent="0.9">
      <c r="B2" s="24" t="s">
        <v>1197</v>
      </c>
      <c r="D2" s="451"/>
      <c r="E2" s="25"/>
      <c r="F2" s="25"/>
      <c r="G2" s="25"/>
    </row>
    <row r="3" spans="2:31" s="603" customFormat="1" x14ac:dyDescent="0.75">
      <c r="B3" s="603" t="s">
        <v>1188</v>
      </c>
      <c r="D3" s="604"/>
      <c r="E3" s="605"/>
      <c r="F3" s="605"/>
      <c r="G3" s="605"/>
    </row>
    <row r="4" spans="2:31" s="606" customFormat="1" x14ac:dyDescent="0.75">
      <c r="B4" s="606" t="s">
        <v>812</v>
      </c>
      <c r="D4" s="607"/>
      <c r="E4" s="608"/>
      <c r="F4" s="608"/>
      <c r="G4" s="608"/>
    </row>
    <row r="5" spans="2:31" s="5" customFormat="1" x14ac:dyDescent="0.75">
      <c r="D5" s="602"/>
      <c r="O5" s="1547" t="s">
        <v>1390</v>
      </c>
      <c r="P5" s="1547"/>
    </row>
    <row r="6" spans="2:31" ht="13.5" x14ac:dyDescent="0.75">
      <c r="B6" s="1548" t="s">
        <v>260</v>
      </c>
      <c r="C6" s="1548"/>
      <c r="E6" s="1548" t="s">
        <v>751</v>
      </c>
      <c r="F6" s="1548"/>
      <c r="G6" s="1548"/>
      <c r="H6" s="1548"/>
      <c r="I6" s="1548"/>
      <c r="K6" s="1548" t="s">
        <v>817</v>
      </c>
      <c r="L6" s="1548"/>
      <c r="M6" s="1548"/>
      <c r="O6" s="1548" t="s">
        <v>1153</v>
      </c>
      <c r="P6" s="1548"/>
      <c r="R6" s="1548" t="s">
        <v>1154</v>
      </c>
      <c r="S6" s="1548"/>
      <c r="T6" s="1548"/>
      <c r="U6" s="1548"/>
      <c r="V6" s="1548"/>
      <c r="W6" s="1548"/>
      <c r="Y6" s="1548" t="s">
        <v>1192</v>
      </c>
      <c r="Z6" s="1548"/>
      <c r="AA6" s="1548"/>
      <c r="AB6" s="1548"/>
    </row>
    <row r="7" spans="2:31" ht="74.5" thickBot="1" x14ac:dyDescent="0.9">
      <c r="B7" s="610" t="s">
        <v>1155</v>
      </c>
      <c r="C7" s="610" t="s">
        <v>180</v>
      </c>
      <c r="D7" s="611"/>
      <c r="E7" s="612" t="s">
        <v>1156</v>
      </c>
      <c r="F7" s="613" t="s">
        <v>1157</v>
      </c>
      <c r="G7" s="613" t="s">
        <v>1158</v>
      </c>
      <c r="H7" s="613" t="s">
        <v>1159</v>
      </c>
      <c r="I7" s="613" t="s">
        <v>1160</v>
      </c>
      <c r="J7" s="614"/>
      <c r="K7" s="612" t="s">
        <v>1161</v>
      </c>
      <c r="L7" s="613" t="s">
        <v>769</v>
      </c>
      <c r="M7" s="613" t="s">
        <v>768</v>
      </c>
      <c r="N7" s="614"/>
      <c r="O7" s="612" t="s">
        <v>1162</v>
      </c>
      <c r="P7" s="615" t="s">
        <v>1163</v>
      </c>
      <c r="Q7" s="616"/>
      <c r="R7" s="610" t="s">
        <v>1189</v>
      </c>
      <c r="S7" s="610" t="s">
        <v>1164</v>
      </c>
      <c r="T7" s="610" t="s">
        <v>1190</v>
      </c>
      <c r="U7" s="610" t="s">
        <v>1191</v>
      </c>
      <c r="V7" s="610" t="s">
        <v>1165</v>
      </c>
      <c r="W7" s="610" t="s">
        <v>1166</v>
      </c>
      <c r="Y7" s="610" t="s">
        <v>767</v>
      </c>
      <c r="Z7" s="610" t="s">
        <v>766</v>
      </c>
      <c r="AA7" s="610" t="s">
        <v>756</v>
      </c>
      <c r="AB7" s="610" t="s">
        <v>1388</v>
      </c>
    </row>
    <row r="8" spans="2:31" ht="15.75" customHeight="1" thickBot="1" x14ac:dyDescent="0.9">
      <c r="B8" s="610" t="s">
        <v>230</v>
      </c>
      <c r="C8" s="610" t="s">
        <v>0</v>
      </c>
      <c r="D8" s="611"/>
      <c r="E8" s="612">
        <v>2017</v>
      </c>
      <c r="F8" s="617">
        <v>1.7549999999999999</v>
      </c>
      <c r="G8" s="618">
        <v>6370</v>
      </c>
      <c r="H8" s="618">
        <v>6370</v>
      </c>
      <c r="I8" s="618" t="s">
        <v>761</v>
      </c>
      <c r="J8" s="79"/>
      <c r="K8" s="618"/>
      <c r="L8" s="619"/>
      <c r="M8" s="619"/>
      <c r="N8" s="79"/>
      <c r="O8" s="618">
        <v>2016</v>
      </c>
      <c r="P8" s="618">
        <v>9842</v>
      </c>
      <c r="Q8" s="79"/>
      <c r="R8" s="620">
        <v>2.8288180821221736</v>
      </c>
      <c r="S8" s="449">
        <f>IFERROR(H8*(1+$R8/100)^(2020-$E8),H8)</f>
        <v>6926.0235585561168</v>
      </c>
      <c r="T8" s="449">
        <f>IFERROR(SUM(L8:M8)*(1+$R8/100)^(2020-$K8),SUM(L8:M8))</f>
        <v>0</v>
      </c>
      <c r="U8" s="449">
        <f t="shared" ref="U8:U39" si="0">IF(T8=0,INDEX($AE$9:$AE$13,MATCH($AA8,$AD$9:$AD$13,0))*$Y8/1000,T8)</f>
        <v>3834.2950912800698</v>
      </c>
      <c r="V8" s="449">
        <f>IFERROR(P8*(1+$R8/100)^(2020-$O8),P8)</f>
        <v>11003.801231303018</v>
      </c>
      <c r="W8" s="621">
        <f>SUM(S8:V8)</f>
        <v>21764.119881139202</v>
      </c>
      <c r="Y8" s="452">
        <f>VLOOKUP($C8,'WB Population Data'!$C$6:$D$269,2,FALSE)</f>
        <v>38928000</v>
      </c>
      <c r="Z8" s="453">
        <f>IFERROR(T8/Y8*1000,0)</f>
        <v>0</v>
      </c>
      <c r="AA8" s="622" t="str">
        <f>INDEX('HCW + Staff Summary'!$E$7:$E$270,MATCH($C8,'HCW + Staff Summary'!$C$7:$C$270,0))</f>
        <v>Low income</v>
      </c>
      <c r="AB8" s="620">
        <f t="shared" ref="AB8:AB39" si="1">IF(Z8=0,INDEX($AE$9:$AE$13,MATCH($AA8,$AD$9:$AD$13,0)),Z8)</f>
        <v>9.849709954994014E-2</v>
      </c>
      <c r="AD8" s="623" t="s">
        <v>1193</v>
      </c>
      <c r="AE8" s="624"/>
    </row>
    <row r="9" spans="2:31" x14ac:dyDescent="0.75">
      <c r="B9" s="610" t="s">
        <v>312</v>
      </c>
      <c r="C9" s="610" t="s">
        <v>313</v>
      </c>
      <c r="D9" s="611"/>
      <c r="E9" s="612">
        <v>2016</v>
      </c>
      <c r="F9" s="617">
        <v>36.494999999999997</v>
      </c>
      <c r="G9" s="618">
        <v>10534</v>
      </c>
      <c r="H9" s="618">
        <v>10534</v>
      </c>
      <c r="I9" s="618" t="s">
        <v>761</v>
      </c>
      <c r="J9" s="79"/>
      <c r="K9" s="618"/>
      <c r="L9" s="619"/>
      <c r="M9" s="619"/>
      <c r="N9" s="79"/>
      <c r="O9" s="618">
        <v>2016</v>
      </c>
      <c r="P9" s="618">
        <v>3511</v>
      </c>
      <c r="Q9" s="79"/>
      <c r="R9" s="620">
        <v>-0.19936750695095912</v>
      </c>
      <c r="S9" s="449">
        <f t="shared" ref="S9:S72" si="2">IFERROR(H9*(1+R9/100)^(2020-E9),H9)</f>
        <v>10450.245393022386</v>
      </c>
      <c r="T9" s="449">
        <f t="shared" ref="T9:T72" si="3">IFERROR(SUM(L9:M9)*(1+$R9/100)^(2020-$K9),SUM(L9:M9))</f>
        <v>0</v>
      </c>
      <c r="U9" s="449">
        <f t="shared" si="0"/>
        <v>630.17875463792507</v>
      </c>
      <c r="V9" s="449">
        <f t="shared" ref="V9:V72" si="4">IFERROR(P9*(1+$R9/100)^(2020-$O9),P9)</f>
        <v>3483.0844479686343</v>
      </c>
      <c r="W9" s="621">
        <f t="shared" ref="W9:W72" si="5">SUM(S9:V9)</f>
        <v>14563.508595628946</v>
      </c>
      <c r="Y9" s="452">
        <f>VLOOKUP($C9,'WB Population Data'!$C$6:$D$269,2,FALSE)</f>
        <v>2867000</v>
      </c>
      <c r="Z9" s="453">
        <f t="shared" ref="Z9:Z72" si="6">IFERROR(T9/Y9*1000,0)</f>
        <v>0</v>
      </c>
      <c r="AA9" s="622" t="str">
        <f>INDEX('HCW + Staff Summary'!$E$7:$E$270,MATCH($C9,'HCW + Staff Summary'!$C$7:$C$270,0))</f>
        <v>Upper middle income</v>
      </c>
      <c r="AB9" s="620">
        <f t="shared" si="1"/>
        <v>0.21980423949700909</v>
      </c>
      <c r="AD9" s="625" t="s">
        <v>453</v>
      </c>
      <c r="AE9" s="1193">
        <f>AVERAGEIFS($Z$8:$Z$201,$Z$8:$Z$201,"&gt;0",$AA$8:$AA$201,$AD9)</f>
        <v>9.849709954994014E-2</v>
      </c>
    </row>
    <row r="10" spans="2:31" x14ac:dyDescent="0.75">
      <c r="B10" s="610" t="s">
        <v>314</v>
      </c>
      <c r="C10" s="610" t="s">
        <v>37</v>
      </c>
      <c r="D10" s="611"/>
      <c r="E10" s="612">
        <v>2018</v>
      </c>
      <c r="F10" s="617">
        <v>15.477</v>
      </c>
      <c r="G10" s="618">
        <v>65359</v>
      </c>
      <c r="H10" s="618">
        <v>56411</v>
      </c>
      <c r="I10" s="618">
        <v>8948</v>
      </c>
      <c r="J10" s="79"/>
      <c r="K10" s="618">
        <v>2018</v>
      </c>
      <c r="L10" s="619">
        <v>136</v>
      </c>
      <c r="M10" s="619">
        <v>15238</v>
      </c>
      <c r="N10" s="79"/>
      <c r="O10" s="618">
        <v>2018</v>
      </c>
      <c r="P10" s="618">
        <v>72604</v>
      </c>
      <c r="Q10" s="79"/>
      <c r="R10" s="620">
        <v>2.0365321222455179</v>
      </c>
      <c r="S10" s="449">
        <f t="shared" si="2"/>
        <v>58732.052524968291</v>
      </c>
      <c r="T10" s="449">
        <f t="shared" si="3"/>
        <v>16006.569206694838</v>
      </c>
      <c r="U10" s="449">
        <f t="shared" si="0"/>
        <v>16006.569206694838</v>
      </c>
      <c r="V10" s="449">
        <f t="shared" si="4"/>
        <v>75591.319805052175</v>
      </c>
      <c r="W10" s="621">
        <f t="shared" si="5"/>
        <v>166336.51074341015</v>
      </c>
      <c r="Y10" s="452">
        <f>VLOOKUP($C10,'WB Population Data'!$C$6:$D$269,2,FALSE)</f>
        <v>43851000</v>
      </c>
      <c r="Z10" s="453">
        <f>IFERROR(T10/Y10*1000,0)</f>
        <v>0.36502176020375449</v>
      </c>
      <c r="AA10" s="622" t="str">
        <f>INDEX('HCW + Staff Summary'!$E$7:$E$270,MATCH($C10,'HCW + Staff Summary'!$C$7:$C$270,0))</f>
        <v>Upper middle income</v>
      </c>
      <c r="AB10" s="620">
        <f t="shared" si="1"/>
        <v>0.36502176020375449</v>
      </c>
      <c r="AD10" s="626" t="s">
        <v>695</v>
      </c>
      <c r="AE10" s="1194">
        <f>AVERAGE(AE9,AE11:AE13)</f>
        <v>0.2851350631912401</v>
      </c>
    </row>
    <row r="11" spans="2:31" x14ac:dyDescent="0.75">
      <c r="B11" s="610" t="s">
        <v>316</v>
      </c>
      <c r="C11" s="610" t="s">
        <v>1</v>
      </c>
      <c r="D11" s="611"/>
      <c r="E11" s="612">
        <v>2015</v>
      </c>
      <c r="F11" s="617">
        <v>40.128</v>
      </c>
      <c r="G11" s="618">
        <v>313</v>
      </c>
      <c r="H11" s="618">
        <v>296</v>
      </c>
      <c r="I11" s="618">
        <v>17</v>
      </c>
      <c r="J11" s="79"/>
      <c r="K11" s="618"/>
      <c r="L11" s="619"/>
      <c r="M11" s="619"/>
      <c r="N11" s="79"/>
      <c r="O11" s="618">
        <v>2015</v>
      </c>
      <c r="P11" s="618">
        <v>260</v>
      </c>
      <c r="Q11" s="79"/>
      <c r="R11" s="620">
        <v>-0.95543581339998906</v>
      </c>
      <c r="S11" s="449">
        <f t="shared" si="2"/>
        <v>282.12718647533188</v>
      </c>
      <c r="T11" s="449">
        <f t="shared" si="3"/>
        <v>0</v>
      </c>
      <c r="U11" s="449">
        <f t="shared" si="0"/>
        <v>42.080503486934269</v>
      </c>
      <c r="V11" s="449">
        <f t="shared" si="4"/>
        <v>247.81442055265637</v>
      </c>
      <c r="W11" s="621">
        <f t="shared" si="5"/>
        <v>572.02211051492259</v>
      </c>
      <c r="Y11" s="452">
        <f>VLOOKUP($C11,'WB Population Data'!$C$6:$D$269,2,FALSE)</f>
        <v>77000</v>
      </c>
      <c r="Z11" s="453">
        <f t="shared" si="6"/>
        <v>0</v>
      </c>
      <c r="AA11" s="622" t="str">
        <f>INDEX('HCW + Staff Summary'!$E$7:$E$270,MATCH($C11,'HCW + Staff Summary'!$C$7:$C$270,0))</f>
        <v>High income</v>
      </c>
      <c r="AB11" s="620">
        <f t="shared" si="1"/>
        <v>0.54650004528486062</v>
      </c>
      <c r="AD11" s="626" t="s">
        <v>455</v>
      </c>
      <c r="AE11" s="1195">
        <f>AVERAGEIFS($Z$8:$Z$201,$Z$8:$Z$201,"&gt;0",$AA$8:$AA$201,$AD11)</f>
        <v>0.2757388684331506</v>
      </c>
    </row>
    <row r="12" spans="2:31" x14ac:dyDescent="0.75">
      <c r="B12" s="610" t="s">
        <v>182</v>
      </c>
      <c r="C12" s="610" t="s">
        <v>165</v>
      </c>
      <c r="D12" s="611"/>
      <c r="E12" s="612">
        <v>2018</v>
      </c>
      <c r="F12" s="617">
        <v>4.0750000000000002</v>
      </c>
      <c r="G12" s="618">
        <v>12554</v>
      </c>
      <c r="H12" s="618">
        <v>12554</v>
      </c>
      <c r="I12" s="618" t="s">
        <v>761</v>
      </c>
      <c r="J12" s="79"/>
      <c r="K12" s="618">
        <v>2004</v>
      </c>
      <c r="L12" s="619"/>
      <c r="M12" s="619">
        <v>1376</v>
      </c>
      <c r="N12" s="79"/>
      <c r="O12" s="618">
        <v>2017</v>
      </c>
      <c r="P12" s="618">
        <v>6400</v>
      </c>
      <c r="Q12" s="79"/>
      <c r="R12" s="620">
        <v>3.3825662163794425</v>
      </c>
      <c r="S12" s="449">
        <f t="shared" si="2"/>
        <v>13417.658703841516</v>
      </c>
      <c r="T12" s="449">
        <f t="shared" si="3"/>
        <v>2343.0166020850056</v>
      </c>
      <c r="U12" s="449">
        <f t="shared" si="0"/>
        <v>2343.0166020850056</v>
      </c>
      <c r="V12" s="449">
        <f t="shared" si="4"/>
        <v>7071.6685775685219</v>
      </c>
      <c r="W12" s="621">
        <f t="shared" si="5"/>
        <v>25175.360485580048</v>
      </c>
      <c r="Y12" s="452">
        <f>VLOOKUP($C12,'WB Population Data'!$C$6:$D$269,2,FALSE)</f>
        <v>32866000</v>
      </c>
      <c r="Z12" s="453">
        <f t="shared" si="6"/>
        <v>7.1289983633086029E-2</v>
      </c>
      <c r="AA12" s="622" t="str">
        <f>INDEX('HCW + Staff Summary'!$E$7:$E$270,MATCH($C12,'HCW + Staff Summary'!$C$7:$C$270,0))</f>
        <v>Lower middle income</v>
      </c>
      <c r="AB12" s="620">
        <f t="shared" si="1"/>
        <v>7.1289983633086029E-2</v>
      </c>
      <c r="AD12" s="626" t="s">
        <v>558</v>
      </c>
      <c r="AE12" s="1195">
        <f>AVERAGEIFS($Z$8:$Z$201,$Z$8:$Z$201,"&gt;0",$AA$8:$AA$201,$AD12)</f>
        <v>0.21980423949700909</v>
      </c>
    </row>
    <row r="13" spans="2:31" ht="15.5" thickBot="1" x14ac:dyDescent="0.9">
      <c r="B13" s="610" t="s">
        <v>317</v>
      </c>
      <c r="C13" s="610" t="s">
        <v>318</v>
      </c>
      <c r="D13" s="611"/>
      <c r="E13" s="612">
        <v>2018</v>
      </c>
      <c r="F13" s="617">
        <v>45.170999999999999</v>
      </c>
      <c r="G13" s="618">
        <v>435</v>
      </c>
      <c r="H13" s="618">
        <v>435</v>
      </c>
      <c r="I13" s="618" t="s">
        <v>761</v>
      </c>
      <c r="J13" s="79"/>
      <c r="K13" s="618">
        <v>2007</v>
      </c>
      <c r="L13" s="619"/>
      <c r="M13" s="619">
        <v>8</v>
      </c>
      <c r="N13" s="79"/>
      <c r="O13" s="618">
        <v>2017</v>
      </c>
      <c r="P13" s="618">
        <v>282</v>
      </c>
      <c r="Q13" s="79"/>
      <c r="R13" s="620">
        <v>1.0161821765801584</v>
      </c>
      <c r="S13" s="449">
        <f t="shared" si="2"/>
        <v>443.88570417664329</v>
      </c>
      <c r="T13" s="449">
        <f t="shared" si="3"/>
        <v>9.1237283453472404</v>
      </c>
      <c r="U13" s="449">
        <f t="shared" si="0"/>
        <v>9.1237283453472404</v>
      </c>
      <c r="V13" s="449">
        <f t="shared" si="4"/>
        <v>290.68455730459391</v>
      </c>
      <c r="W13" s="621">
        <f t="shared" si="5"/>
        <v>752.81771817193157</v>
      </c>
      <c r="Y13" s="452">
        <f>VLOOKUP($C13,'WB Population Data'!$C$6:$D$269,2,FALSE)</f>
        <v>98000</v>
      </c>
      <c r="Z13" s="453">
        <f t="shared" si="6"/>
        <v>9.3099268830073884E-2</v>
      </c>
      <c r="AA13" s="622" t="str">
        <f>INDEX('HCW + Staff Summary'!$E$7:$E$270,MATCH($C13,'HCW + Staff Summary'!$C$7:$C$270,0))</f>
        <v>High income</v>
      </c>
      <c r="AB13" s="620">
        <f t="shared" si="1"/>
        <v>9.3099268830073884E-2</v>
      </c>
      <c r="AD13" s="627" t="s">
        <v>411</v>
      </c>
      <c r="AE13" s="1196">
        <f>AVERAGEIFS($Z$8:$Z$201,$Z$8:$Z$201,"&gt;0",$AA$8:$AA$201,$AD13)</f>
        <v>0.54650004528486062</v>
      </c>
    </row>
    <row r="14" spans="2:31" x14ac:dyDescent="0.75">
      <c r="B14" s="610" t="s">
        <v>321</v>
      </c>
      <c r="C14" s="610" t="s">
        <v>322</v>
      </c>
      <c r="D14" s="611"/>
      <c r="E14" s="612">
        <v>2017</v>
      </c>
      <c r="F14" s="617">
        <v>25.995999999999999</v>
      </c>
      <c r="G14" s="618">
        <v>114219</v>
      </c>
      <c r="H14" s="618">
        <v>114219</v>
      </c>
      <c r="I14" s="618" t="s">
        <v>761</v>
      </c>
      <c r="J14" s="79"/>
      <c r="K14" s="618">
        <v>2004</v>
      </c>
      <c r="L14" s="619">
        <v>19629</v>
      </c>
      <c r="M14" s="619"/>
      <c r="N14" s="79"/>
      <c r="O14" s="618">
        <v>2017</v>
      </c>
      <c r="P14" s="618">
        <v>175313</v>
      </c>
      <c r="Q14" s="79"/>
      <c r="R14" s="620">
        <v>1.0575172518174141</v>
      </c>
      <c r="S14" s="449">
        <f t="shared" si="2"/>
        <v>117881.11276932601</v>
      </c>
      <c r="T14" s="449">
        <f t="shared" si="3"/>
        <v>23227.162903381279</v>
      </c>
      <c r="U14" s="449">
        <f t="shared" si="0"/>
        <v>23227.162903381279</v>
      </c>
      <c r="V14" s="449">
        <f t="shared" si="4"/>
        <v>180933.92100201239</v>
      </c>
      <c r="W14" s="621">
        <f t="shared" si="5"/>
        <v>345269.35957810096</v>
      </c>
      <c r="Y14" s="452">
        <f>VLOOKUP($C14,'WB Population Data'!$C$6:$D$269,2,FALSE)</f>
        <v>45303000</v>
      </c>
      <c r="Z14" s="453">
        <f t="shared" si="6"/>
        <v>0.51270694884182677</v>
      </c>
      <c r="AA14" s="622" t="str">
        <f>INDEX('HCW + Staff Summary'!$E$7:$E$270,MATCH($C14,'HCW + Staff Summary'!$C$7:$C$270,0))</f>
        <v>Upper middle income</v>
      </c>
      <c r="AB14" s="620">
        <f t="shared" si="1"/>
        <v>0.51270694884182677</v>
      </c>
    </row>
    <row r="15" spans="2:31" x14ac:dyDescent="0.75">
      <c r="B15" s="610" t="s">
        <v>234</v>
      </c>
      <c r="C15" s="610" t="s">
        <v>3</v>
      </c>
      <c r="D15" s="611"/>
      <c r="E15" s="612">
        <v>2017</v>
      </c>
      <c r="F15" s="617">
        <v>61.07</v>
      </c>
      <c r="G15" s="618">
        <v>17984</v>
      </c>
      <c r="H15" s="618">
        <v>16796</v>
      </c>
      <c r="I15" s="618">
        <v>1188</v>
      </c>
      <c r="J15" s="79"/>
      <c r="K15" s="618"/>
      <c r="L15" s="619"/>
      <c r="M15" s="619"/>
      <c r="N15" s="79"/>
      <c r="O15" s="618">
        <v>2017</v>
      </c>
      <c r="P15" s="618">
        <v>12964</v>
      </c>
      <c r="Q15" s="79"/>
      <c r="R15" s="620">
        <v>0.37059473559431477</v>
      </c>
      <c r="S15" s="449">
        <f t="shared" si="2"/>
        <v>16983.428161348224</v>
      </c>
      <c r="T15" s="449">
        <f t="shared" si="3"/>
        <v>0</v>
      </c>
      <c r="U15" s="449">
        <f t="shared" si="0"/>
        <v>651.27996162963791</v>
      </c>
      <c r="V15" s="449">
        <f t="shared" si="4"/>
        <v>13108.666508913931</v>
      </c>
      <c r="W15" s="621">
        <f t="shared" si="5"/>
        <v>30743.374631891795</v>
      </c>
      <c r="Y15" s="452">
        <f>VLOOKUP($C15,'WB Population Data'!$C$6:$D$269,2,FALSE)</f>
        <v>2963000</v>
      </c>
      <c r="Z15" s="453">
        <f t="shared" si="6"/>
        <v>0</v>
      </c>
      <c r="AA15" s="622" t="str">
        <f>INDEX('HCW + Staff Summary'!$E$7:$E$270,MATCH($C15,'HCW + Staff Summary'!$C$7:$C$270,0))</f>
        <v>Upper middle income</v>
      </c>
      <c r="AB15" s="620">
        <f t="shared" si="1"/>
        <v>0.21980423949700909</v>
      </c>
    </row>
    <row r="16" spans="2:31" x14ac:dyDescent="0.75">
      <c r="B16" s="610" t="s">
        <v>325</v>
      </c>
      <c r="C16" s="610" t="s">
        <v>4</v>
      </c>
      <c r="D16" s="611"/>
      <c r="E16" s="612">
        <v>2017</v>
      </c>
      <c r="F16" s="617">
        <v>125.508</v>
      </c>
      <c r="G16" s="618">
        <v>308556</v>
      </c>
      <c r="H16" s="618">
        <v>287405</v>
      </c>
      <c r="I16" s="618">
        <v>21151</v>
      </c>
      <c r="J16" s="79"/>
      <c r="K16" s="618"/>
      <c r="L16" s="619"/>
      <c r="M16" s="619"/>
      <c r="N16" s="79"/>
      <c r="O16" s="618">
        <v>2017</v>
      </c>
      <c r="P16" s="618">
        <v>90417</v>
      </c>
      <c r="Q16" s="79"/>
      <c r="R16" s="620">
        <v>1.550419118394184</v>
      </c>
      <c r="S16" s="449">
        <f t="shared" si="2"/>
        <v>300981.2765240306</v>
      </c>
      <c r="T16" s="449">
        <f t="shared" si="3"/>
        <v>0</v>
      </c>
      <c r="U16" s="449">
        <f t="shared" si="0"/>
        <v>13994.773159654711</v>
      </c>
      <c r="V16" s="449">
        <f t="shared" si="4"/>
        <v>94688.067637909131</v>
      </c>
      <c r="W16" s="621">
        <f t="shared" si="5"/>
        <v>409664.11732159444</v>
      </c>
      <c r="Y16" s="452">
        <f>VLOOKUP($C16,'WB Population Data'!$C$6:$D$269,2,FALSE)</f>
        <v>25608000</v>
      </c>
      <c r="Z16" s="453">
        <f t="shared" si="6"/>
        <v>0</v>
      </c>
      <c r="AA16" s="622" t="str">
        <f>INDEX('HCW + Staff Summary'!$E$7:$E$270,MATCH($C16,'HCW + Staff Summary'!$C$7:$C$270,0))</f>
        <v>High income</v>
      </c>
      <c r="AB16" s="620">
        <f t="shared" si="1"/>
        <v>0.54650004528486062</v>
      </c>
    </row>
    <row r="17" spans="2:28" x14ac:dyDescent="0.75">
      <c r="B17" s="610" t="s">
        <v>326</v>
      </c>
      <c r="C17" s="610" t="s">
        <v>5</v>
      </c>
      <c r="D17" s="611"/>
      <c r="E17" s="612">
        <v>2017</v>
      </c>
      <c r="F17" s="617">
        <v>70.899000000000001</v>
      </c>
      <c r="G17" s="618">
        <v>62532</v>
      </c>
      <c r="H17" s="618">
        <v>60263</v>
      </c>
      <c r="I17" s="618">
        <v>2269</v>
      </c>
      <c r="J17" s="79"/>
      <c r="K17" s="618"/>
      <c r="L17" s="619"/>
      <c r="M17" s="619"/>
      <c r="N17" s="79"/>
      <c r="O17" s="618">
        <v>2017</v>
      </c>
      <c r="P17" s="618">
        <v>45596</v>
      </c>
      <c r="Q17" s="79"/>
      <c r="R17" s="620">
        <v>0.84786047513392815</v>
      </c>
      <c r="S17" s="449">
        <f t="shared" si="2"/>
        <v>61808.871536214734</v>
      </c>
      <c r="T17" s="449">
        <f t="shared" si="3"/>
        <v>0</v>
      </c>
      <c r="U17" s="449">
        <f t="shared" si="0"/>
        <v>4854.5599022654178</v>
      </c>
      <c r="V17" s="449">
        <f t="shared" si="4"/>
        <v>46765.632420643626</v>
      </c>
      <c r="W17" s="621">
        <f t="shared" si="5"/>
        <v>113429.06385912378</v>
      </c>
      <c r="Y17" s="452">
        <f>VLOOKUP($C17,'WB Population Data'!$C$6:$D$269,2,FALSE)</f>
        <v>8883000</v>
      </c>
      <c r="Z17" s="453">
        <f t="shared" si="6"/>
        <v>0</v>
      </c>
      <c r="AA17" s="622" t="str">
        <f>INDEX('HCW + Staff Summary'!$E$7:$E$270,MATCH($C17,'HCW + Staff Summary'!$C$7:$C$270,0))</f>
        <v>High income</v>
      </c>
      <c r="AB17" s="620">
        <f t="shared" si="1"/>
        <v>0.54650004528486062</v>
      </c>
    </row>
    <row r="18" spans="2:28" x14ac:dyDescent="0.75">
      <c r="B18" s="610" t="s">
        <v>235</v>
      </c>
      <c r="C18" s="610" t="s">
        <v>6</v>
      </c>
      <c r="D18" s="611"/>
      <c r="E18" s="612">
        <v>2014</v>
      </c>
      <c r="F18" s="617">
        <v>64.337999999999994</v>
      </c>
      <c r="G18" s="618">
        <v>61157</v>
      </c>
      <c r="H18" s="618">
        <v>56148</v>
      </c>
      <c r="I18" s="618">
        <v>5009</v>
      </c>
      <c r="J18" s="79"/>
      <c r="K18" s="618"/>
      <c r="L18" s="619"/>
      <c r="M18" s="619"/>
      <c r="N18" s="79"/>
      <c r="O18" s="618">
        <v>2014</v>
      </c>
      <c r="P18" s="618">
        <v>32756</v>
      </c>
      <c r="Q18" s="79"/>
      <c r="R18" s="620">
        <v>1.0861273529800521</v>
      </c>
      <c r="S18" s="449">
        <f t="shared" si="2"/>
        <v>59907.837696712682</v>
      </c>
      <c r="T18" s="449">
        <f t="shared" si="3"/>
        <v>0</v>
      </c>
      <c r="U18" s="449">
        <f t="shared" si="0"/>
        <v>2223.3198825122467</v>
      </c>
      <c r="V18" s="449">
        <f t="shared" si="4"/>
        <v>34949.439545371526</v>
      </c>
      <c r="W18" s="621">
        <f t="shared" si="5"/>
        <v>97080.597124596447</v>
      </c>
      <c r="Y18" s="452">
        <f>VLOOKUP($C18,'WB Population Data'!$C$6:$D$269,2,FALSE)</f>
        <v>10115000</v>
      </c>
      <c r="Z18" s="453">
        <f t="shared" si="6"/>
        <v>0</v>
      </c>
      <c r="AA18" s="622" t="str">
        <f>INDEX('HCW + Staff Summary'!$E$7:$E$270,MATCH($C18,'HCW + Staff Summary'!$C$7:$C$270,0))</f>
        <v>Upper middle income</v>
      </c>
      <c r="AB18" s="620">
        <f t="shared" si="1"/>
        <v>0.21980423949700909</v>
      </c>
    </row>
    <row r="19" spans="2:28" x14ac:dyDescent="0.75">
      <c r="B19" s="610" t="s">
        <v>1167</v>
      </c>
      <c r="C19" s="610" t="s">
        <v>14</v>
      </c>
      <c r="D19" s="611"/>
      <c r="E19" s="612">
        <v>2018</v>
      </c>
      <c r="F19" s="617">
        <v>45.668999999999997</v>
      </c>
      <c r="G19" s="618">
        <v>1761</v>
      </c>
      <c r="H19" s="618">
        <v>1761</v>
      </c>
      <c r="I19" s="618" t="s">
        <v>761</v>
      </c>
      <c r="J19" s="79"/>
      <c r="K19" s="618">
        <v>2011</v>
      </c>
      <c r="L19" s="619"/>
      <c r="M19" s="619">
        <v>104</v>
      </c>
      <c r="N19" s="79"/>
      <c r="O19" s="618">
        <v>2017</v>
      </c>
      <c r="P19" s="618">
        <v>766</v>
      </c>
      <c r="Q19" s="79"/>
      <c r="R19" s="620">
        <v>0.98169565633547973</v>
      </c>
      <c r="S19" s="449">
        <f t="shared" si="2"/>
        <v>1795.7450332284252</v>
      </c>
      <c r="T19" s="449">
        <f t="shared" si="3"/>
        <v>113.55787840871471</v>
      </c>
      <c r="U19" s="449">
        <f t="shared" si="0"/>
        <v>113.55787840871471</v>
      </c>
      <c r="V19" s="449">
        <f t="shared" si="4"/>
        <v>788.78155520236362</v>
      </c>
      <c r="W19" s="621">
        <f t="shared" si="5"/>
        <v>2811.6423452482181</v>
      </c>
      <c r="Y19" s="452">
        <f>VLOOKUP($C19,'WB Population Data'!$C$6:$D$269,2,FALSE)</f>
        <v>393000</v>
      </c>
      <c r="Z19" s="453">
        <f t="shared" si="6"/>
        <v>0.28895134455143695</v>
      </c>
      <c r="AA19" s="622" t="str">
        <f>INDEX('HCW + Staff Summary'!$E$7:$E$270,MATCH($C19,'HCW + Staff Summary'!$C$7:$C$270,0))</f>
        <v>High income</v>
      </c>
      <c r="AB19" s="620">
        <f t="shared" si="1"/>
        <v>0.28895134455143695</v>
      </c>
    </row>
    <row r="20" spans="2:28" x14ac:dyDescent="0.75">
      <c r="B20" s="610" t="s">
        <v>328</v>
      </c>
      <c r="C20" s="610" t="s">
        <v>13</v>
      </c>
      <c r="D20" s="611"/>
      <c r="E20" s="612">
        <v>2015</v>
      </c>
      <c r="F20" s="617">
        <v>24.943999999999999</v>
      </c>
      <c r="G20" s="618">
        <v>3422</v>
      </c>
      <c r="H20" s="618">
        <v>3422</v>
      </c>
      <c r="I20" s="618" t="s">
        <v>761</v>
      </c>
      <c r="J20" s="79"/>
      <c r="K20" s="618">
        <v>2015</v>
      </c>
      <c r="L20" s="619"/>
      <c r="M20" s="619">
        <v>295</v>
      </c>
      <c r="N20" s="79"/>
      <c r="O20" s="618">
        <v>2015</v>
      </c>
      <c r="P20" s="618">
        <v>1270</v>
      </c>
      <c r="Q20" s="79"/>
      <c r="R20" s="620">
        <v>3.5371902409044282</v>
      </c>
      <c r="S20" s="449">
        <f t="shared" si="2"/>
        <v>4071.5697633739119</v>
      </c>
      <c r="T20" s="449">
        <f t="shared" si="3"/>
        <v>350.99739339430272</v>
      </c>
      <c r="U20" s="449">
        <f t="shared" si="0"/>
        <v>350.99739339430272</v>
      </c>
      <c r="V20" s="449">
        <f t="shared" si="4"/>
        <v>1511.0735241042864</v>
      </c>
      <c r="W20" s="621">
        <f t="shared" si="5"/>
        <v>6284.6380742668043</v>
      </c>
      <c r="Y20" s="452">
        <f>VLOOKUP($C20,'WB Population Data'!$C$6:$D$269,2,FALSE)</f>
        <v>1702000</v>
      </c>
      <c r="Z20" s="453">
        <f t="shared" si="6"/>
        <v>0.20622643560182297</v>
      </c>
      <c r="AA20" s="622" t="str">
        <f>INDEX('HCW + Staff Summary'!$E$7:$E$270,MATCH($C20,'HCW + Staff Summary'!$C$7:$C$270,0))</f>
        <v>High income</v>
      </c>
      <c r="AB20" s="620">
        <f t="shared" si="1"/>
        <v>0.20622643560182297</v>
      </c>
    </row>
    <row r="21" spans="2:28" x14ac:dyDescent="0.75">
      <c r="B21" s="610" t="s">
        <v>240</v>
      </c>
      <c r="C21" s="610" t="s">
        <v>11</v>
      </c>
      <c r="D21" s="611"/>
      <c r="E21" s="612">
        <v>2018</v>
      </c>
      <c r="F21" s="617">
        <v>4.1239999999999997</v>
      </c>
      <c r="G21" s="618">
        <v>66544</v>
      </c>
      <c r="H21" s="618">
        <v>57211</v>
      </c>
      <c r="I21" s="618">
        <v>9333</v>
      </c>
      <c r="J21" s="79"/>
      <c r="K21" s="618">
        <v>2018</v>
      </c>
      <c r="L21" s="619">
        <v>26121</v>
      </c>
      <c r="M21" s="619"/>
      <c r="N21" s="79"/>
      <c r="O21" s="618">
        <v>2018</v>
      </c>
      <c r="P21" s="618">
        <v>93741</v>
      </c>
      <c r="Q21" s="79"/>
      <c r="R21" s="620">
        <v>1.094293475060534</v>
      </c>
      <c r="S21" s="449">
        <f t="shared" si="2"/>
        <v>58469.963372618484</v>
      </c>
      <c r="T21" s="449">
        <f t="shared" si="3"/>
        <v>26695.80873007232</v>
      </c>
      <c r="U21" s="449">
        <f t="shared" si="0"/>
        <v>26695.80873007232</v>
      </c>
      <c r="V21" s="449">
        <f t="shared" si="4"/>
        <v>95803.82857339723</v>
      </c>
      <c r="W21" s="621">
        <f t="shared" si="5"/>
        <v>207665.40940616035</v>
      </c>
      <c r="Y21" s="452">
        <f>VLOOKUP($C21,'WB Population Data'!$C$6:$D$269,2,FALSE)</f>
        <v>164689000</v>
      </c>
      <c r="Z21" s="453">
        <f t="shared" si="6"/>
        <v>0.16209831093802451</v>
      </c>
      <c r="AA21" s="622" t="str">
        <f>INDEX('HCW + Staff Summary'!$E$7:$E$270,MATCH($C21,'HCW + Staff Summary'!$C$7:$C$270,0))</f>
        <v>Lower middle income</v>
      </c>
      <c r="AB21" s="620">
        <f t="shared" si="1"/>
        <v>0.16209831093802451</v>
      </c>
    </row>
    <row r="22" spans="2:28" x14ac:dyDescent="0.75">
      <c r="B22" s="610" t="s">
        <v>329</v>
      </c>
      <c r="C22" s="610" t="s">
        <v>330</v>
      </c>
      <c r="D22" s="611"/>
      <c r="E22" s="612">
        <v>2018</v>
      </c>
      <c r="F22" s="617">
        <v>30.6</v>
      </c>
      <c r="G22" s="618">
        <v>877</v>
      </c>
      <c r="H22" s="618">
        <v>877</v>
      </c>
      <c r="I22" s="618" t="s">
        <v>761</v>
      </c>
      <c r="J22" s="79"/>
      <c r="K22" s="618">
        <v>2005</v>
      </c>
      <c r="L22" s="619"/>
      <c r="M22" s="619">
        <v>2</v>
      </c>
      <c r="N22" s="79"/>
      <c r="O22" s="618">
        <v>2017</v>
      </c>
      <c r="P22" s="618">
        <v>711</v>
      </c>
      <c r="Q22" s="79"/>
      <c r="R22" s="620">
        <v>0.16429225548002982</v>
      </c>
      <c r="S22" s="449">
        <f t="shared" si="2"/>
        <v>879.88405335471452</v>
      </c>
      <c r="T22" s="449">
        <f t="shared" si="3"/>
        <v>2.0498585629118247</v>
      </c>
      <c r="U22" s="449">
        <f t="shared" si="0"/>
        <v>2.0498585629118247</v>
      </c>
      <c r="V22" s="449">
        <f t="shared" si="4"/>
        <v>714.51011434427983</v>
      </c>
      <c r="W22" s="621">
        <f t="shared" si="5"/>
        <v>1598.493884824818</v>
      </c>
      <c r="Y22" s="452">
        <f>VLOOKUP($C22,'WB Population Data'!$C$6:$D$269,2,FALSE)</f>
        <v>287000</v>
      </c>
      <c r="Z22" s="453">
        <f t="shared" si="6"/>
        <v>7.1423643307032218E-3</v>
      </c>
      <c r="AA22" s="622" t="str">
        <f>INDEX('HCW + Staff Summary'!$E$7:$E$270,MATCH($C22,'HCW + Staff Summary'!$C$7:$C$270,0))</f>
        <v>High income</v>
      </c>
      <c r="AB22" s="620">
        <f t="shared" si="1"/>
        <v>7.1423643307032218E-3</v>
      </c>
    </row>
    <row r="23" spans="2:28" x14ac:dyDescent="0.75">
      <c r="B23" s="610" t="s">
        <v>331</v>
      </c>
      <c r="C23" s="610" t="s">
        <v>16</v>
      </c>
      <c r="D23" s="611"/>
      <c r="E23" s="612">
        <v>2015</v>
      </c>
      <c r="F23" s="617">
        <v>110.027</v>
      </c>
      <c r="G23" s="618">
        <v>103859</v>
      </c>
      <c r="H23" s="618">
        <v>98875</v>
      </c>
      <c r="I23" s="618">
        <v>4984</v>
      </c>
      <c r="J23" s="79"/>
      <c r="K23" s="618"/>
      <c r="L23" s="619"/>
      <c r="M23" s="619"/>
      <c r="N23" s="79"/>
      <c r="O23" s="618">
        <v>2015</v>
      </c>
      <c r="P23" s="618">
        <v>48995</v>
      </c>
      <c r="Q23" s="79"/>
      <c r="R23" s="620">
        <v>4.0923676683511406E-2</v>
      </c>
      <c r="S23" s="449">
        <f t="shared" si="2"/>
        <v>99077.48208502437</v>
      </c>
      <c r="T23" s="449">
        <f t="shared" si="3"/>
        <v>0</v>
      </c>
      <c r="U23" s="449">
        <f t="shared" si="0"/>
        <v>2076.7104547677418</v>
      </c>
      <c r="V23" s="449">
        <f t="shared" si="4"/>
        <v>49095.334864786542</v>
      </c>
      <c r="W23" s="621">
        <f t="shared" si="5"/>
        <v>150249.52740457866</v>
      </c>
      <c r="Y23" s="452">
        <f>VLOOKUP($C23,'WB Population Data'!$C$6:$D$269,2,FALSE)</f>
        <v>9448000</v>
      </c>
      <c r="Z23" s="453">
        <f t="shared" si="6"/>
        <v>0</v>
      </c>
      <c r="AA23" s="622" t="str">
        <f>INDEX('HCW + Staff Summary'!$E$7:$E$270,MATCH($C23,'HCW + Staff Summary'!$C$7:$C$270,0))</f>
        <v>Upper middle income</v>
      </c>
      <c r="AB23" s="620">
        <f t="shared" si="1"/>
        <v>0.21980423949700909</v>
      </c>
    </row>
    <row r="24" spans="2:28" x14ac:dyDescent="0.75">
      <c r="B24" s="610" t="s">
        <v>332</v>
      </c>
      <c r="C24" s="610" t="s">
        <v>8</v>
      </c>
      <c r="D24" s="611"/>
      <c r="E24" s="612">
        <v>2018</v>
      </c>
      <c r="F24" s="617">
        <v>194.614</v>
      </c>
      <c r="G24" s="618">
        <v>223460</v>
      </c>
      <c r="H24" s="618">
        <v>210507</v>
      </c>
      <c r="I24" s="618">
        <v>12953</v>
      </c>
      <c r="J24" s="79"/>
      <c r="K24" s="618"/>
      <c r="L24" s="619"/>
      <c r="M24" s="619"/>
      <c r="N24" s="79"/>
      <c r="O24" s="618">
        <v>2017</v>
      </c>
      <c r="P24" s="618">
        <v>35069</v>
      </c>
      <c r="Q24" s="79"/>
      <c r="R24" s="620">
        <v>0.46528908614995979</v>
      </c>
      <c r="S24" s="449">
        <f t="shared" si="2"/>
        <v>212470.48954201333</v>
      </c>
      <c r="T24" s="449">
        <f t="shared" si="3"/>
        <v>0</v>
      </c>
      <c r="U24" s="449">
        <f t="shared" si="0"/>
        <v>6305.5175224967215</v>
      </c>
      <c r="V24" s="449">
        <f t="shared" si="4"/>
        <v>35560.797889173744</v>
      </c>
      <c r="W24" s="621">
        <f t="shared" si="5"/>
        <v>254336.80495368381</v>
      </c>
      <c r="Y24" s="452">
        <f>VLOOKUP($C24,'WB Population Data'!$C$6:$D$269,2,FALSE)</f>
        <v>11538000</v>
      </c>
      <c r="Z24" s="453">
        <f t="shared" si="6"/>
        <v>0</v>
      </c>
      <c r="AA24" s="622" t="str">
        <f>INDEX('HCW + Staff Summary'!$E$7:$E$270,MATCH($C24,'HCW + Staff Summary'!$C$7:$C$270,0))</f>
        <v>High income</v>
      </c>
      <c r="AB24" s="620">
        <f t="shared" si="1"/>
        <v>0.54650004528486062</v>
      </c>
    </row>
    <row r="25" spans="2:28" x14ac:dyDescent="0.75">
      <c r="B25" s="610" t="s">
        <v>333</v>
      </c>
      <c r="C25" s="610" t="s">
        <v>17</v>
      </c>
      <c r="D25" s="611"/>
      <c r="E25" s="612">
        <v>2018</v>
      </c>
      <c r="F25" s="617">
        <v>23.414000000000001</v>
      </c>
      <c r="G25" s="618">
        <v>897</v>
      </c>
      <c r="H25" s="618">
        <v>897</v>
      </c>
      <c r="I25" s="618" t="s">
        <v>761</v>
      </c>
      <c r="J25" s="79"/>
      <c r="K25" s="618"/>
      <c r="L25" s="619"/>
      <c r="M25" s="619"/>
      <c r="N25" s="79"/>
      <c r="O25" s="618">
        <v>2017</v>
      </c>
      <c r="P25" s="618">
        <v>422</v>
      </c>
      <c r="Q25" s="79"/>
      <c r="R25" s="620">
        <v>2.0521122876249978</v>
      </c>
      <c r="S25" s="449">
        <f t="shared" si="2"/>
        <v>934.19263592623224</v>
      </c>
      <c r="T25" s="449">
        <f t="shared" si="3"/>
        <v>0</v>
      </c>
      <c r="U25" s="449">
        <f t="shared" si="0"/>
        <v>87.482087319809608</v>
      </c>
      <c r="V25" s="449">
        <f t="shared" si="4"/>
        <v>448.51652186268069</v>
      </c>
      <c r="W25" s="621">
        <f t="shared" si="5"/>
        <v>1470.1912451087226</v>
      </c>
      <c r="Y25" s="452">
        <f>VLOOKUP($C25,'WB Population Data'!$C$6:$D$269,2,FALSE)</f>
        <v>398000</v>
      </c>
      <c r="Z25" s="453">
        <f t="shared" si="6"/>
        <v>0</v>
      </c>
      <c r="AA25" s="622" t="str">
        <f>INDEX('HCW + Staff Summary'!$E$7:$E$270,MATCH($C25,'HCW + Staff Summary'!$C$7:$C$270,0))</f>
        <v>Upper middle income</v>
      </c>
      <c r="AB25" s="620">
        <f t="shared" si="1"/>
        <v>0.21980423949700909</v>
      </c>
    </row>
    <row r="26" spans="2:28" x14ac:dyDescent="0.75">
      <c r="B26" s="610" t="s">
        <v>183</v>
      </c>
      <c r="C26" s="610" t="s">
        <v>9</v>
      </c>
      <c r="D26" s="611"/>
      <c r="E26" s="612">
        <v>2018</v>
      </c>
      <c r="F26" s="617">
        <v>3.8879999999999999</v>
      </c>
      <c r="G26" s="618">
        <v>4465</v>
      </c>
      <c r="H26" s="618">
        <v>3410</v>
      </c>
      <c r="I26" s="618">
        <v>1055</v>
      </c>
      <c r="J26" s="79"/>
      <c r="K26" s="618">
        <v>2018</v>
      </c>
      <c r="L26" s="619">
        <v>668</v>
      </c>
      <c r="M26" s="619"/>
      <c r="N26" s="79"/>
      <c r="O26" s="618">
        <v>2018</v>
      </c>
      <c r="P26" s="618">
        <v>908</v>
      </c>
      <c r="Q26" s="79"/>
      <c r="R26" s="620">
        <v>2.7600445543841934</v>
      </c>
      <c r="S26" s="449">
        <f t="shared" si="2"/>
        <v>3600.8327240752869</v>
      </c>
      <c r="T26" s="449">
        <f t="shared" si="3"/>
        <v>705.38306735551078</v>
      </c>
      <c r="U26" s="449">
        <f t="shared" si="0"/>
        <v>705.38306735551078</v>
      </c>
      <c r="V26" s="449">
        <f t="shared" si="4"/>
        <v>958.81410951916723</v>
      </c>
      <c r="W26" s="621">
        <f t="shared" si="5"/>
        <v>5970.4129683054762</v>
      </c>
      <c r="Y26" s="452">
        <f>VLOOKUP($C26,'WB Population Data'!$C$6:$D$269,2,FALSE)</f>
        <v>12123000</v>
      </c>
      <c r="Z26" s="453">
        <f t="shared" si="6"/>
        <v>5.8185520692527491E-2</v>
      </c>
      <c r="AA26" s="622" t="str">
        <f>INDEX('HCW + Staff Summary'!$E$7:$E$270,MATCH($C26,'HCW + Staff Summary'!$C$7:$C$270,0))</f>
        <v>Low income</v>
      </c>
      <c r="AB26" s="620">
        <f t="shared" si="1"/>
        <v>5.8185520692527491E-2</v>
      </c>
    </row>
    <row r="27" spans="2:28" x14ac:dyDescent="0.75">
      <c r="B27" s="610" t="s">
        <v>241</v>
      </c>
      <c r="C27" s="610" t="s">
        <v>21</v>
      </c>
      <c r="D27" s="611"/>
      <c r="E27" s="612">
        <v>2018</v>
      </c>
      <c r="F27" s="617">
        <v>18.518000000000001</v>
      </c>
      <c r="G27" s="618">
        <v>1397</v>
      </c>
      <c r="H27" s="618">
        <v>1397</v>
      </c>
      <c r="I27" s="618" t="s">
        <v>761</v>
      </c>
      <c r="J27" s="79"/>
      <c r="K27" s="618">
        <v>2018</v>
      </c>
      <c r="L27" s="619">
        <v>309</v>
      </c>
      <c r="M27" s="619">
        <v>71</v>
      </c>
      <c r="N27" s="79"/>
      <c r="O27" s="618">
        <v>2018</v>
      </c>
      <c r="P27" s="618">
        <v>320</v>
      </c>
      <c r="Q27" s="79"/>
      <c r="R27" s="620">
        <v>1.2062930562998921</v>
      </c>
      <c r="S27" s="449">
        <f t="shared" si="2"/>
        <v>1430.9071114614123</v>
      </c>
      <c r="T27" s="449">
        <f t="shared" si="3"/>
        <v>389.22312265951086</v>
      </c>
      <c r="U27" s="449">
        <f t="shared" si="0"/>
        <v>389.22312265951086</v>
      </c>
      <c r="V27" s="449">
        <f t="shared" si="4"/>
        <v>327.76684013432492</v>
      </c>
      <c r="W27" s="621">
        <f t="shared" si="5"/>
        <v>2537.1201969147592</v>
      </c>
      <c r="Y27" s="452">
        <f>VLOOKUP($C27,'WB Population Data'!$C$6:$D$269,2,FALSE)</f>
        <v>772000</v>
      </c>
      <c r="Z27" s="453">
        <f t="shared" si="6"/>
        <v>0.504175029351698</v>
      </c>
      <c r="AA27" s="622" t="str">
        <f>INDEX('HCW + Staff Summary'!$E$7:$E$270,MATCH($C27,'HCW + Staff Summary'!$C$7:$C$270,0))</f>
        <v>Lower middle income</v>
      </c>
      <c r="AB27" s="620">
        <f t="shared" si="1"/>
        <v>0.504175029351698</v>
      </c>
    </row>
    <row r="28" spans="2:28" x14ac:dyDescent="0.75">
      <c r="B28" s="610" t="s">
        <v>1168</v>
      </c>
      <c r="C28" s="610" t="s">
        <v>18</v>
      </c>
      <c r="D28" s="611"/>
      <c r="E28" s="612">
        <v>2017</v>
      </c>
      <c r="F28" s="617">
        <v>15.589</v>
      </c>
      <c r="G28" s="618">
        <v>17449</v>
      </c>
      <c r="H28" s="618">
        <v>17449</v>
      </c>
      <c r="I28" s="618" t="s">
        <v>761</v>
      </c>
      <c r="J28" s="79"/>
      <c r="K28" s="618">
        <v>2011</v>
      </c>
      <c r="L28" s="619"/>
      <c r="M28" s="619">
        <v>562</v>
      </c>
      <c r="N28" s="79"/>
      <c r="O28" s="618">
        <v>2016</v>
      </c>
      <c r="P28" s="618">
        <v>17542</v>
      </c>
      <c r="Q28" s="79"/>
      <c r="R28" s="620">
        <v>1.4818317831607579</v>
      </c>
      <c r="S28" s="449">
        <f t="shared" si="2"/>
        <v>18236.245747250869</v>
      </c>
      <c r="T28" s="449">
        <f t="shared" si="3"/>
        <v>641.55071847677425</v>
      </c>
      <c r="U28" s="449">
        <f t="shared" si="0"/>
        <v>641.55071847677425</v>
      </c>
      <c r="V28" s="449">
        <f t="shared" si="4"/>
        <v>18605.112388995556</v>
      </c>
      <c r="W28" s="621">
        <f t="shared" si="5"/>
        <v>38124.459573199973</v>
      </c>
      <c r="Y28" s="452">
        <f>VLOOKUP($C28,'WB Population Data'!$C$6:$D$269,2,FALSE)</f>
        <v>11673000</v>
      </c>
      <c r="Z28" s="453">
        <f t="shared" si="6"/>
        <v>5.4960226032448746E-2</v>
      </c>
      <c r="AA28" s="622" t="str">
        <f>INDEX('HCW + Staff Summary'!$E$7:$E$270,MATCH($C28,'HCW + Staff Summary'!$C$7:$C$270,0))</f>
        <v>Lower middle income</v>
      </c>
      <c r="AB28" s="620">
        <f t="shared" si="1"/>
        <v>5.4960226032448746E-2</v>
      </c>
    </row>
    <row r="29" spans="2:28" x14ac:dyDescent="0.75">
      <c r="B29" s="610" t="s">
        <v>336</v>
      </c>
      <c r="C29" s="610" t="s">
        <v>15</v>
      </c>
      <c r="D29" s="611"/>
      <c r="E29" s="612">
        <v>2018</v>
      </c>
      <c r="F29" s="617">
        <v>57.332999999999998</v>
      </c>
      <c r="G29" s="618">
        <v>19057</v>
      </c>
      <c r="H29" s="618">
        <v>19057</v>
      </c>
      <c r="I29" s="618" t="s">
        <v>761</v>
      </c>
      <c r="J29" s="79"/>
      <c r="K29" s="618"/>
      <c r="L29" s="619"/>
      <c r="M29" s="619"/>
      <c r="N29" s="79"/>
      <c r="O29" s="618">
        <v>2015</v>
      </c>
      <c r="P29" s="618">
        <v>7413</v>
      </c>
      <c r="Q29" s="79"/>
      <c r="R29" s="620">
        <v>-1.274296305410179</v>
      </c>
      <c r="S29" s="449">
        <f t="shared" si="2"/>
        <v>18574.409241033653</v>
      </c>
      <c r="T29" s="449">
        <f t="shared" si="3"/>
        <v>0</v>
      </c>
      <c r="U29" s="449">
        <f t="shared" si="0"/>
        <v>721.17770978968679</v>
      </c>
      <c r="V29" s="449">
        <f t="shared" si="4"/>
        <v>6952.5671160954862</v>
      </c>
      <c r="W29" s="621">
        <f t="shared" si="5"/>
        <v>26248.154066918825</v>
      </c>
      <c r="Y29" s="452">
        <f>VLOOKUP($C29,'WB Population Data'!$C$6:$D$269,2,FALSE)</f>
        <v>3281000</v>
      </c>
      <c r="Z29" s="453">
        <f t="shared" si="6"/>
        <v>0</v>
      </c>
      <c r="AA29" s="622" t="str">
        <f>INDEX('HCW + Staff Summary'!$E$7:$E$270,MATCH($C29,'HCW + Staff Summary'!$C$7:$C$270,0))</f>
        <v>Upper middle income</v>
      </c>
      <c r="AB29" s="620">
        <f t="shared" si="1"/>
        <v>0.21980423949700909</v>
      </c>
    </row>
    <row r="30" spans="2:28" x14ac:dyDescent="0.75">
      <c r="B30" s="610" t="s">
        <v>184</v>
      </c>
      <c r="C30" s="610" t="s">
        <v>22</v>
      </c>
      <c r="D30" s="611"/>
      <c r="E30" s="612">
        <v>2018</v>
      </c>
      <c r="F30" s="617">
        <v>54.03</v>
      </c>
      <c r="G30" s="618">
        <v>12179</v>
      </c>
      <c r="H30" s="618">
        <v>12179</v>
      </c>
      <c r="I30" s="618" t="s">
        <v>761</v>
      </c>
      <c r="J30" s="79"/>
      <c r="K30" s="618">
        <v>2009</v>
      </c>
      <c r="L30" s="619"/>
      <c r="M30" s="619">
        <v>317</v>
      </c>
      <c r="N30" s="79"/>
      <c r="O30" s="618">
        <v>2016</v>
      </c>
      <c r="P30" s="618">
        <v>1138</v>
      </c>
      <c r="Q30" s="79"/>
      <c r="R30" s="620">
        <v>1.7765204211299299</v>
      </c>
      <c r="S30" s="449">
        <f t="shared" si="2"/>
        <v>12615.568566790897</v>
      </c>
      <c r="T30" s="449">
        <f t="shared" si="3"/>
        <v>384.75374048742515</v>
      </c>
      <c r="U30" s="449">
        <f t="shared" si="0"/>
        <v>384.75374048742515</v>
      </c>
      <c r="V30" s="449">
        <f t="shared" si="4"/>
        <v>1221.0477785501939</v>
      </c>
      <c r="W30" s="621">
        <f t="shared" si="5"/>
        <v>14606.123826315941</v>
      </c>
      <c r="Y30" s="452">
        <f>VLOOKUP($C30,'WB Population Data'!$C$6:$D$269,2,FALSE)</f>
        <v>2352000</v>
      </c>
      <c r="Z30" s="453">
        <f t="shared" si="6"/>
        <v>0.16358577401676239</v>
      </c>
      <c r="AA30" s="622" t="str">
        <f>INDEX('HCW + Staff Summary'!$E$7:$E$270,MATCH($C30,'HCW + Staff Summary'!$C$7:$C$270,0))</f>
        <v>Upper middle income</v>
      </c>
      <c r="AB30" s="620">
        <f t="shared" si="1"/>
        <v>0.16358577401676239</v>
      </c>
    </row>
    <row r="31" spans="2:28" x14ac:dyDescent="0.75">
      <c r="B31" s="610" t="s">
        <v>337</v>
      </c>
      <c r="C31" s="610" t="s">
        <v>19</v>
      </c>
      <c r="D31" s="611"/>
      <c r="E31" s="612">
        <v>2018</v>
      </c>
      <c r="F31" s="617">
        <v>101.19</v>
      </c>
      <c r="G31" s="618">
        <v>2119620</v>
      </c>
      <c r="H31" s="618">
        <v>2119620</v>
      </c>
      <c r="I31" s="618" t="s">
        <v>761</v>
      </c>
      <c r="J31" s="79"/>
      <c r="K31" s="618">
        <v>2017</v>
      </c>
      <c r="L31" s="619"/>
      <c r="M31" s="619">
        <v>43744</v>
      </c>
      <c r="N31" s="79"/>
      <c r="O31" s="618">
        <v>2018</v>
      </c>
      <c r="P31" s="618">
        <v>453351</v>
      </c>
      <c r="Q31" s="79"/>
      <c r="R31" s="620">
        <v>0.82187665574229141</v>
      </c>
      <c r="S31" s="449">
        <f t="shared" si="2"/>
        <v>2154604.5002949005</v>
      </c>
      <c r="T31" s="449">
        <f t="shared" si="3"/>
        <v>44831.453933254365</v>
      </c>
      <c r="U31" s="449">
        <f t="shared" si="0"/>
        <v>44831.453933254365</v>
      </c>
      <c r="V31" s="449">
        <f t="shared" si="4"/>
        <v>460833.59508458746</v>
      </c>
      <c r="W31" s="621">
        <f t="shared" si="5"/>
        <v>2705101.0032459968</v>
      </c>
      <c r="Y31" s="452">
        <f>VLOOKUP($C31,'WB Population Data'!$C$6:$D$269,2,FALSE)</f>
        <v>212559000</v>
      </c>
      <c r="Z31" s="453">
        <f t="shared" si="6"/>
        <v>0.21091298855025833</v>
      </c>
      <c r="AA31" s="622" t="str">
        <f>INDEX('HCW + Staff Summary'!$E$7:$E$270,MATCH($C31,'HCW + Staff Summary'!$C$7:$C$270,0))</f>
        <v>Upper middle income</v>
      </c>
      <c r="AB31" s="620">
        <f t="shared" si="1"/>
        <v>0.21091298855025833</v>
      </c>
    </row>
    <row r="32" spans="2:28" x14ac:dyDescent="0.75">
      <c r="B32" s="610" t="s">
        <v>340</v>
      </c>
      <c r="C32" s="610" t="s">
        <v>20</v>
      </c>
      <c r="D32" s="611"/>
      <c r="E32" s="612">
        <v>2018</v>
      </c>
      <c r="F32" s="617">
        <v>58.973999999999997</v>
      </c>
      <c r="G32" s="618">
        <v>2530</v>
      </c>
      <c r="H32" s="618">
        <v>2530</v>
      </c>
      <c r="I32" s="618" t="s">
        <v>761</v>
      </c>
      <c r="J32" s="79"/>
      <c r="K32" s="618">
        <v>2015</v>
      </c>
      <c r="L32" s="619">
        <v>113</v>
      </c>
      <c r="M32" s="619">
        <v>27</v>
      </c>
      <c r="N32" s="79"/>
      <c r="O32" s="618">
        <v>2017</v>
      </c>
      <c r="P32" s="618">
        <v>683</v>
      </c>
      <c r="Q32" s="79"/>
      <c r="R32" s="620">
        <v>1.178238446694436</v>
      </c>
      <c r="S32" s="449">
        <f t="shared" si="2"/>
        <v>2589.9700915995677</v>
      </c>
      <c r="T32" s="449">
        <f t="shared" si="3"/>
        <v>148.44432702492105</v>
      </c>
      <c r="U32" s="449">
        <f t="shared" si="0"/>
        <v>148.44432702492105</v>
      </c>
      <c r="V32" s="449">
        <f t="shared" si="4"/>
        <v>707.42767451742031</v>
      </c>
      <c r="W32" s="621">
        <f t="shared" si="5"/>
        <v>3594.2864201668303</v>
      </c>
      <c r="Y32" s="452">
        <f>VLOOKUP($C32,'WB Population Data'!$C$6:$D$269,2,FALSE)</f>
        <v>437000</v>
      </c>
      <c r="Z32" s="453">
        <f t="shared" si="6"/>
        <v>0.33968953552613512</v>
      </c>
      <c r="AA32" s="622" t="str">
        <f>INDEX('HCW + Staff Summary'!$E$7:$E$270,MATCH($C32,'HCW + Staff Summary'!$C$7:$C$270,0))</f>
        <v>High income</v>
      </c>
      <c r="AB32" s="620">
        <f t="shared" si="1"/>
        <v>0.33968953552613512</v>
      </c>
    </row>
    <row r="33" spans="2:28" x14ac:dyDescent="0.75">
      <c r="B33" s="610" t="s">
        <v>341</v>
      </c>
      <c r="C33" s="610" t="s">
        <v>12</v>
      </c>
      <c r="D33" s="611"/>
      <c r="E33" s="612">
        <v>2015</v>
      </c>
      <c r="F33" s="617">
        <v>48.155999999999999</v>
      </c>
      <c r="G33" s="618">
        <v>34671</v>
      </c>
      <c r="H33" s="618">
        <v>31397</v>
      </c>
      <c r="I33" s="618">
        <v>3274</v>
      </c>
      <c r="J33" s="79"/>
      <c r="K33" s="618"/>
      <c r="L33" s="619"/>
      <c r="M33" s="619"/>
      <c r="N33" s="79"/>
      <c r="O33" s="618">
        <v>2015</v>
      </c>
      <c r="P33" s="618">
        <v>29038</v>
      </c>
      <c r="Q33" s="79"/>
      <c r="R33" s="620">
        <v>-0.6744103729439046</v>
      </c>
      <c r="S33" s="449">
        <f t="shared" si="2"/>
        <v>30352.461169817703</v>
      </c>
      <c r="T33" s="449">
        <f t="shared" si="3"/>
        <v>0</v>
      </c>
      <c r="U33" s="449">
        <f t="shared" si="0"/>
        <v>1520.1661203613148</v>
      </c>
      <c r="V33" s="449">
        <f t="shared" si="4"/>
        <v>28071.942142534841</v>
      </c>
      <c r="W33" s="621">
        <f t="shared" si="5"/>
        <v>59944.569432713863</v>
      </c>
      <c r="Y33" s="452">
        <f>VLOOKUP($C33,'WB Population Data'!$C$6:$D$269,2,FALSE)</f>
        <v>6916000</v>
      </c>
      <c r="Z33" s="453">
        <f t="shared" si="6"/>
        <v>0</v>
      </c>
      <c r="AA33" s="622" t="str">
        <f>INDEX('HCW + Staff Summary'!$E$7:$E$270,MATCH($C33,'HCW + Staff Summary'!$C$7:$C$270,0))</f>
        <v>Upper middle income</v>
      </c>
      <c r="AB33" s="620">
        <f t="shared" si="1"/>
        <v>0.21980423949700909</v>
      </c>
    </row>
    <row r="34" spans="2:28" x14ac:dyDescent="0.75">
      <c r="B34" s="610" t="s">
        <v>185</v>
      </c>
      <c r="C34" s="610" t="s">
        <v>10</v>
      </c>
      <c r="D34" s="611"/>
      <c r="E34" s="612">
        <v>2017</v>
      </c>
      <c r="F34" s="617">
        <v>8.8290000000000006</v>
      </c>
      <c r="G34" s="618">
        <v>16945</v>
      </c>
      <c r="H34" s="618">
        <v>10376</v>
      </c>
      <c r="I34" s="618">
        <v>6569</v>
      </c>
      <c r="J34" s="79"/>
      <c r="K34" s="618">
        <v>2017</v>
      </c>
      <c r="L34" s="619">
        <v>699</v>
      </c>
      <c r="M34" s="619"/>
      <c r="N34" s="79"/>
      <c r="O34" s="618">
        <v>2017</v>
      </c>
      <c r="P34" s="618">
        <v>1626</v>
      </c>
      <c r="Q34" s="79"/>
      <c r="R34" s="620">
        <v>2.9149224069383242</v>
      </c>
      <c r="S34" s="449">
        <f t="shared" si="2"/>
        <v>11310.062787585086</v>
      </c>
      <c r="T34" s="449">
        <f t="shared" si="3"/>
        <v>761.92500853141621</v>
      </c>
      <c r="U34" s="449">
        <f t="shared" si="0"/>
        <v>761.92500853141621</v>
      </c>
      <c r="V34" s="449">
        <f t="shared" si="4"/>
        <v>1772.3749125494746</v>
      </c>
      <c r="W34" s="621">
        <f t="shared" si="5"/>
        <v>14606.287717197392</v>
      </c>
      <c r="Y34" s="452">
        <f>VLOOKUP($C34,'WB Population Data'!$C$6:$D$269,2,FALSE)</f>
        <v>20903000</v>
      </c>
      <c r="Z34" s="453">
        <f t="shared" si="6"/>
        <v>3.645050990438771E-2</v>
      </c>
      <c r="AA34" s="622" t="str">
        <f>INDEX('HCW + Staff Summary'!$E$7:$E$270,MATCH($C34,'HCW + Staff Summary'!$C$7:$C$270,0))</f>
        <v>Low income</v>
      </c>
      <c r="AB34" s="620">
        <f t="shared" si="1"/>
        <v>3.645050990438771E-2</v>
      </c>
    </row>
    <row r="35" spans="2:28" x14ac:dyDescent="0.75">
      <c r="B35" s="610" t="s">
        <v>186</v>
      </c>
      <c r="C35" s="610" t="s">
        <v>7</v>
      </c>
      <c r="D35" s="611"/>
      <c r="E35" s="612">
        <v>2017</v>
      </c>
      <c r="F35" s="617">
        <v>8.5259999999999998</v>
      </c>
      <c r="G35" s="618">
        <v>9231</v>
      </c>
      <c r="H35" s="618">
        <v>9071</v>
      </c>
      <c r="I35" s="618">
        <v>160</v>
      </c>
      <c r="J35" s="79"/>
      <c r="K35" s="618">
        <v>2017</v>
      </c>
      <c r="L35" s="619">
        <v>1073</v>
      </c>
      <c r="M35" s="619"/>
      <c r="N35" s="79"/>
      <c r="O35" s="618">
        <v>2017</v>
      </c>
      <c r="P35" s="618">
        <v>1084</v>
      </c>
      <c r="Q35" s="79"/>
      <c r="R35" s="620">
        <v>3.1637837385702836</v>
      </c>
      <c r="S35" s="449">
        <f t="shared" si="2"/>
        <v>9959.4866563347186</v>
      </c>
      <c r="T35" s="449">
        <f t="shared" si="3"/>
        <v>1178.098245204184</v>
      </c>
      <c r="U35" s="449">
        <f t="shared" si="0"/>
        <v>1178.098245204184</v>
      </c>
      <c r="V35" s="449">
        <f t="shared" si="4"/>
        <v>1190.1756736265941</v>
      </c>
      <c r="W35" s="621">
        <f t="shared" si="5"/>
        <v>13505.858820369682</v>
      </c>
      <c r="Y35" s="452">
        <f>VLOOKUP($C35,'WB Population Data'!$C$6:$D$269,2,FALSE)</f>
        <v>11891000</v>
      </c>
      <c r="Z35" s="453">
        <f t="shared" si="6"/>
        <v>9.9074783046353046E-2</v>
      </c>
      <c r="AA35" s="622" t="str">
        <f>INDEX('HCW + Staff Summary'!$E$7:$E$270,MATCH($C35,'HCW + Staff Summary'!$C$7:$C$270,0))</f>
        <v>Low income</v>
      </c>
      <c r="AB35" s="620">
        <f t="shared" si="1"/>
        <v>9.9074783046353046E-2</v>
      </c>
    </row>
    <row r="36" spans="2:28" x14ac:dyDescent="0.75">
      <c r="B36" s="610" t="s">
        <v>342</v>
      </c>
      <c r="C36" s="610" t="s">
        <v>30</v>
      </c>
      <c r="D36" s="611"/>
      <c r="E36" s="612">
        <v>2018</v>
      </c>
      <c r="F36" s="617">
        <v>12.983000000000001</v>
      </c>
      <c r="G36" s="618">
        <v>706</v>
      </c>
      <c r="H36" s="618">
        <v>706</v>
      </c>
      <c r="I36" s="618" t="s">
        <v>761</v>
      </c>
      <c r="J36" s="79"/>
      <c r="K36" s="618"/>
      <c r="L36" s="619"/>
      <c r="M36" s="619"/>
      <c r="N36" s="79"/>
      <c r="O36" s="618">
        <v>2015</v>
      </c>
      <c r="P36" s="618">
        <v>410</v>
      </c>
      <c r="Q36" s="79"/>
      <c r="R36" s="620">
        <v>1.2137705981301661</v>
      </c>
      <c r="S36" s="449">
        <f t="shared" si="2"/>
        <v>723.24245152357878</v>
      </c>
      <c r="T36" s="449">
        <f t="shared" si="3"/>
        <v>0</v>
      </c>
      <c r="U36" s="449">
        <f t="shared" si="0"/>
        <v>153.31081084883172</v>
      </c>
      <c r="V36" s="449">
        <f t="shared" si="4"/>
        <v>435.49370139463559</v>
      </c>
      <c r="W36" s="621">
        <f t="shared" si="5"/>
        <v>1312.046963767046</v>
      </c>
      <c r="Y36" s="452">
        <f>VLOOKUP($C36,'WB Population Data'!$C$6:$D$269,2,FALSE)</f>
        <v>556000</v>
      </c>
      <c r="Z36" s="453">
        <f t="shared" si="6"/>
        <v>0</v>
      </c>
      <c r="AA36" s="622" t="str">
        <f>INDEX('HCW + Staff Summary'!$E$7:$E$270,MATCH($C36,'HCW + Staff Summary'!$C$7:$C$270,0))</f>
        <v>Lower middle income</v>
      </c>
      <c r="AB36" s="620">
        <f t="shared" si="1"/>
        <v>0.2757388684331506</v>
      </c>
    </row>
    <row r="37" spans="2:28" x14ac:dyDescent="0.75">
      <c r="B37" s="610" t="s">
        <v>247</v>
      </c>
      <c r="C37" s="610" t="s">
        <v>72</v>
      </c>
      <c r="D37" s="611"/>
      <c r="E37" s="612">
        <v>2018</v>
      </c>
      <c r="F37" s="617">
        <v>6.8550000000000004</v>
      </c>
      <c r="G37" s="618">
        <v>11140</v>
      </c>
      <c r="H37" s="618">
        <v>11140</v>
      </c>
      <c r="I37" s="618" t="s">
        <v>761</v>
      </c>
      <c r="J37" s="79"/>
      <c r="K37" s="618">
        <v>2014</v>
      </c>
      <c r="L37" s="619">
        <v>554</v>
      </c>
      <c r="M37" s="619"/>
      <c r="N37" s="79"/>
      <c r="O37" s="618">
        <v>2014</v>
      </c>
      <c r="P37" s="618">
        <v>2944</v>
      </c>
      <c r="Q37" s="79"/>
      <c r="R37" s="620">
        <v>1.5655269838220722</v>
      </c>
      <c r="S37" s="449">
        <f t="shared" si="2"/>
        <v>11491.529686452657</v>
      </c>
      <c r="T37" s="449">
        <f t="shared" si="3"/>
        <v>608.11780911545327</v>
      </c>
      <c r="U37" s="449">
        <f t="shared" si="0"/>
        <v>608.11780911545327</v>
      </c>
      <c r="V37" s="449">
        <f t="shared" si="4"/>
        <v>3231.5863358048637</v>
      </c>
      <c r="W37" s="621">
        <f t="shared" si="5"/>
        <v>15939.351640488425</v>
      </c>
      <c r="Y37" s="452">
        <f>VLOOKUP($C37,'WB Population Data'!$C$6:$D$269,2,FALSE)</f>
        <v>16719000</v>
      </c>
      <c r="Z37" s="453">
        <f t="shared" si="6"/>
        <v>3.6372857773518348E-2</v>
      </c>
      <c r="AA37" s="622" t="str">
        <f>INDEX('HCW + Staff Summary'!$E$7:$E$270,MATCH($C37,'HCW + Staff Summary'!$C$7:$C$270,0))</f>
        <v>Lower middle income</v>
      </c>
      <c r="AB37" s="620">
        <f t="shared" si="1"/>
        <v>3.6372857773518348E-2</v>
      </c>
    </row>
    <row r="38" spans="2:28" x14ac:dyDescent="0.75">
      <c r="B38" s="610" t="s">
        <v>187</v>
      </c>
      <c r="C38" s="610" t="s">
        <v>27</v>
      </c>
      <c r="D38" s="611"/>
      <c r="E38" s="612">
        <v>2011</v>
      </c>
      <c r="F38" s="617">
        <v>9.1639999999999997</v>
      </c>
      <c r="G38" s="618">
        <v>19159</v>
      </c>
      <c r="H38" s="618">
        <v>18954</v>
      </c>
      <c r="I38" s="618">
        <v>205</v>
      </c>
      <c r="J38" s="79"/>
      <c r="K38" s="618">
        <v>2004</v>
      </c>
      <c r="L38" s="619"/>
      <c r="M38" s="619">
        <v>1793</v>
      </c>
      <c r="N38" s="79"/>
      <c r="O38" s="618">
        <v>2011</v>
      </c>
      <c r="P38" s="618">
        <v>1842</v>
      </c>
      <c r="Q38" s="79"/>
      <c r="R38" s="620">
        <v>2.6587654338687443</v>
      </c>
      <c r="S38" s="449">
        <f t="shared" si="2"/>
        <v>24002.982626072975</v>
      </c>
      <c r="T38" s="449">
        <f t="shared" si="3"/>
        <v>2728.4555577792175</v>
      </c>
      <c r="U38" s="449">
        <f t="shared" si="0"/>
        <v>2728.4555577792175</v>
      </c>
      <c r="V38" s="449">
        <f t="shared" si="4"/>
        <v>2332.6735252308968</v>
      </c>
      <c r="W38" s="621">
        <f t="shared" si="5"/>
        <v>31792.567266862305</v>
      </c>
      <c r="Y38" s="452">
        <f>VLOOKUP($C38,'WB Population Data'!$C$6:$D$269,2,FALSE)</f>
        <v>26546000</v>
      </c>
      <c r="Z38" s="453">
        <f t="shared" si="6"/>
        <v>0.1027821727484072</v>
      </c>
      <c r="AA38" s="622" t="str">
        <f>INDEX('HCW + Staff Summary'!$E$7:$E$270,MATCH($C38,'HCW + Staff Summary'!$C$7:$C$270,0))</f>
        <v>Lower middle income</v>
      </c>
      <c r="AB38" s="620">
        <f t="shared" si="1"/>
        <v>0.1027821727484072</v>
      </c>
    </row>
    <row r="39" spans="2:28" x14ac:dyDescent="0.75">
      <c r="B39" s="610" t="s">
        <v>343</v>
      </c>
      <c r="C39" s="610" t="s">
        <v>159</v>
      </c>
      <c r="D39" s="611"/>
      <c r="E39" s="612">
        <v>2018</v>
      </c>
      <c r="F39" s="617">
        <v>99.438000000000002</v>
      </c>
      <c r="G39" s="618">
        <v>368664</v>
      </c>
      <c r="H39" s="618">
        <v>368664</v>
      </c>
      <c r="I39" s="618" t="s">
        <v>761</v>
      </c>
      <c r="J39" s="79"/>
      <c r="K39" s="618"/>
      <c r="L39" s="619"/>
      <c r="M39" s="619"/>
      <c r="N39" s="79"/>
      <c r="O39" s="618">
        <v>2016</v>
      </c>
      <c r="P39" s="618">
        <v>84063</v>
      </c>
      <c r="Q39" s="79"/>
      <c r="R39" s="620">
        <v>1.0958396007014266</v>
      </c>
      <c r="S39" s="449">
        <f t="shared" si="2"/>
        <v>376788.20375949919</v>
      </c>
      <c r="T39" s="449">
        <f t="shared" si="3"/>
        <v>0</v>
      </c>
      <c r="U39" s="449">
        <f t="shared" si="0"/>
        <v>20594.307706514686</v>
      </c>
      <c r="V39" s="449">
        <f t="shared" si="4"/>
        <v>87808.795238806066</v>
      </c>
      <c r="W39" s="621">
        <f t="shared" si="5"/>
        <v>485191.3067048199</v>
      </c>
      <c r="Y39" s="452">
        <f>VLOOKUP($C39,'WB Population Data'!$C$6:$D$269,2,FALSE)</f>
        <v>37684000</v>
      </c>
      <c r="Z39" s="453">
        <f t="shared" si="6"/>
        <v>0</v>
      </c>
      <c r="AA39" s="622" t="str">
        <f>INDEX('HCW + Staff Summary'!$E$7:$E$270,MATCH($C39,'HCW + Staff Summary'!$C$7:$C$270,0))</f>
        <v>High income</v>
      </c>
      <c r="AB39" s="620">
        <f t="shared" si="1"/>
        <v>0.54650004528486062</v>
      </c>
    </row>
    <row r="40" spans="2:28" x14ac:dyDescent="0.75">
      <c r="B40" s="610" t="s">
        <v>188</v>
      </c>
      <c r="C40" s="610" t="s">
        <v>173</v>
      </c>
      <c r="D40" s="611"/>
      <c r="E40" s="612">
        <v>2015</v>
      </c>
      <c r="F40" s="617">
        <v>2.0630000000000002</v>
      </c>
      <c r="G40" s="618">
        <v>927</v>
      </c>
      <c r="H40" s="618">
        <v>322</v>
      </c>
      <c r="I40" s="618">
        <v>605</v>
      </c>
      <c r="J40" s="79"/>
      <c r="K40" s="618">
        <v>2009</v>
      </c>
      <c r="L40" s="619"/>
      <c r="M40" s="619">
        <v>40</v>
      </c>
      <c r="N40" s="79"/>
      <c r="O40" s="618">
        <v>2015</v>
      </c>
      <c r="P40" s="618">
        <v>324</v>
      </c>
      <c r="Q40" s="79"/>
      <c r="R40" s="620">
        <v>0.95882900594293885</v>
      </c>
      <c r="S40" s="449">
        <f t="shared" si="2"/>
        <v>337.73603075350144</v>
      </c>
      <c r="T40" s="449">
        <f t="shared" si="3"/>
        <v>44.427036295484982</v>
      </c>
      <c r="U40" s="449">
        <f t="shared" ref="U40:U71" si="7">IF(T40=0,INDEX($AE$9:$AE$13,MATCH($AA40,$AD$9:$AD$13,0))*$Y40/1000,T40)</f>
        <v>44.427036295484982</v>
      </c>
      <c r="V40" s="449">
        <f t="shared" si="4"/>
        <v>339.83377007495176</v>
      </c>
      <c r="W40" s="621">
        <f t="shared" si="5"/>
        <v>766.42387341942322</v>
      </c>
      <c r="Y40" s="452">
        <f>VLOOKUP($C40,'WB Population Data'!$C$6:$D$269,2,FALSE)</f>
        <v>4830000</v>
      </c>
      <c r="Z40" s="453">
        <f t="shared" si="6"/>
        <v>9.1981441605558968E-3</v>
      </c>
      <c r="AA40" s="622" t="str">
        <f>INDEX('HCW + Staff Summary'!$E$7:$E$270,MATCH($C40,'HCW + Staff Summary'!$C$7:$C$270,0))</f>
        <v>Low income</v>
      </c>
      <c r="AB40" s="620">
        <f t="shared" ref="AB40:AB71" si="8">IF(Z40=0,INDEX($AE$9:$AE$13,MATCH($AA40,$AD$9:$AD$13,0)),Z40)</f>
        <v>9.1981441605558968E-3</v>
      </c>
    </row>
    <row r="41" spans="2:28" x14ac:dyDescent="0.75">
      <c r="B41" s="610" t="s">
        <v>189</v>
      </c>
      <c r="C41" s="610" t="s">
        <v>169</v>
      </c>
      <c r="D41" s="611"/>
      <c r="E41" s="612">
        <v>2017</v>
      </c>
      <c r="F41" s="617">
        <v>2.3220000000000001</v>
      </c>
      <c r="G41" s="618">
        <v>3487</v>
      </c>
      <c r="H41" s="618">
        <v>3487</v>
      </c>
      <c r="I41" s="618" t="s">
        <v>761</v>
      </c>
      <c r="J41" s="79"/>
      <c r="K41" s="618">
        <v>2004</v>
      </c>
      <c r="L41" s="619">
        <v>111</v>
      </c>
      <c r="M41" s="619">
        <v>195</v>
      </c>
      <c r="N41" s="79"/>
      <c r="O41" s="618">
        <v>2017</v>
      </c>
      <c r="P41" s="618">
        <v>651</v>
      </c>
      <c r="Q41" s="79"/>
      <c r="R41" s="620">
        <v>3.1528133368521303</v>
      </c>
      <c r="S41" s="449">
        <f t="shared" si="2"/>
        <v>3827.3235613167644</v>
      </c>
      <c r="T41" s="449">
        <f t="shared" si="3"/>
        <v>502.82708326517712</v>
      </c>
      <c r="U41" s="449">
        <f t="shared" si="7"/>
        <v>502.82708326517712</v>
      </c>
      <c r="V41" s="449">
        <f t="shared" si="4"/>
        <v>714.53617390800514</v>
      </c>
      <c r="W41" s="621">
        <f t="shared" si="5"/>
        <v>5547.5139017551237</v>
      </c>
      <c r="Y41" s="452">
        <f>VLOOKUP($C41,'WB Population Data'!$C$6:$D$269,2,FALSE)</f>
        <v>16426000</v>
      </c>
      <c r="Z41" s="453">
        <f t="shared" si="6"/>
        <v>3.061165732772295E-2</v>
      </c>
      <c r="AA41" s="622" t="str">
        <f>INDEX('HCW + Staff Summary'!$E$7:$E$270,MATCH($C41,'HCW + Staff Summary'!$C$7:$C$270,0))</f>
        <v>Low income</v>
      </c>
      <c r="AB41" s="620">
        <f t="shared" si="8"/>
        <v>3.061165732772295E-2</v>
      </c>
    </row>
    <row r="42" spans="2:28" x14ac:dyDescent="0.75">
      <c r="B42" s="610" t="s">
        <v>220</v>
      </c>
      <c r="C42" s="610" t="s">
        <v>24</v>
      </c>
      <c r="D42" s="611"/>
      <c r="E42" s="612">
        <v>2018</v>
      </c>
      <c r="F42" s="617">
        <v>133.24799999999999</v>
      </c>
      <c r="G42" s="618">
        <v>249563</v>
      </c>
      <c r="H42" s="618">
        <v>236427</v>
      </c>
      <c r="I42" s="618">
        <v>13136</v>
      </c>
      <c r="J42" s="79"/>
      <c r="K42" s="618">
        <v>2009</v>
      </c>
      <c r="L42" s="619">
        <v>29</v>
      </c>
      <c r="M42" s="619"/>
      <c r="N42" s="79"/>
      <c r="O42" s="618">
        <v>2018</v>
      </c>
      <c r="P42" s="618">
        <v>48531</v>
      </c>
      <c r="Q42" s="79"/>
      <c r="R42" s="620">
        <v>1.2760599578166421</v>
      </c>
      <c r="S42" s="449">
        <f t="shared" si="2"/>
        <v>242499.39864735951</v>
      </c>
      <c r="T42" s="449">
        <f t="shared" si="3"/>
        <v>33.340550569738824</v>
      </c>
      <c r="U42" s="449">
        <f t="shared" si="7"/>
        <v>33.340550569738824</v>
      </c>
      <c r="V42" s="449">
        <f t="shared" si="4"/>
        <v>49777.471759803258</v>
      </c>
      <c r="W42" s="621">
        <f t="shared" si="5"/>
        <v>292343.55150830222</v>
      </c>
      <c r="Y42" s="452">
        <f>VLOOKUP($C42,'WB Population Data'!$C$6:$D$269,2,FALSE)</f>
        <v>19116000</v>
      </c>
      <c r="Z42" s="453">
        <f t="shared" si="6"/>
        <v>1.7441175230037051E-3</v>
      </c>
      <c r="AA42" s="622" t="str">
        <f>INDEX('HCW + Staff Summary'!$E$7:$E$270,MATCH($C42,'HCW + Staff Summary'!$C$7:$C$270,0))</f>
        <v>High income</v>
      </c>
      <c r="AB42" s="620">
        <f t="shared" si="8"/>
        <v>1.7441175230037051E-3</v>
      </c>
    </row>
    <row r="43" spans="2:28" x14ac:dyDescent="0.75">
      <c r="B43" s="610" t="s">
        <v>352</v>
      </c>
      <c r="C43" s="610" t="s">
        <v>25</v>
      </c>
      <c r="D43" s="611"/>
      <c r="E43" s="612">
        <v>2017</v>
      </c>
      <c r="F43" s="617">
        <v>26.620999999999999</v>
      </c>
      <c r="G43" s="618">
        <v>3804021</v>
      </c>
      <c r="H43" s="618">
        <v>3804021</v>
      </c>
      <c r="I43" s="618" t="s">
        <v>761</v>
      </c>
      <c r="J43" s="79"/>
      <c r="K43" s="618">
        <v>2010</v>
      </c>
      <c r="L43" s="619"/>
      <c r="M43" s="619">
        <v>230572</v>
      </c>
      <c r="N43" s="79"/>
      <c r="O43" s="618">
        <v>2017</v>
      </c>
      <c r="P43" s="618">
        <v>2828999</v>
      </c>
      <c r="Q43" s="79"/>
      <c r="R43" s="620">
        <v>0.51418957216234529</v>
      </c>
      <c r="S43" s="449">
        <f t="shared" si="2"/>
        <v>3863002.8796391767</v>
      </c>
      <c r="T43" s="449">
        <f t="shared" si="3"/>
        <v>242705.89247035026</v>
      </c>
      <c r="U43" s="449">
        <f t="shared" si="7"/>
        <v>242705.89247035026</v>
      </c>
      <c r="V43" s="449">
        <f t="shared" si="4"/>
        <v>2872863.0266489987</v>
      </c>
      <c r="W43" s="621">
        <f t="shared" si="5"/>
        <v>7221277.6912288759</v>
      </c>
      <c r="Y43" s="452">
        <f>VLOOKUP($C43,'WB Population Data'!$C$6:$D$269,2,FALSE)</f>
        <v>1401379000</v>
      </c>
      <c r="Z43" s="453">
        <f t="shared" si="6"/>
        <v>0.17319075886705185</v>
      </c>
      <c r="AA43" s="622" t="str">
        <f>INDEX('HCW + Staff Summary'!$E$7:$E$270,MATCH($C43,'HCW + Staff Summary'!$C$7:$C$270,0))</f>
        <v>Upper middle income</v>
      </c>
      <c r="AB43" s="620">
        <f t="shared" si="8"/>
        <v>0.17319075886705185</v>
      </c>
    </row>
    <row r="44" spans="2:28" x14ac:dyDescent="0.75">
      <c r="B44" s="610" t="s">
        <v>353</v>
      </c>
      <c r="C44" s="610" t="s">
        <v>354</v>
      </c>
      <c r="D44" s="611"/>
      <c r="E44" s="612">
        <v>2018</v>
      </c>
      <c r="F44" s="617">
        <v>13.308999999999999</v>
      </c>
      <c r="G44" s="618">
        <v>66095</v>
      </c>
      <c r="H44" s="618">
        <v>66095</v>
      </c>
      <c r="I44" s="618" t="s">
        <v>761</v>
      </c>
      <c r="J44" s="79"/>
      <c r="K44" s="618"/>
      <c r="L44" s="619"/>
      <c r="M44" s="619"/>
      <c r="N44" s="79"/>
      <c r="O44" s="618">
        <v>2018</v>
      </c>
      <c r="P44" s="618">
        <v>108499</v>
      </c>
      <c r="Q44" s="79"/>
      <c r="R44" s="620">
        <v>1.3115673614032182</v>
      </c>
      <c r="S44" s="449">
        <f t="shared" si="2"/>
        <v>67840.130616050956</v>
      </c>
      <c r="T44" s="449">
        <f t="shared" si="3"/>
        <v>0</v>
      </c>
      <c r="U44" s="449">
        <f t="shared" si="7"/>
        <v>11184.299118326313</v>
      </c>
      <c r="V44" s="449">
        <f t="shared" si="4"/>
        <v>111363.73903791381</v>
      </c>
      <c r="W44" s="621">
        <f t="shared" si="5"/>
        <v>190388.16877229107</v>
      </c>
      <c r="Y44" s="452">
        <f>VLOOKUP($C44,'WB Population Data'!$C$6:$D$269,2,FALSE)</f>
        <v>50883000</v>
      </c>
      <c r="Z44" s="453">
        <f t="shared" si="6"/>
        <v>0</v>
      </c>
      <c r="AA44" s="622" t="str">
        <f>INDEX('HCW + Staff Summary'!$E$7:$E$270,MATCH($C44,'HCW + Staff Summary'!$C$7:$C$270,0))</f>
        <v>Upper middle income</v>
      </c>
      <c r="AB44" s="620">
        <f t="shared" si="8"/>
        <v>0.21980423949700909</v>
      </c>
    </row>
    <row r="45" spans="2:28" x14ac:dyDescent="0.75">
      <c r="B45" s="610" t="s">
        <v>190</v>
      </c>
      <c r="C45" s="610" t="s">
        <v>157</v>
      </c>
      <c r="D45" s="611"/>
      <c r="E45" s="612">
        <v>2009</v>
      </c>
      <c r="F45" s="617">
        <v>7.0250000000000004</v>
      </c>
      <c r="G45" s="618">
        <v>473</v>
      </c>
      <c r="H45" s="618">
        <v>274</v>
      </c>
      <c r="I45" s="618">
        <v>199</v>
      </c>
      <c r="J45" s="79"/>
      <c r="K45" s="618">
        <v>2012</v>
      </c>
      <c r="L45" s="619"/>
      <c r="M45" s="619">
        <v>86</v>
      </c>
      <c r="N45" s="79"/>
      <c r="O45" s="618">
        <v>2016</v>
      </c>
      <c r="P45" s="618">
        <v>216</v>
      </c>
      <c r="Q45" s="79"/>
      <c r="R45" s="620">
        <v>2.31074961071532</v>
      </c>
      <c r="S45" s="449">
        <f t="shared" si="2"/>
        <v>352.27716785994153</v>
      </c>
      <c r="T45" s="449">
        <f t="shared" si="3"/>
        <v>103.2448944420039</v>
      </c>
      <c r="U45" s="449">
        <f t="shared" si="7"/>
        <v>103.2448944420039</v>
      </c>
      <c r="V45" s="449">
        <f t="shared" si="4"/>
        <v>236.66760605713557</v>
      </c>
      <c r="W45" s="621">
        <f t="shared" si="5"/>
        <v>795.43456280108489</v>
      </c>
      <c r="Y45" s="452">
        <f>VLOOKUP($C45,'WB Population Data'!$C$6:$D$269,2,FALSE)</f>
        <v>870000</v>
      </c>
      <c r="Z45" s="453">
        <f t="shared" si="6"/>
        <v>0.11867229246207345</v>
      </c>
      <c r="AA45" s="622" t="str">
        <f>INDEX('HCW + Staff Summary'!$E$7:$E$270,MATCH($C45,'HCW + Staff Summary'!$C$7:$C$270,0))</f>
        <v>Lower middle income</v>
      </c>
      <c r="AB45" s="620">
        <f t="shared" si="8"/>
        <v>0.11867229246207345</v>
      </c>
    </row>
    <row r="46" spans="2:28" x14ac:dyDescent="0.75">
      <c r="B46" s="610" t="s">
        <v>1129</v>
      </c>
      <c r="C46" s="610" t="s">
        <v>29</v>
      </c>
      <c r="D46" s="611"/>
      <c r="E46" s="612">
        <v>2018</v>
      </c>
      <c r="F46" s="617">
        <v>6.2709999999999999</v>
      </c>
      <c r="G46" s="618">
        <v>3289</v>
      </c>
      <c r="H46" s="618">
        <v>3289</v>
      </c>
      <c r="I46" s="618" t="s">
        <v>761</v>
      </c>
      <c r="J46" s="79"/>
      <c r="K46" s="618">
        <v>2007</v>
      </c>
      <c r="L46" s="619">
        <v>280</v>
      </c>
      <c r="M46" s="619">
        <v>54</v>
      </c>
      <c r="N46" s="79"/>
      <c r="O46" s="618">
        <v>2011</v>
      </c>
      <c r="P46" s="618">
        <v>723</v>
      </c>
      <c r="Q46" s="79"/>
      <c r="R46" s="620">
        <v>2.5232327967113797</v>
      </c>
      <c r="S46" s="449">
        <f t="shared" si="2"/>
        <v>3457.0722622298663</v>
      </c>
      <c r="T46" s="449">
        <f t="shared" si="3"/>
        <v>461.78121641245474</v>
      </c>
      <c r="U46" s="449">
        <f t="shared" si="7"/>
        <v>461.78121641245474</v>
      </c>
      <c r="V46" s="449">
        <f t="shared" si="4"/>
        <v>904.77152856147904</v>
      </c>
      <c r="W46" s="621">
        <f t="shared" si="5"/>
        <v>5285.4062236162554</v>
      </c>
      <c r="Y46" s="452">
        <f>VLOOKUP($C46,'WB Population Data'!$C$6:$D$269,2,FALSE)</f>
        <v>5518000</v>
      </c>
      <c r="Z46" s="453">
        <f t="shared" si="6"/>
        <v>8.3686338603199489E-2</v>
      </c>
      <c r="AA46" s="622" t="str">
        <f>INDEX('HCW + Staff Summary'!$E$7:$E$270,MATCH($C46,'HCW + Staff Summary'!$C$7:$C$270,0))</f>
        <v>Lower middle income</v>
      </c>
      <c r="AB46" s="620">
        <f t="shared" si="8"/>
        <v>8.3686338603199489E-2</v>
      </c>
    </row>
    <row r="47" spans="2:28" x14ac:dyDescent="0.75">
      <c r="B47" s="610" t="s">
        <v>764</v>
      </c>
      <c r="C47" s="610" t="s">
        <v>1147</v>
      </c>
      <c r="D47" s="611"/>
      <c r="E47" s="612">
        <v>2018</v>
      </c>
      <c r="F47" s="617">
        <v>67.429000000000002</v>
      </c>
      <c r="G47" s="618">
        <v>118</v>
      </c>
      <c r="H47" s="618">
        <v>118</v>
      </c>
      <c r="I47" s="618" t="s">
        <v>761</v>
      </c>
      <c r="J47" s="79"/>
      <c r="K47" s="618">
        <v>2014</v>
      </c>
      <c r="L47" s="619">
        <v>10</v>
      </c>
      <c r="M47" s="619"/>
      <c r="N47" s="79"/>
      <c r="O47" s="618">
        <v>2014</v>
      </c>
      <c r="P47" s="618">
        <v>25</v>
      </c>
      <c r="Q47" s="79"/>
      <c r="R47" s="620" t="e">
        <v>#N/A</v>
      </c>
      <c r="S47" s="449">
        <f t="shared" si="2"/>
        <v>118</v>
      </c>
      <c r="T47" s="449">
        <f t="shared" si="3"/>
        <v>10</v>
      </c>
      <c r="U47" s="449">
        <f t="shared" si="7"/>
        <v>10</v>
      </c>
      <c r="V47" s="449">
        <f t="shared" si="4"/>
        <v>25</v>
      </c>
      <c r="W47" s="621">
        <f t="shared" si="5"/>
        <v>163</v>
      </c>
      <c r="Y47" s="452" t="e">
        <f>VLOOKUP($C47,'WB Population Data'!$C$6:$D$269,2,FALSE)</f>
        <v>#N/A</v>
      </c>
      <c r="Z47" s="453">
        <f t="shared" si="6"/>
        <v>0</v>
      </c>
      <c r="AA47" s="622" t="e">
        <f>INDEX('HCW + Staff Summary'!$E$7:$E$270,MATCH($C47,'HCW + Staff Summary'!$C$7:$C$270,0))</f>
        <v>#N/A</v>
      </c>
      <c r="AB47" s="620" t="e">
        <f t="shared" si="8"/>
        <v>#N/A</v>
      </c>
    </row>
    <row r="48" spans="2:28" x14ac:dyDescent="0.75">
      <c r="B48" s="610" t="s">
        <v>357</v>
      </c>
      <c r="C48" s="610" t="s">
        <v>31</v>
      </c>
      <c r="D48" s="611"/>
      <c r="E48" s="612">
        <v>2018</v>
      </c>
      <c r="F48" s="617">
        <v>34.143999999999998</v>
      </c>
      <c r="G48" s="618">
        <v>17070</v>
      </c>
      <c r="H48" s="618">
        <v>17070</v>
      </c>
      <c r="I48" s="618" t="s">
        <v>761</v>
      </c>
      <c r="J48" s="79"/>
      <c r="K48" s="618">
        <v>2016</v>
      </c>
      <c r="L48" s="619">
        <v>9</v>
      </c>
      <c r="M48" s="619"/>
      <c r="N48" s="79"/>
      <c r="O48" s="618">
        <v>2018</v>
      </c>
      <c r="P48" s="618">
        <v>14468</v>
      </c>
      <c r="Q48" s="79"/>
      <c r="R48" s="620">
        <v>1.0568910895303678</v>
      </c>
      <c r="S48" s="449">
        <f t="shared" si="2"/>
        <v>17432.729369014818</v>
      </c>
      <c r="T48" s="449">
        <f t="shared" si="3"/>
        <v>9.3865553063312674</v>
      </c>
      <c r="U48" s="449">
        <f t="shared" si="7"/>
        <v>9.3865553063312674</v>
      </c>
      <c r="V48" s="449">
        <f t="shared" si="4"/>
        <v>14775.438108430368</v>
      </c>
      <c r="W48" s="621">
        <f t="shared" si="5"/>
        <v>32226.940588057845</v>
      </c>
      <c r="Y48" s="452">
        <f>VLOOKUP($C48,'WB Population Data'!$C$6:$D$269,2,FALSE)</f>
        <v>5094000</v>
      </c>
      <c r="Z48" s="453">
        <f t="shared" si="6"/>
        <v>1.8426688862055883E-3</v>
      </c>
      <c r="AA48" s="622" t="str">
        <f>INDEX('HCW + Staff Summary'!$E$7:$E$270,MATCH($C48,'HCW + Staff Summary'!$C$7:$C$270,0))</f>
        <v>Upper middle income</v>
      </c>
      <c r="AB48" s="620">
        <f t="shared" si="8"/>
        <v>1.8426688862055883E-3</v>
      </c>
    </row>
    <row r="49" spans="2:28" x14ac:dyDescent="0.75">
      <c r="B49" s="610" t="s">
        <v>763</v>
      </c>
      <c r="C49" s="610" t="s">
        <v>26</v>
      </c>
      <c r="D49" s="611"/>
      <c r="E49" s="612">
        <v>2018</v>
      </c>
      <c r="F49" s="617">
        <v>6.048</v>
      </c>
      <c r="G49" s="618">
        <v>15163</v>
      </c>
      <c r="H49" s="618">
        <v>15163</v>
      </c>
      <c r="I49" s="618" t="s">
        <v>761</v>
      </c>
      <c r="J49" s="79"/>
      <c r="K49" s="618">
        <v>2014</v>
      </c>
      <c r="L49" s="619">
        <v>2380</v>
      </c>
      <c r="M49" s="619">
        <v>1600</v>
      </c>
      <c r="N49" s="79"/>
      <c r="O49" s="618">
        <v>2014</v>
      </c>
      <c r="P49" s="618">
        <v>5240</v>
      </c>
      <c r="Q49" s="79"/>
      <c r="R49" s="620">
        <v>2.5325818758001861</v>
      </c>
      <c r="S49" s="449">
        <f t="shared" si="2"/>
        <v>15940.75628381822</v>
      </c>
      <c r="T49" s="449">
        <f t="shared" si="3"/>
        <v>4624.3897833714309</v>
      </c>
      <c r="U49" s="449">
        <f t="shared" si="7"/>
        <v>4624.3897833714309</v>
      </c>
      <c r="V49" s="449">
        <f t="shared" si="4"/>
        <v>6088.3925791121355</v>
      </c>
      <c r="W49" s="621">
        <f t="shared" si="5"/>
        <v>31277.928429673215</v>
      </c>
      <c r="Y49" s="452">
        <f>VLOOKUP($C49,'WB Population Data'!$C$6:$D$269,2,FALSE)</f>
        <v>26378000</v>
      </c>
      <c r="Z49" s="453">
        <f t="shared" si="6"/>
        <v>0.17531237331759159</v>
      </c>
      <c r="AA49" s="622" t="str">
        <f>INDEX('HCW + Staff Summary'!$E$7:$E$270,MATCH($C49,'HCW + Staff Summary'!$C$7:$C$270,0))</f>
        <v>Lower middle income</v>
      </c>
      <c r="AB49" s="620">
        <f t="shared" si="8"/>
        <v>0.17531237331759159</v>
      </c>
    </row>
    <row r="50" spans="2:28" x14ac:dyDescent="0.75">
      <c r="B50" s="610" t="s">
        <v>359</v>
      </c>
      <c r="C50" s="610" t="s">
        <v>55</v>
      </c>
      <c r="D50" s="611"/>
      <c r="E50" s="612">
        <v>2016</v>
      </c>
      <c r="F50" s="617">
        <v>81.224000000000004</v>
      </c>
      <c r="G50" s="618">
        <v>34184</v>
      </c>
      <c r="H50" s="618">
        <v>34184</v>
      </c>
      <c r="I50" s="618" t="s">
        <v>761</v>
      </c>
      <c r="J50" s="79"/>
      <c r="K50" s="618"/>
      <c r="L50" s="619"/>
      <c r="M50" s="619"/>
      <c r="N50" s="79"/>
      <c r="O50" s="618">
        <v>2016</v>
      </c>
      <c r="P50" s="618">
        <v>12624</v>
      </c>
      <c r="Q50" s="79"/>
      <c r="R50" s="620">
        <v>-0.79716832068543142</v>
      </c>
      <c r="S50" s="449">
        <f t="shared" si="2"/>
        <v>33106.948689282741</v>
      </c>
      <c r="T50" s="449">
        <f t="shared" si="3"/>
        <v>0</v>
      </c>
      <c r="U50" s="449">
        <f t="shared" si="7"/>
        <v>2214.4181834942556</v>
      </c>
      <c r="V50" s="449">
        <f t="shared" si="4"/>
        <v>12226.249714881385</v>
      </c>
      <c r="W50" s="621">
        <f t="shared" si="5"/>
        <v>47547.616587658384</v>
      </c>
      <c r="Y50" s="452">
        <f>VLOOKUP($C50,'WB Population Data'!$C$6:$D$269,2,FALSE)</f>
        <v>4052000</v>
      </c>
      <c r="Z50" s="453">
        <f t="shared" si="6"/>
        <v>0</v>
      </c>
      <c r="AA50" s="622" t="str">
        <f>INDEX('HCW + Staff Summary'!$E$7:$E$270,MATCH($C50,'HCW + Staff Summary'!$C$7:$C$270,0))</f>
        <v>High income</v>
      </c>
      <c r="AB50" s="620">
        <f t="shared" si="8"/>
        <v>0.54650004528486062</v>
      </c>
    </row>
    <row r="51" spans="2:28" x14ac:dyDescent="0.75">
      <c r="B51" s="610" t="s">
        <v>221</v>
      </c>
      <c r="C51" s="610" t="s">
        <v>161</v>
      </c>
      <c r="D51" s="611"/>
      <c r="E51" s="612">
        <v>2018</v>
      </c>
      <c r="F51" s="617">
        <v>75.614000000000004</v>
      </c>
      <c r="G51" s="618">
        <v>85732</v>
      </c>
      <c r="H51" s="618">
        <v>85732</v>
      </c>
      <c r="I51" s="618" t="s">
        <v>761</v>
      </c>
      <c r="J51" s="79"/>
      <c r="K51" s="618">
        <v>2014</v>
      </c>
      <c r="L51" s="619"/>
      <c r="M51" s="619">
        <v>6015</v>
      </c>
      <c r="N51" s="79"/>
      <c r="O51" s="618">
        <v>2018</v>
      </c>
      <c r="P51" s="618">
        <v>95487</v>
      </c>
      <c r="Q51" s="79"/>
      <c r="R51" s="620">
        <v>9.7994710669544752E-2</v>
      </c>
      <c r="S51" s="449">
        <f t="shared" si="2"/>
        <v>85900.107978827553</v>
      </c>
      <c r="T51" s="449">
        <f t="shared" si="3"/>
        <v>6050.4530471074859</v>
      </c>
      <c r="U51" s="449">
        <f t="shared" si="7"/>
        <v>6050.4530471074859</v>
      </c>
      <c r="V51" s="449">
        <f t="shared" si="4"/>
        <v>95674.236114569896</v>
      </c>
      <c r="W51" s="621">
        <f t="shared" si="5"/>
        <v>193675.25018761243</v>
      </c>
      <c r="Y51" s="452">
        <f>VLOOKUP($C51,'WB Population Data'!$C$6:$D$269,2,FALSE)</f>
        <v>11327000</v>
      </c>
      <c r="Z51" s="453">
        <f t="shared" si="6"/>
        <v>0.53416200645426726</v>
      </c>
      <c r="AA51" s="622" t="str">
        <f>INDEX('HCW + Staff Summary'!$E$7:$E$270,MATCH($C51,'HCW + Staff Summary'!$C$7:$C$270,0))</f>
        <v>Upper middle income</v>
      </c>
      <c r="AB51" s="620">
        <f t="shared" si="8"/>
        <v>0.53416200645426726</v>
      </c>
    </row>
    <row r="52" spans="2:28" x14ac:dyDescent="0.75">
      <c r="B52" s="610" t="s">
        <v>362</v>
      </c>
      <c r="C52" s="610" t="s">
        <v>32</v>
      </c>
      <c r="D52" s="611"/>
      <c r="E52" s="612">
        <v>2016</v>
      </c>
      <c r="F52" s="617">
        <v>52.512</v>
      </c>
      <c r="G52" s="618">
        <v>6145</v>
      </c>
      <c r="H52" s="618">
        <v>6145</v>
      </c>
      <c r="I52" s="618" t="s">
        <v>761</v>
      </c>
      <c r="J52" s="79"/>
      <c r="K52" s="618">
        <v>2008</v>
      </c>
      <c r="L52" s="619">
        <v>22</v>
      </c>
      <c r="M52" s="619">
        <v>312</v>
      </c>
      <c r="N52" s="79"/>
      <c r="O52" s="618">
        <v>2016</v>
      </c>
      <c r="P52" s="618">
        <v>2283</v>
      </c>
      <c r="Q52" s="79"/>
      <c r="R52" s="620">
        <v>0.77843432024417014</v>
      </c>
      <c r="S52" s="449">
        <f t="shared" si="2"/>
        <v>6338.5849473535782</v>
      </c>
      <c r="T52" s="449">
        <f t="shared" si="3"/>
        <v>366.57070098062081</v>
      </c>
      <c r="U52" s="449">
        <f t="shared" si="7"/>
        <v>366.57070098062081</v>
      </c>
      <c r="V52" s="449">
        <f t="shared" si="4"/>
        <v>2354.9209820680585</v>
      </c>
      <c r="W52" s="621">
        <f t="shared" si="5"/>
        <v>9426.6473313828792</v>
      </c>
      <c r="Y52" s="452">
        <f>VLOOKUP($C52,'WB Population Data'!$C$6:$D$269,2,FALSE)</f>
        <v>1207000</v>
      </c>
      <c r="Z52" s="453">
        <f t="shared" si="6"/>
        <v>0.30370397761443313</v>
      </c>
      <c r="AA52" s="622" t="str">
        <f>INDEX('HCW + Staff Summary'!$E$7:$E$270,MATCH($C52,'HCW + Staff Summary'!$C$7:$C$270,0))</f>
        <v>High income</v>
      </c>
      <c r="AB52" s="620">
        <f t="shared" si="8"/>
        <v>0.30370397761443313</v>
      </c>
    </row>
    <row r="53" spans="2:28" x14ac:dyDescent="0.75">
      <c r="B53" s="610" t="s">
        <v>1169</v>
      </c>
      <c r="C53" s="610" t="s">
        <v>33</v>
      </c>
      <c r="D53" s="611"/>
      <c r="E53" s="612">
        <v>2017</v>
      </c>
      <c r="F53" s="617">
        <v>83.954999999999998</v>
      </c>
      <c r="G53" s="618">
        <v>89337</v>
      </c>
      <c r="H53" s="618">
        <v>85372</v>
      </c>
      <c r="I53" s="618">
        <v>3965</v>
      </c>
      <c r="J53" s="79"/>
      <c r="K53" s="618"/>
      <c r="L53" s="619"/>
      <c r="M53" s="619"/>
      <c r="N53" s="79"/>
      <c r="O53" s="618">
        <v>2018</v>
      </c>
      <c r="P53" s="618">
        <v>43951</v>
      </c>
      <c r="Q53" s="79"/>
      <c r="R53" s="620">
        <v>0.2108310421017924</v>
      </c>
      <c r="S53" s="449">
        <f t="shared" si="2"/>
        <v>85913.111260504797</v>
      </c>
      <c r="T53" s="449">
        <f t="shared" si="3"/>
        <v>0</v>
      </c>
      <c r="U53" s="449">
        <f t="shared" si="7"/>
        <v>5809.841981423353</v>
      </c>
      <c r="V53" s="449">
        <f t="shared" si="4"/>
        <v>44136.520063629236</v>
      </c>
      <c r="W53" s="621">
        <f t="shared" si="5"/>
        <v>135859.47330555739</v>
      </c>
      <c r="Y53" s="452">
        <f>VLOOKUP($C53,'WB Population Data'!$C$6:$D$269,2,FALSE)</f>
        <v>10631000</v>
      </c>
      <c r="Z53" s="453">
        <f t="shared" si="6"/>
        <v>0</v>
      </c>
      <c r="AA53" s="622" t="str">
        <f>INDEX('HCW + Staff Summary'!$E$7:$E$270,MATCH($C53,'HCW + Staff Summary'!$C$7:$C$270,0))</f>
        <v>High income</v>
      </c>
      <c r="AB53" s="620">
        <f t="shared" si="8"/>
        <v>0.54650004528486062</v>
      </c>
    </row>
    <row r="54" spans="2:28" ht="29.5" x14ac:dyDescent="0.75">
      <c r="B54" s="610" t="s">
        <v>1170</v>
      </c>
      <c r="C54" s="610" t="s">
        <v>158</v>
      </c>
      <c r="D54" s="611"/>
      <c r="E54" s="612">
        <v>2017</v>
      </c>
      <c r="F54" s="617">
        <v>44.488999999999997</v>
      </c>
      <c r="G54" s="618">
        <v>113135</v>
      </c>
      <c r="H54" s="618">
        <v>105125</v>
      </c>
      <c r="I54" s="618">
        <v>8010</v>
      </c>
      <c r="J54" s="79"/>
      <c r="K54" s="618"/>
      <c r="L54" s="619"/>
      <c r="M54" s="619"/>
      <c r="N54" s="79"/>
      <c r="O54" s="618">
        <v>2017</v>
      </c>
      <c r="P54" s="618">
        <v>93667</v>
      </c>
      <c r="Q54" s="79"/>
      <c r="R54" s="620">
        <v>0.491606334607188</v>
      </c>
      <c r="S54" s="449">
        <f t="shared" si="2"/>
        <v>106683.03784936052</v>
      </c>
      <c r="T54" s="449">
        <f t="shared" si="3"/>
        <v>0</v>
      </c>
      <c r="U54" s="449">
        <f t="shared" si="7"/>
        <v>2539.1567292979071</v>
      </c>
      <c r="V54" s="449">
        <f t="shared" si="4"/>
        <v>95055.220986787652</v>
      </c>
      <c r="W54" s="621">
        <f t="shared" si="5"/>
        <v>204277.41556544608</v>
      </c>
      <c r="Y54" s="452">
        <f>VLOOKUP($C54,'WB Population Data'!$C$6:$D$269,2,FALSE)</f>
        <v>25779000</v>
      </c>
      <c r="Z54" s="453">
        <f t="shared" si="6"/>
        <v>0</v>
      </c>
      <c r="AA54" s="622" t="str">
        <f>INDEX('HCW + Staff Summary'!$E$7:$E$270,MATCH($C54,'HCW + Staff Summary'!$C$7:$C$270,0))</f>
        <v>Low income</v>
      </c>
      <c r="AB54" s="620">
        <f t="shared" si="8"/>
        <v>9.849709954994014E-2</v>
      </c>
    </row>
    <row r="55" spans="2:28" ht="29.5" x14ac:dyDescent="0.75">
      <c r="B55" s="610" t="s">
        <v>1171</v>
      </c>
      <c r="C55" s="610" t="s">
        <v>1130</v>
      </c>
      <c r="D55" s="611"/>
      <c r="E55" s="612">
        <v>2018</v>
      </c>
      <c r="F55" s="617">
        <v>11.101000000000001</v>
      </c>
      <c r="G55" s="618">
        <v>93326</v>
      </c>
      <c r="H55" s="618">
        <v>93326</v>
      </c>
      <c r="I55" s="618" t="s">
        <v>761</v>
      </c>
      <c r="J55" s="79"/>
      <c r="K55" s="618">
        <v>2009</v>
      </c>
      <c r="L55" s="619"/>
      <c r="M55" s="619">
        <v>2126</v>
      </c>
      <c r="N55" s="79"/>
      <c r="O55" s="618">
        <v>2016</v>
      </c>
      <c r="P55" s="618">
        <v>5832</v>
      </c>
      <c r="Q55" s="79"/>
      <c r="R55" s="620" t="e">
        <v>#N/A</v>
      </c>
      <c r="S55" s="449">
        <f t="shared" si="2"/>
        <v>93326</v>
      </c>
      <c r="T55" s="449">
        <f t="shared" si="3"/>
        <v>2126</v>
      </c>
      <c r="U55" s="449">
        <f t="shared" si="7"/>
        <v>2126</v>
      </c>
      <c r="V55" s="449">
        <f t="shared" si="4"/>
        <v>5832</v>
      </c>
      <c r="W55" s="621">
        <f t="shared" si="5"/>
        <v>103410</v>
      </c>
      <c r="Y55" s="452">
        <f>VLOOKUP($C55,'WB Population Data'!$C$6:$D$269,2,FALSE)</f>
        <v>89561000</v>
      </c>
      <c r="Z55" s="453">
        <f t="shared" si="6"/>
        <v>2.3738010964593964E-2</v>
      </c>
      <c r="AA55" s="622" t="e">
        <f>INDEX('HCW + Staff Summary'!$E$7:$E$270,MATCH($C55,'HCW + Staff Summary'!$C$7:$C$270,0))</f>
        <v>#N/A</v>
      </c>
      <c r="AB55" s="620">
        <f t="shared" si="8"/>
        <v>2.3738010964593964E-2</v>
      </c>
    </row>
    <row r="56" spans="2:28" x14ac:dyDescent="0.75">
      <c r="B56" s="610" t="s">
        <v>364</v>
      </c>
      <c r="C56" s="610" t="s">
        <v>36</v>
      </c>
      <c r="D56" s="611"/>
      <c r="E56" s="612">
        <v>2016</v>
      </c>
      <c r="F56" s="617">
        <v>103.19499999999999</v>
      </c>
      <c r="G56" s="618">
        <v>58938</v>
      </c>
      <c r="H56" s="618">
        <v>56991</v>
      </c>
      <c r="I56" s="618">
        <v>1947</v>
      </c>
      <c r="J56" s="79"/>
      <c r="K56" s="618"/>
      <c r="L56" s="619"/>
      <c r="M56" s="619"/>
      <c r="N56" s="79"/>
      <c r="O56" s="618">
        <v>2016</v>
      </c>
      <c r="P56" s="618">
        <v>22902</v>
      </c>
      <c r="Q56" s="79"/>
      <c r="R56" s="620">
        <v>0.63975996091959852</v>
      </c>
      <c r="S56" s="449">
        <f t="shared" si="2"/>
        <v>58463.47778880081</v>
      </c>
      <c r="T56" s="449">
        <f t="shared" si="3"/>
        <v>0</v>
      </c>
      <c r="U56" s="449">
        <f t="shared" si="7"/>
        <v>3191.5602644635865</v>
      </c>
      <c r="V56" s="449">
        <f t="shared" si="4"/>
        <v>23493.71950516952</v>
      </c>
      <c r="W56" s="621">
        <f t="shared" si="5"/>
        <v>85148.757558433921</v>
      </c>
      <c r="Y56" s="452">
        <f>VLOOKUP($C56,'WB Population Data'!$C$6:$D$269,2,FALSE)</f>
        <v>5840000</v>
      </c>
      <c r="Z56" s="453">
        <f t="shared" si="6"/>
        <v>0</v>
      </c>
      <c r="AA56" s="622" t="str">
        <f>INDEX('HCW + Staff Summary'!$E$7:$E$270,MATCH($C56,'HCW + Staff Summary'!$C$7:$C$270,0))</f>
        <v>High income</v>
      </c>
      <c r="AB56" s="620">
        <f t="shared" si="8"/>
        <v>0.54650004528486062</v>
      </c>
    </row>
    <row r="57" spans="2:28" x14ac:dyDescent="0.75">
      <c r="B57" s="610" t="s">
        <v>231</v>
      </c>
      <c r="C57" s="610" t="s">
        <v>35</v>
      </c>
      <c r="D57" s="611"/>
      <c r="E57" s="612">
        <v>2014</v>
      </c>
      <c r="F57" s="617">
        <v>7.2880000000000003</v>
      </c>
      <c r="G57" s="618">
        <v>655</v>
      </c>
      <c r="H57" s="618">
        <v>488</v>
      </c>
      <c r="I57" s="618">
        <v>167</v>
      </c>
      <c r="J57" s="79"/>
      <c r="K57" s="618">
        <v>2005</v>
      </c>
      <c r="L57" s="619">
        <v>3</v>
      </c>
      <c r="M57" s="619">
        <v>56</v>
      </c>
      <c r="N57" s="79"/>
      <c r="O57" s="618">
        <v>2014</v>
      </c>
      <c r="P57" s="618">
        <v>201</v>
      </c>
      <c r="Q57" s="79"/>
      <c r="R57" s="620">
        <v>1.6430136456407738</v>
      </c>
      <c r="S57" s="449">
        <f t="shared" si="2"/>
        <v>538.12729455722729</v>
      </c>
      <c r="T57" s="449">
        <f t="shared" si="3"/>
        <v>75.33815983582403</v>
      </c>
      <c r="U57" s="449">
        <f t="shared" si="7"/>
        <v>75.33815983582403</v>
      </c>
      <c r="V57" s="449">
        <f t="shared" si="4"/>
        <v>221.64669304508749</v>
      </c>
      <c r="W57" s="621">
        <f t="shared" si="5"/>
        <v>910.45030727396284</v>
      </c>
      <c r="Y57" s="452">
        <f>VLOOKUP($C57,'WB Population Data'!$C$6:$D$269,2,FALSE)</f>
        <v>988000</v>
      </c>
      <c r="Z57" s="453">
        <f t="shared" si="6"/>
        <v>7.6253198214396786E-2</v>
      </c>
      <c r="AA57" s="622" t="str">
        <f>INDEX('HCW + Staff Summary'!$E$7:$E$270,MATCH($C57,'HCW + Staff Summary'!$C$7:$C$270,0))</f>
        <v>Lower middle income</v>
      </c>
      <c r="AB57" s="620">
        <f t="shared" si="8"/>
        <v>7.6253198214396786E-2</v>
      </c>
    </row>
    <row r="58" spans="2:28" x14ac:dyDescent="0.75">
      <c r="B58" s="610" t="s">
        <v>365</v>
      </c>
      <c r="C58" s="610" t="s">
        <v>366</v>
      </c>
      <c r="D58" s="611"/>
      <c r="E58" s="612">
        <v>2018</v>
      </c>
      <c r="F58" s="617">
        <v>64.385000000000005</v>
      </c>
      <c r="G58" s="618">
        <v>461</v>
      </c>
      <c r="H58" s="618">
        <v>461</v>
      </c>
      <c r="I58" s="618" t="s">
        <v>761</v>
      </c>
      <c r="J58" s="79"/>
      <c r="K58" s="618"/>
      <c r="L58" s="619"/>
      <c r="M58" s="619"/>
      <c r="N58" s="79"/>
      <c r="O58" s="618">
        <v>2017</v>
      </c>
      <c r="P58" s="618">
        <v>80</v>
      </c>
      <c r="Q58" s="79"/>
      <c r="R58" s="620">
        <v>0.17077942537770793</v>
      </c>
      <c r="S58" s="449">
        <f t="shared" si="2"/>
        <v>462.57593083670179</v>
      </c>
      <c r="T58" s="449">
        <f t="shared" si="3"/>
        <v>0</v>
      </c>
      <c r="U58" s="449">
        <f t="shared" si="7"/>
        <v>15.825905243784655</v>
      </c>
      <c r="V58" s="449">
        <f t="shared" si="4"/>
        <v>80.410570994068593</v>
      </c>
      <c r="W58" s="621">
        <f t="shared" si="5"/>
        <v>558.81240707455504</v>
      </c>
      <c r="Y58" s="452">
        <f>VLOOKUP($C58,'WB Population Data'!$C$6:$D$269,2,FALSE)</f>
        <v>72000</v>
      </c>
      <c r="Z58" s="453">
        <f t="shared" si="6"/>
        <v>0</v>
      </c>
      <c r="AA58" s="622" t="str">
        <f>INDEX('HCW + Staff Summary'!$E$7:$E$270,MATCH($C58,'HCW + Staff Summary'!$C$7:$C$270,0))</f>
        <v>Upper middle income</v>
      </c>
      <c r="AB58" s="620">
        <f t="shared" si="8"/>
        <v>0.21980423949700909</v>
      </c>
    </row>
    <row r="59" spans="2:28" x14ac:dyDescent="0.75">
      <c r="B59" s="610" t="s">
        <v>367</v>
      </c>
      <c r="C59" s="610" t="s">
        <v>368</v>
      </c>
      <c r="D59" s="611"/>
      <c r="E59" s="612">
        <v>2018</v>
      </c>
      <c r="F59" s="617">
        <v>13.802</v>
      </c>
      <c r="G59" s="618">
        <v>14668</v>
      </c>
      <c r="H59" s="618">
        <v>14668</v>
      </c>
      <c r="I59" s="618" t="s">
        <v>761</v>
      </c>
      <c r="J59" s="79"/>
      <c r="K59" s="618"/>
      <c r="L59" s="619"/>
      <c r="M59" s="619"/>
      <c r="N59" s="79"/>
      <c r="O59" s="618">
        <v>2011</v>
      </c>
      <c r="P59" s="618">
        <v>14983</v>
      </c>
      <c r="Q59" s="79"/>
      <c r="R59" s="620">
        <v>1.1203511257633278</v>
      </c>
      <c r="S59" s="449">
        <f t="shared" si="2"/>
        <v>14998.507314024813</v>
      </c>
      <c r="T59" s="449">
        <f t="shared" si="3"/>
        <v>0</v>
      </c>
      <c r="U59" s="449">
        <f t="shared" si="7"/>
        <v>2384.4363900635544</v>
      </c>
      <c r="V59" s="449">
        <f t="shared" si="4"/>
        <v>16563.263089359971</v>
      </c>
      <c r="W59" s="621">
        <f t="shared" si="5"/>
        <v>33946.206793448335</v>
      </c>
      <c r="Y59" s="452">
        <f>VLOOKUP($C59,'WB Population Data'!$C$6:$D$269,2,FALSE)</f>
        <v>10848000</v>
      </c>
      <c r="Z59" s="453">
        <f t="shared" si="6"/>
        <v>0</v>
      </c>
      <c r="AA59" s="622" t="str">
        <f>INDEX('HCW + Staff Summary'!$E$7:$E$270,MATCH($C59,'HCW + Staff Summary'!$C$7:$C$270,0))</f>
        <v>Upper middle income</v>
      </c>
      <c r="AB59" s="620">
        <f t="shared" si="8"/>
        <v>0.21980423949700909</v>
      </c>
    </row>
    <row r="60" spans="2:28" x14ac:dyDescent="0.75">
      <c r="B60" s="610" t="s">
        <v>377</v>
      </c>
      <c r="C60" s="610" t="s">
        <v>38</v>
      </c>
      <c r="D60" s="611"/>
      <c r="E60" s="612">
        <v>2018</v>
      </c>
      <c r="F60" s="617">
        <v>25.059000000000001</v>
      </c>
      <c r="G60" s="618">
        <v>42811</v>
      </c>
      <c r="H60" s="618">
        <v>42811</v>
      </c>
      <c r="I60" s="618" t="s">
        <v>761</v>
      </c>
      <c r="J60" s="79"/>
      <c r="K60" s="618">
        <v>2015</v>
      </c>
      <c r="L60" s="619"/>
      <c r="M60" s="619">
        <v>4140</v>
      </c>
      <c r="N60" s="79"/>
      <c r="O60" s="618">
        <v>2016</v>
      </c>
      <c r="P60" s="618">
        <v>33589</v>
      </c>
      <c r="Q60" s="79"/>
      <c r="R60" s="620">
        <v>1.6805319894602022</v>
      </c>
      <c r="S60" s="449">
        <f t="shared" si="2"/>
        <v>44261.995730267488</v>
      </c>
      <c r="T60" s="449">
        <f t="shared" si="3"/>
        <v>4499.7604058734878</v>
      </c>
      <c r="U60" s="449">
        <f t="shared" si="7"/>
        <v>4499.7604058734878</v>
      </c>
      <c r="V60" s="449">
        <f t="shared" si="4"/>
        <v>35904.452896687639</v>
      </c>
      <c r="W60" s="621">
        <f t="shared" si="5"/>
        <v>89165.969438702101</v>
      </c>
      <c r="Y60" s="452">
        <f>VLOOKUP($C60,'WB Population Data'!$C$6:$D$269,2,FALSE)</f>
        <v>17643000</v>
      </c>
      <c r="Z60" s="453">
        <f t="shared" si="6"/>
        <v>0.25504508336867243</v>
      </c>
      <c r="AA60" s="622" t="str">
        <f>INDEX('HCW + Staff Summary'!$E$7:$E$270,MATCH($C60,'HCW + Staff Summary'!$C$7:$C$270,0))</f>
        <v>Upper middle income</v>
      </c>
      <c r="AB60" s="620">
        <f t="shared" si="8"/>
        <v>0.25504508336867243</v>
      </c>
    </row>
    <row r="61" spans="2:28" x14ac:dyDescent="0.75">
      <c r="B61" s="610" t="s">
        <v>1132</v>
      </c>
      <c r="C61" s="610" t="s">
        <v>39</v>
      </c>
      <c r="D61" s="611"/>
      <c r="E61" s="612">
        <v>2018</v>
      </c>
      <c r="F61" s="617">
        <v>19.262</v>
      </c>
      <c r="G61" s="618">
        <v>189579</v>
      </c>
      <c r="H61" s="618">
        <v>189579</v>
      </c>
      <c r="I61" s="618" t="s">
        <v>761</v>
      </c>
      <c r="J61" s="79"/>
      <c r="K61" s="618">
        <v>2018</v>
      </c>
      <c r="L61" s="619">
        <v>15234</v>
      </c>
      <c r="M61" s="619">
        <v>2349</v>
      </c>
      <c r="N61" s="79"/>
      <c r="O61" s="618">
        <v>2018</v>
      </c>
      <c r="P61" s="618">
        <v>44502</v>
      </c>
      <c r="Q61" s="79"/>
      <c r="R61" s="620">
        <v>2.1471220989093558</v>
      </c>
      <c r="S61" s="449">
        <f t="shared" si="2"/>
        <v>197807.38365401534</v>
      </c>
      <c r="T61" s="449">
        <f t="shared" si="3"/>
        <v>18346.162954697258</v>
      </c>
      <c r="U61" s="449">
        <f t="shared" si="7"/>
        <v>18346.162954697258</v>
      </c>
      <c r="V61" s="449">
        <f t="shared" si="4"/>
        <v>46433.540568158875</v>
      </c>
      <c r="W61" s="621">
        <f t="shared" si="5"/>
        <v>280933.25013156876</v>
      </c>
      <c r="Y61" s="452">
        <f>VLOOKUP($C61,'WB Population Data'!$C$6:$D$269,2,FALSE)</f>
        <v>102334000</v>
      </c>
      <c r="Z61" s="453">
        <f t="shared" si="6"/>
        <v>0.17927729742507142</v>
      </c>
      <c r="AA61" s="622" t="str">
        <f>INDEX('HCW + Staff Summary'!$E$7:$E$270,MATCH($C61,'HCW + Staff Summary'!$C$7:$C$270,0))</f>
        <v>Lower middle income</v>
      </c>
      <c r="AB61" s="620">
        <f t="shared" si="8"/>
        <v>0.17927729742507142</v>
      </c>
    </row>
    <row r="62" spans="2:28" x14ac:dyDescent="0.75">
      <c r="B62" s="610" t="s">
        <v>222</v>
      </c>
      <c r="C62" s="610" t="s">
        <v>164</v>
      </c>
      <c r="D62" s="611"/>
      <c r="E62" s="612">
        <v>2018</v>
      </c>
      <c r="F62" s="617">
        <v>18.344000000000001</v>
      </c>
      <c r="G62" s="618">
        <v>11778</v>
      </c>
      <c r="H62" s="618">
        <v>11778</v>
      </c>
      <c r="I62" s="618" t="s">
        <v>761</v>
      </c>
      <c r="J62" s="79"/>
      <c r="K62" s="618">
        <v>2016</v>
      </c>
      <c r="L62" s="619"/>
      <c r="M62" s="619">
        <v>2049</v>
      </c>
      <c r="N62" s="79"/>
      <c r="O62" s="618">
        <v>2016</v>
      </c>
      <c r="P62" s="618">
        <v>9955</v>
      </c>
      <c r="Q62" s="79"/>
      <c r="R62" s="620">
        <v>0.48769269938091214</v>
      </c>
      <c r="S62" s="449">
        <f t="shared" si="2"/>
        <v>11893.161025128451</v>
      </c>
      <c r="T62" s="449">
        <f t="shared" si="3"/>
        <v>2089.2646511156927</v>
      </c>
      <c r="U62" s="449">
        <f t="shared" si="7"/>
        <v>2089.2646511156927</v>
      </c>
      <c r="V62" s="449">
        <f t="shared" si="4"/>
        <v>10150.624500662138</v>
      </c>
      <c r="W62" s="621">
        <f t="shared" si="5"/>
        <v>26222.314828021976</v>
      </c>
      <c r="Y62" s="452">
        <f>VLOOKUP($C62,'WB Population Data'!$C$6:$D$269,2,FALSE)</f>
        <v>6486000</v>
      </c>
      <c r="Z62" s="453">
        <f t="shared" si="6"/>
        <v>0.32211912598145126</v>
      </c>
      <c r="AA62" s="622" t="str">
        <f>INDEX('HCW + Staff Summary'!$E$7:$E$270,MATCH($C62,'HCW + Staff Summary'!$C$7:$C$270,0))</f>
        <v>Lower middle income</v>
      </c>
      <c r="AB62" s="620">
        <f t="shared" si="8"/>
        <v>0.32211912598145126</v>
      </c>
    </row>
    <row r="63" spans="2:28" x14ac:dyDescent="0.75">
      <c r="B63" s="610" t="s">
        <v>191</v>
      </c>
      <c r="C63" s="610" t="s">
        <v>174</v>
      </c>
      <c r="D63" s="611"/>
      <c r="E63" s="612">
        <v>2017</v>
      </c>
      <c r="F63" s="617">
        <v>5.024</v>
      </c>
      <c r="G63" s="618">
        <v>634</v>
      </c>
      <c r="H63" s="618">
        <v>634</v>
      </c>
      <c r="I63" s="618" t="s">
        <v>761</v>
      </c>
      <c r="J63" s="79"/>
      <c r="K63" s="618">
        <v>2004</v>
      </c>
      <c r="L63" s="619">
        <v>3</v>
      </c>
      <c r="M63" s="619">
        <v>80</v>
      </c>
      <c r="N63" s="79"/>
      <c r="O63" s="618">
        <v>2017</v>
      </c>
      <c r="P63" s="618">
        <v>507</v>
      </c>
      <c r="Q63" s="79"/>
      <c r="R63" s="620">
        <v>3.9121881429536138</v>
      </c>
      <c r="S63" s="449">
        <f t="shared" si="2"/>
        <v>711.3588325196805</v>
      </c>
      <c r="T63" s="449">
        <f t="shared" si="3"/>
        <v>153.37053565493287</v>
      </c>
      <c r="U63" s="449">
        <f t="shared" si="7"/>
        <v>153.37053565493287</v>
      </c>
      <c r="V63" s="449">
        <f t="shared" si="4"/>
        <v>568.86266259854574</v>
      </c>
      <c r="W63" s="621">
        <f t="shared" si="5"/>
        <v>1586.962566428092</v>
      </c>
      <c r="Y63" s="452">
        <f>VLOOKUP($C63,'WB Population Data'!$C$6:$D$269,2,FALSE)</f>
        <v>1403000</v>
      </c>
      <c r="Z63" s="453">
        <f t="shared" si="6"/>
        <v>0.10931613375262499</v>
      </c>
      <c r="AA63" s="622" t="str">
        <f>INDEX('HCW + Staff Summary'!$E$7:$E$270,MATCH($C63,'HCW + Staff Summary'!$C$7:$C$270,0))</f>
        <v>Upper middle income</v>
      </c>
      <c r="AB63" s="620">
        <f t="shared" si="8"/>
        <v>0.10931613375262499</v>
      </c>
    </row>
    <row r="64" spans="2:28" ht="15.75" customHeight="1" x14ac:dyDescent="0.75">
      <c r="B64" s="610" t="s">
        <v>192</v>
      </c>
      <c r="C64" s="610" t="s">
        <v>168</v>
      </c>
      <c r="D64" s="611"/>
      <c r="E64" s="612">
        <v>2018</v>
      </c>
      <c r="F64" s="617">
        <v>14.397</v>
      </c>
      <c r="G64" s="618">
        <v>4971</v>
      </c>
      <c r="H64" s="618">
        <v>4971</v>
      </c>
      <c r="I64" s="618" t="s">
        <v>761</v>
      </c>
      <c r="J64" s="79"/>
      <c r="K64" s="618">
        <v>2004</v>
      </c>
      <c r="L64" s="619">
        <v>17</v>
      </c>
      <c r="M64" s="619">
        <v>183</v>
      </c>
      <c r="N64" s="79"/>
      <c r="O64" s="618">
        <v>2016</v>
      </c>
      <c r="P64" s="618">
        <v>212</v>
      </c>
      <c r="Q64" s="79"/>
      <c r="R64" s="620" t="e">
        <v>#DIV/0!</v>
      </c>
      <c r="S64" s="449">
        <f t="shared" si="2"/>
        <v>4971</v>
      </c>
      <c r="T64" s="449">
        <f t="shared" si="3"/>
        <v>200</v>
      </c>
      <c r="U64" s="449">
        <f t="shared" si="7"/>
        <v>200</v>
      </c>
      <c r="V64" s="449">
        <f t="shared" si="4"/>
        <v>212</v>
      </c>
      <c r="W64" s="621">
        <f t="shared" si="5"/>
        <v>5583</v>
      </c>
      <c r="Y64" s="452">
        <f>VLOOKUP($C64,'WB Population Data'!$C$6:$D$269,2,FALSE)</f>
        <v>6081196</v>
      </c>
      <c r="Z64" s="453">
        <f t="shared" si="6"/>
        <v>3.288826737372056E-2</v>
      </c>
      <c r="AA64" s="622" t="str">
        <f>INDEX('HCW + Staff Summary'!$E$7:$E$270,MATCH($C64,'HCW + Staff Summary'!$C$7:$C$270,0))</f>
        <v>Low income</v>
      </c>
      <c r="AB64" s="620">
        <f t="shared" si="8"/>
        <v>3.288826737372056E-2</v>
      </c>
    </row>
    <row r="65" spans="2:28" x14ac:dyDescent="0.75">
      <c r="B65" s="610" t="s">
        <v>379</v>
      </c>
      <c r="C65" s="610" t="s">
        <v>41</v>
      </c>
      <c r="D65" s="611"/>
      <c r="E65" s="612">
        <v>2018</v>
      </c>
      <c r="F65" s="617">
        <v>111.55800000000001</v>
      </c>
      <c r="G65" s="618">
        <v>14758</v>
      </c>
      <c r="H65" s="618">
        <v>13786</v>
      </c>
      <c r="I65" s="618">
        <v>972</v>
      </c>
      <c r="J65" s="79"/>
      <c r="K65" s="618"/>
      <c r="L65" s="619"/>
      <c r="M65" s="619"/>
      <c r="N65" s="79"/>
      <c r="O65" s="618">
        <v>2018</v>
      </c>
      <c r="P65" s="618">
        <v>5931</v>
      </c>
      <c r="Q65" s="79"/>
      <c r="R65" s="620">
        <v>4.3760990386560901E-2</v>
      </c>
      <c r="S65" s="449">
        <f t="shared" si="2"/>
        <v>13798.068420321855</v>
      </c>
      <c r="T65" s="449">
        <f t="shared" si="3"/>
        <v>0</v>
      </c>
      <c r="U65" s="449">
        <f t="shared" si="7"/>
        <v>717.55455945902202</v>
      </c>
      <c r="V65" s="449">
        <f t="shared" si="4"/>
        <v>5936.1920644805541</v>
      </c>
      <c r="W65" s="621">
        <f t="shared" si="5"/>
        <v>20451.815044261431</v>
      </c>
      <c r="Y65" s="452">
        <f>VLOOKUP($C65,'WB Population Data'!$C$6:$D$269,2,FALSE)</f>
        <v>1313000</v>
      </c>
      <c r="Z65" s="453">
        <f t="shared" si="6"/>
        <v>0</v>
      </c>
      <c r="AA65" s="622" t="str">
        <f>INDEX('HCW + Staff Summary'!$E$7:$E$270,MATCH($C65,'HCW + Staff Summary'!$C$7:$C$270,0))</f>
        <v>High income</v>
      </c>
      <c r="AB65" s="620">
        <f t="shared" si="8"/>
        <v>0.54650004528486062</v>
      </c>
    </row>
    <row r="66" spans="2:28" x14ac:dyDescent="0.75">
      <c r="B66" s="610" t="s">
        <v>380</v>
      </c>
      <c r="C66" s="610" t="s">
        <v>134</v>
      </c>
      <c r="D66" s="611"/>
      <c r="E66" s="612">
        <v>2018</v>
      </c>
      <c r="F66" s="617">
        <v>41.414999999999999</v>
      </c>
      <c r="G66" s="618">
        <v>4706</v>
      </c>
      <c r="H66" s="618">
        <v>4706</v>
      </c>
      <c r="I66" s="618" t="s">
        <v>761</v>
      </c>
      <c r="J66" s="79"/>
      <c r="K66" s="618">
        <v>2011</v>
      </c>
      <c r="L66" s="619"/>
      <c r="M66" s="619">
        <v>41</v>
      </c>
      <c r="N66" s="79"/>
      <c r="O66" s="618">
        <v>2016</v>
      </c>
      <c r="P66" s="618">
        <v>366</v>
      </c>
      <c r="Q66" s="79"/>
      <c r="R66" s="620">
        <v>0.88815913750420739</v>
      </c>
      <c r="S66" s="449">
        <f t="shared" si="2"/>
        <v>4789.9647598450474</v>
      </c>
      <c r="T66" s="449">
        <f t="shared" si="3"/>
        <v>44.396183342754767</v>
      </c>
      <c r="U66" s="449">
        <f t="shared" si="7"/>
        <v>44.396183342754767</v>
      </c>
      <c r="V66" s="449">
        <f t="shared" si="4"/>
        <v>379.17690406727377</v>
      </c>
      <c r="W66" s="621">
        <f t="shared" si="5"/>
        <v>5257.9340305978303</v>
      </c>
      <c r="Y66" s="452">
        <f>VLOOKUP($C66,'WB Population Data'!$C$6:$D$269,2,FALSE)</f>
        <v>1160000</v>
      </c>
      <c r="Z66" s="453">
        <f t="shared" si="6"/>
        <v>3.8272571847202383E-2</v>
      </c>
      <c r="AA66" s="622" t="str">
        <f>INDEX('HCW + Staff Summary'!$E$7:$E$270,MATCH($C66,'HCW + Staff Summary'!$C$7:$C$270,0))</f>
        <v>Lower middle income</v>
      </c>
      <c r="AB66" s="620">
        <f t="shared" si="8"/>
        <v>3.8272571847202383E-2</v>
      </c>
    </row>
    <row r="67" spans="2:28" x14ac:dyDescent="0.75">
      <c r="B67" s="610" t="s">
        <v>194</v>
      </c>
      <c r="C67" s="610" t="s">
        <v>42</v>
      </c>
      <c r="D67" s="611"/>
      <c r="E67" s="612">
        <v>2018</v>
      </c>
      <c r="F67" s="617">
        <v>7.1349999999999998</v>
      </c>
      <c r="G67" s="618">
        <v>77931</v>
      </c>
      <c r="H67" s="618">
        <v>61772</v>
      </c>
      <c r="I67" s="618">
        <v>16159</v>
      </c>
      <c r="J67" s="79"/>
      <c r="K67" s="618">
        <v>2009</v>
      </c>
      <c r="L67" s="619"/>
      <c r="M67" s="619">
        <v>2823</v>
      </c>
      <c r="N67" s="79"/>
      <c r="O67" s="618">
        <v>2018</v>
      </c>
      <c r="P67" s="618">
        <v>8395</v>
      </c>
      <c r="Q67" s="79"/>
      <c r="R67" s="620">
        <v>2.7095274826602762</v>
      </c>
      <c r="S67" s="449">
        <f t="shared" si="2"/>
        <v>65164.808788996117</v>
      </c>
      <c r="T67" s="449">
        <f t="shared" si="3"/>
        <v>3788.1653021482625</v>
      </c>
      <c r="U67" s="449">
        <f t="shared" si="7"/>
        <v>3788.1653021482625</v>
      </c>
      <c r="V67" s="449">
        <f t="shared" si="4"/>
        <v>8856.0928864796733</v>
      </c>
      <c r="W67" s="621">
        <f t="shared" si="5"/>
        <v>81597.232279772317</v>
      </c>
      <c r="Y67" s="452">
        <f>VLOOKUP($C67,'WB Population Data'!$C$6:$D$269,2,FALSE)</f>
        <v>114964000</v>
      </c>
      <c r="Z67" s="453">
        <f t="shared" si="6"/>
        <v>3.2950882903763461E-2</v>
      </c>
      <c r="AA67" s="622" t="str">
        <f>INDEX('HCW + Staff Summary'!$E$7:$E$270,MATCH($C67,'HCW + Staff Summary'!$C$7:$C$270,0))</f>
        <v>Low income</v>
      </c>
      <c r="AB67" s="620">
        <f t="shared" si="8"/>
        <v>3.2950882903763461E-2</v>
      </c>
    </row>
    <row r="68" spans="2:28" x14ac:dyDescent="0.75">
      <c r="B68" s="610" t="s">
        <v>248</v>
      </c>
      <c r="C68" s="610" t="s">
        <v>44</v>
      </c>
      <c r="D68" s="611"/>
      <c r="E68" s="612">
        <v>2018</v>
      </c>
      <c r="F68" s="617">
        <v>33.752000000000002</v>
      </c>
      <c r="G68" s="618">
        <v>2982</v>
      </c>
      <c r="H68" s="618">
        <v>2982</v>
      </c>
      <c r="I68" s="618" t="s">
        <v>761</v>
      </c>
      <c r="J68" s="79"/>
      <c r="K68" s="618">
        <v>2015</v>
      </c>
      <c r="L68" s="619">
        <v>177</v>
      </c>
      <c r="M68" s="619"/>
      <c r="N68" s="79"/>
      <c r="O68" s="618">
        <v>2015</v>
      </c>
      <c r="P68" s="618">
        <v>747</v>
      </c>
      <c r="Q68" s="79"/>
      <c r="R68" s="620">
        <v>0.40879799456847066</v>
      </c>
      <c r="S68" s="449">
        <f t="shared" si="2"/>
        <v>3006.4305463277319</v>
      </c>
      <c r="T68" s="449">
        <f t="shared" si="3"/>
        <v>180.6475629163466</v>
      </c>
      <c r="U68" s="449">
        <f t="shared" si="7"/>
        <v>180.6475629163466</v>
      </c>
      <c r="V68" s="449">
        <f t="shared" si="4"/>
        <v>762.39395196898818</v>
      </c>
      <c r="W68" s="621">
        <f t="shared" si="5"/>
        <v>4130.1196241294128</v>
      </c>
      <c r="Y68" s="452">
        <f>VLOOKUP($C68,'WB Population Data'!$C$6:$D$269,2,FALSE)</f>
        <v>896000</v>
      </c>
      <c r="Z68" s="453">
        <f t="shared" si="6"/>
        <v>0.20161558361199397</v>
      </c>
      <c r="AA68" s="622" t="str">
        <f>INDEX('HCW + Staff Summary'!$E$7:$E$270,MATCH($C68,'HCW + Staff Summary'!$C$7:$C$270,0))</f>
        <v>Upper middle income</v>
      </c>
      <c r="AB68" s="620">
        <f t="shared" si="8"/>
        <v>0.20161558361199397</v>
      </c>
    </row>
    <row r="69" spans="2:28" x14ac:dyDescent="0.75">
      <c r="B69" s="610" t="s">
        <v>393</v>
      </c>
      <c r="C69" s="610" t="s">
        <v>43</v>
      </c>
      <c r="D69" s="611"/>
      <c r="E69" s="612">
        <v>2016</v>
      </c>
      <c r="F69" s="617">
        <v>147.374</v>
      </c>
      <c r="G69" s="618">
        <v>81022</v>
      </c>
      <c r="H69" s="618">
        <v>81022</v>
      </c>
      <c r="I69" s="618" t="s">
        <v>761</v>
      </c>
      <c r="J69" s="79"/>
      <c r="K69" s="618">
        <v>2002</v>
      </c>
      <c r="L69" s="619"/>
      <c r="M69" s="619">
        <v>6822</v>
      </c>
      <c r="N69" s="79"/>
      <c r="O69" s="618">
        <v>2016</v>
      </c>
      <c r="P69" s="618">
        <v>20956</v>
      </c>
      <c r="Q69" s="79"/>
      <c r="R69" s="620">
        <v>0.28868929171388602</v>
      </c>
      <c r="S69" s="449">
        <f t="shared" si="2"/>
        <v>81961.666652205415</v>
      </c>
      <c r="T69" s="449">
        <f t="shared" si="3"/>
        <v>7185.3332025052341</v>
      </c>
      <c r="U69" s="449">
        <f t="shared" si="7"/>
        <v>7185.3332025052341</v>
      </c>
      <c r="V69" s="449">
        <f t="shared" si="4"/>
        <v>21199.040832904848</v>
      </c>
      <c r="W69" s="621">
        <f t="shared" si="5"/>
        <v>117531.37389012074</v>
      </c>
      <c r="Y69" s="452">
        <f>VLOOKUP($C69,'WB Population Data'!$C$6:$D$269,2,FALSE)</f>
        <v>5548000</v>
      </c>
      <c r="Z69" s="453">
        <f t="shared" si="6"/>
        <v>1.2951213414753486</v>
      </c>
      <c r="AA69" s="622" t="str">
        <f>INDEX('HCW + Staff Summary'!$E$7:$E$270,MATCH($C69,'HCW + Staff Summary'!$C$7:$C$270,0))</f>
        <v>High income</v>
      </c>
      <c r="AB69" s="620">
        <f t="shared" si="8"/>
        <v>1.2951213414753486</v>
      </c>
    </row>
    <row r="70" spans="2:28" x14ac:dyDescent="0.75">
      <c r="B70" s="610" t="s">
        <v>396</v>
      </c>
      <c r="C70" s="610" t="s">
        <v>45</v>
      </c>
      <c r="D70" s="611"/>
      <c r="E70" s="612">
        <v>2018</v>
      </c>
      <c r="F70" s="617">
        <v>114.70699999999999</v>
      </c>
      <c r="G70" s="618">
        <v>745485</v>
      </c>
      <c r="H70" s="618">
        <v>722572</v>
      </c>
      <c r="I70" s="618">
        <v>22913</v>
      </c>
      <c r="J70" s="79"/>
      <c r="K70" s="618"/>
      <c r="L70" s="619"/>
      <c r="M70" s="619"/>
      <c r="N70" s="79"/>
      <c r="O70" s="618">
        <v>2018</v>
      </c>
      <c r="P70" s="618">
        <v>212337</v>
      </c>
      <c r="Q70" s="79"/>
      <c r="R70" s="620">
        <v>0.29734730632026313</v>
      </c>
      <c r="S70" s="449">
        <f t="shared" si="2"/>
        <v>726875.48540717666</v>
      </c>
      <c r="T70" s="449">
        <f t="shared" si="3"/>
        <v>0</v>
      </c>
      <c r="U70" s="449">
        <f t="shared" si="7"/>
        <v>36857.602554146855</v>
      </c>
      <c r="V70" s="449">
        <f t="shared" si="4"/>
        <v>213601.63408615845</v>
      </c>
      <c r="W70" s="621">
        <f t="shared" si="5"/>
        <v>977334.72204748204</v>
      </c>
      <c r="Y70" s="452">
        <f>VLOOKUP($C70,'WB Population Data'!$C$6:$D$269,2,FALSE)</f>
        <v>67443000</v>
      </c>
      <c r="Z70" s="453">
        <f t="shared" si="6"/>
        <v>0</v>
      </c>
      <c r="AA70" s="622" t="str">
        <f>INDEX('HCW + Staff Summary'!$E$7:$E$270,MATCH($C70,'HCW + Staff Summary'!$C$7:$C$270,0))</f>
        <v>High income</v>
      </c>
      <c r="AB70" s="620">
        <f t="shared" si="8"/>
        <v>0.54650004528486062</v>
      </c>
    </row>
    <row r="71" spans="2:28" x14ac:dyDescent="0.75">
      <c r="B71" s="610" t="s">
        <v>195</v>
      </c>
      <c r="C71" s="610" t="s">
        <v>46</v>
      </c>
      <c r="D71" s="611"/>
      <c r="E71" s="612">
        <v>2017</v>
      </c>
      <c r="F71" s="617">
        <v>29.46</v>
      </c>
      <c r="G71" s="618">
        <v>6083</v>
      </c>
      <c r="H71" s="618">
        <v>5350</v>
      </c>
      <c r="I71" s="618">
        <v>733</v>
      </c>
      <c r="J71" s="79"/>
      <c r="K71" s="618">
        <v>2017</v>
      </c>
      <c r="L71" s="619"/>
      <c r="M71" s="619">
        <v>442</v>
      </c>
      <c r="N71" s="79"/>
      <c r="O71" s="618">
        <v>2017</v>
      </c>
      <c r="P71" s="618">
        <v>1408</v>
      </c>
      <c r="Q71" s="79"/>
      <c r="R71" s="620">
        <v>3.0769637002668637</v>
      </c>
      <c r="S71" s="449">
        <f t="shared" si="2"/>
        <v>5859.2041964590617</v>
      </c>
      <c r="T71" s="449">
        <f t="shared" si="3"/>
        <v>484.06883267942158</v>
      </c>
      <c r="U71" s="449">
        <f t="shared" si="7"/>
        <v>484.06883267942158</v>
      </c>
      <c r="V71" s="449">
        <f t="shared" si="4"/>
        <v>1542.0111231054877</v>
      </c>
      <c r="W71" s="621">
        <f t="shared" si="5"/>
        <v>8369.3529849233928</v>
      </c>
      <c r="Y71" s="452">
        <f>VLOOKUP($C71,'WB Population Data'!$C$6:$D$269,2,FALSE)</f>
        <v>2226000</v>
      </c>
      <c r="Z71" s="453">
        <f t="shared" si="6"/>
        <v>0.21746129051186955</v>
      </c>
      <c r="AA71" s="622" t="str">
        <f>INDEX('HCW + Staff Summary'!$E$7:$E$270,MATCH($C71,'HCW + Staff Summary'!$C$7:$C$270,0))</f>
        <v>Upper middle income</v>
      </c>
      <c r="AB71" s="620">
        <f t="shared" si="8"/>
        <v>0.21746129051186955</v>
      </c>
    </row>
    <row r="72" spans="2:28" ht="15.75" customHeight="1" x14ac:dyDescent="0.75">
      <c r="B72" s="610" t="s">
        <v>1127</v>
      </c>
      <c r="C72" s="610" t="s">
        <v>50</v>
      </c>
      <c r="D72" s="611"/>
      <c r="E72" s="612">
        <v>2015</v>
      </c>
      <c r="F72" s="617">
        <v>15.446999999999999</v>
      </c>
      <c r="G72" s="618">
        <v>3222</v>
      </c>
      <c r="H72" s="618">
        <v>2372</v>
      </c>
      <c r="I72" s="618">
        <v>850</v>
      </c>
      <c r="J72" s="79"/>
      <c r="K72" s="618">
        <v>2015</v>
      </c>
      <c r="L72" s="619">
        <v>11</v>
      </c>
      <c r="M72" s="619">
        <v>141</v>
      </c>
      <c r="N72" s="79"/>
      <c r="O72" s="618">
        <v>2015</v>
      </c>
      <c r="P72" s="618">
        <v>213</v>
      </c>
      <c r="Q72" s="79"/>
      <c r="R72" s="620">
        <v>2.9876825675823477</v>
      </c>
      <c r="S72" s="449">
        <f t="shared" si="2"/>
        <v>2748.154300726635</v>
      </c>
      <c r="T72" s="449">
        <f t="shared" si="3"/>
        <v>176.10432281216211</v>
      </c>
      <c r="U72" s="449">
        <f t="shared" ref="U72:U103" si="9">IF(T72=0,INDEX($AE$9:$AE$13,MATCH($AA72,$AD$9:$AD$13,0))*$Y72/1000,T72)</f>
        <v>176.10432281216211</v>
      </c>
      <c r="V72" s="449">
        <f t="shared" si="4"/>
        <v>246.77776815125347</v>
      </c>
      <c r="W72" s="621">
        <f t="shared" si="5"/>
        <v>3347.1407145022126</v>
      </c>
      <c r="Y72" s="452">
        <f>VLOOKUP($C72,'WB Population Data'!$C$6:$D$269,2,FALSE)</f>
        <v>2417000</v>
      </c>
      <c r="Z72" s="453">
        <f t="shared" si="6"/>
        <v>7.2860704514754696E-2</v>
      </c>
      <c r="AA72" s="622" t="str">
        <f>INDEX('HCW + Staff Summary'!$E$7:$E$270,MATCH($C72,'HCW + Staff Summary'!$C$7:$C$270,0))</f>
        <v>Low income</v>
      </c>
      <c r="AB72" s="620">
        <f t="shared" ref="AB72:AB103" si="10">IF(Z72=0,INDEX($AE$9:$AE$13,MATCH($AA72,$AD$9:$AD$13,0)),Z72)</f>
        <v>7.2860704514754696E-2</v>
      </c>
    </row>
    <row r="73" spans="2:28" x14ac:dyDescent="0.75">
      <c r="B73" s="610" t="s">
        <v>236</v>
      </c>
      <c r="C73" s="610" t="s">
        <v>48</v>
      </c>
      <c r="D73" s="611"/>
      <c r="E73" s="612">
        <v>2018</v>
      </c>
      <c r="F73" s="617">
        <v>47.292999999999999</v>
      </c>
      <c r="G73" s="618">
        <v>18931</v>
      </c>
      <c r="H73" s="618">
        <v>18440</v>
      </c>
      <c r="I73" s="618">
        <v>491</v>
      </c>
      <c r="J73" s="79"/>
      <c r="K73" s="618"/>
      <c r="L73" s="619"/>
      <c r="M73" s="619"/>
      <c r="N73" s="79"/>
      <c r="O73" s="618">
        <v>2018</v>
      </c>
      <c r="P73" s="618">
        <v>28501</v>
      </c>
      <c r="Q73" s="79"/>
      <c r="R73" s="620">
        <v>7.1594084937950081E-2</v>
      </c>
      <c r="S73" s="449">
        <f t="shared" ref="S73:S136" si="11">IFERROR(H73*(1+R73/100)^(2020-E73),H73)</f>
        <v>18466.413350339888</v>
      </c>
      <c r="T73" s="449">
        <f t="shared" ref="T73:T136" si="12">IFERROR(SUM(L73:M73)*(1+$R73/100)^(2020-$K73),SUM(L73:M73))</f>
        <v>0</v>
      </c>
      <c r="U73" s="449">
        <f t="shared" si="9"/>
        <v>815.69353277340065</v>
      </c>
      <c r="V73" s="449">
        <f t="shared" ref="V73:V136" si="13">IFERROR(P73*(1+$R73/100)^(2020-$O73),P73)</f>
        <v>28541.824669090951</v>
      </c>
      <c r="W73" s="621">
        <f t="shared" ref="W73:W136" si="14">SUM(S73:V73)</f>
        <v>47823.931552204238</v>
      </c>
      <c r="Y73" s="452">
        <f>VLOOKUP($C73,'WB Population Data'!$C$6:$D$269,2,FALSE)</f>
        <v>3711000</v>
      </c>
      <c r="Z73" s="453">
        <f t="shared" ref="Z73:Z127" si="15">IFERROR(T73/Y73*1000,0)</f>
        <v>0</v>
      </c>
      <c r="AA73" s="622" t="str">
        <f>INDEX('HCW + Staff Summary'!$E$7:$E$270,MATCH($C73,'HCW + Staff Summary'!$C$7:$C$270,0))</f>
        <v>Upper middle income</v>
      </c>
      <c r="AB73" s="620">
        <f t="shared" si="10"/>
        <v>0.21980423949700909</v>
      </c>
    </row>
    <row r="74" spans="2:28" x14ac:dyDescent="0.75">
      <c r="B74" s="610" t="s">
        <v>400</v>
      </c>
      <c r="C74" s="610" t="s">
        <v>34</v>
      </c>
      <c r="D74" s="611"/>
      <c r="E74" s="612">
        <v>2017</v>
      </c>
      <c r="F74" s="617">
        <v>132.352</v>
      </c>
      <c r="G74" s="618">
        <v>1094000</v>
      </c>
      <c r="H74" s="618">
        <v>1070000</v>
      </c>
      <c r="I74" s="618">
        <v>24000</v>
      </c>
      <c r="J74" s="79"/>
      <c r="K74" s="618"/>
      <c r="L74" s="619"/>
      <c r="M74" s="619"/>
      <c r="N74" s="79"/>
      <c r="O74" s="618">
        <v>2017</v>
      </c>
      <c r="P74" s="618">
        <v>351195</v>
      </c>
      <c r="Q74" s="79"/>
      <c r="R74" s="620">
        <v>0.5581502503188418</v>
      </c>
      <c r="S74" s="449">
        <f t="shared" si="11"/>
        <v>1088016.810764757</v>
      </c>
      <c r="T74" s="449">
        <f t="shared" si="12"/>
        <v>0</v>
      </c>
      <c r="U74" s="449">
        <f t="shared" si="9"/>
        <v>45183.530744061711</v>
      </c>
      <c r="V74" s="449">
        <f t="shared" si="13"/>
        <v>357108.47089395218</v>
      </c>
      <c r="W74" s="621">
        <f t="shared" si="14"/>
        <v>1490308.8124027709</v>
      </c>
      <c r="Y74" s="452">
        <f>VLOOKUP($C74,'WB Population Data'!$C$6:$D$269,2,FALSE)</f>
        <v>82678000</v>
      </c>
      <c r="Z74" s="453">
        <f t="shared" si="15"/>
        <v>0</v>
      </c>
      <c r="AA74" s="622" t="str">
        <f>INDEX('HCW + Staff Summary'!$E$7:$E$270,MATCH($C74,'HCW + Staff Summary'!$C$7:$C$270,0))</f>
        <v>High income</v>
      </c>
      <c r="AB74" s="620">
        <f t="shared" si="10"/>
        <v>0.54650004528486062</v>
      </c>
    </row>
    <row r="75" spans="2:28" x14ac:dyDescent="0.75">
      <c r="B75" s="610" t="s">
        <v>196</v>
      </c>
      <c r="C75" s="610" t="s">
        <v>162</v>
      </c>
      <c r="D75" s="611"/>
      <c r="E75" s="612">
        <v>2018</v>
      </c>
      <c r="F75" s="617">
        <v>42.000999999999998</v>
      </c>
      <c r="G75" s="618">
        <v>125024</v>
      </c>
      <c r="H75" s="618">
        <v>125024</v>
      </c>
      <c r="I75" s="618" t="s">
        <v>761</v>
      </c>
      <c r="J75" s="79"/>
      <c r="K75" s="618">
        <v>2013</v>
      </c>
      <c r="L75" s="619"/>
      <c r="M75" s="619">
        <v>3987</v>
      </c>
      <c r="N75" s="79"/>
      <c r="O75" s="618">
        <v>2017</v>
      </c>
      <c r="P75" s="618">
        <v>3957</v>
      </c>
      <c r="Q75" s="79"/>
      <c r="R75" s="620">
        <v>2.2441111554453439</v>
      </c>
      <c r="S75" s="449">
        <f t="shared" si="11"/>
        <v>130698.31758442659</v>
      </c>
      <c r="T75" s="449">
        <f t="shared" si="12"/>
        <v>4657.087119549602</v>
      </c>
      <c r="U75" s="449">
        <f t="shared" si="9"/>
        <v>4657.087119549602</v>
      </c>
      <c r="V75" s="449">
        <f t="shared" si="13"/>
        <v>4229.4214319936309</v>
      </c>
      <c r="W75" s="621">
        <f t="shared" si="14"/>
        <v>144241.91325551944</v>
      </c>
      <c r="Y75" s="452">
        <f>VLOOKUP($C75,'WB Population Data'!$C$6:$D$269,2,FALSE)</f>
        <v>31073000</v>
      </c>
      <c r="Z75" s="453">
        <f t="shared" si="15"/>
        <v>0.14987568369805304</v>
      </c>
      <c r="AA75" s="622" t="str">
        <f>INDEX('HCW + Staff Summary'!$E$7:$E$270,MATCH($C75,'HCW + Staff Summary'!$C$7:$C$270,0))</f>
        <v>Lower middle income</v>
      </c>
      <c r="AB75" s="620">
        <f t="shared" si="10"/>
        <v>0.14987568369805304</v>
      </c>
    </row>
    <row r="76" spans="2:28" x14ac:dyDescent="0.75">
      <c r="B76" s="610" t="s">
        <v>403</v>
      </c>
      <c r="C76" s="610" t="s">
        <v>51</v>
      </c>
      <c r="D76" s="611"/>
      <c r="E76" s="612">
        <v>2017</v>
      </c>
      <c r="F76" s="617">
        <v>36.331000000000003</v>
      </c>
      <c r="G76" s="618">
        <v>38400</v>
      </c>
      <c r="H76" s="618">
        <v>35592</v>
      </c>
      <c r="I76" s="618">
        <v>2808</v>
      </c>
      <c r="J76" s="79"/>
      <c r="K76" s="618">
        <v>2011</v>
      </c>
      <c r="L76" s="619"/>
      <c r="M76" s="619">
        <v>6190</v>
      </c>
      <c r="N76" s="79"/>
      <c r="O76" s="618">
        <v>2017</v>
      </c>
      <c r="P76" s="618">
        <v>57909</v>
      </c>
      <c r="Q76" s="79"/>
      <c r="R76" s="620">
        <v>-0.43802852569383299</v>
      </c>
      <c r="S76" s="449">
        <f t="shared" si="11"/>
        <v>35126.33637042826</v>
      </c>
      <c r="T76" s="449">
        <f t="shared" si="12"/>
        <v>5950.206503199518</v>
      </c>
      <c r="U76" s="449">
        <f t="shared" si="9"/>
        <v>5950.206503199518</v>
      </c>
      <c r="V76" s="449">
        <f t="shared" si="13"/>
        <v>57151.354598649414</v>
      </c>
      <c r="W76" s="621">
        <f t="shared" si="14"/>
        <v>104178.1039754767</v>
      </c>
      <c r="Y76" s="452">
        <f>VLOOKUP($C76,'WB Population Data'!$C$6:$D$269,2,FALSE)</f>
        <v>10665000</v>
      </c>
      <c r="Z76" s="453">
        <f t="shared" si="15"/>
        <v>0.55791903452409919</v>
      </c>
      <c r="AA76" s="622" t="str">
        <f>INDEX('HCW + Staff Summary'!$E$7:$E$270,MATCH($C76,'HCW + Staff Summary'!$C$7:$C$270,0))</f>
        <v>High income</v>
      </c>
      <c r="AB76" s="620">
        <f t="shared" si="10"/>
        <v>0.55791903452409919</v>
      </c>
    </row>
    <row r="77" spans="2:28" x14ac:dyDescent="0.75">
      <c r="B77" s="610" t="s">
        <v>406</v>
      </c>
      <c r="C77" s="610" t="s">
        <v>52</v>
      </c>
      <c r="D77" s="611"/>
      <c r="E77" s="612">
        <v>2018</v>
      </c>
      <c r="F77" s="617">
        <v>62.837000000000003</v>
      </c>
      <c r="G77" s="618">
        <v>700</v>
      </c>
      <c r="H77" s="618">
        <v>700</v>
      </c>
      <c r="I77" s="618" t="s">
        <v>761</v>
      </c>
      <c r="J77" s="79"/>
      <c r="K77" s="618">
        <v>2003</v>
      </c>
      <c r="L77" s="619"/>
      <c r="M77" s="619">
        <v>13</v>
      </c>
      <c r="N77" s="79"/>
      <c r="O77" s="618">
        <v>2017</v>
      </c>
      <c r="P77" s="618">
        <v>156</v>
      </c>
      <c r="Q77" s="79"/>
      <c r="R77" s="620">
        <v>0.59815772159003067</v>
      </c>
      <c r="S77" s="449">
        <f t="shared" si="11"/>
        <v>708.39925358845312</v>
      </c>
      <c r="T77" s="449">
        <f t="shared" si="12"/>
        <v>14.387118443782994</v>
      </c>
      <c r="U77" s="449">
        <f t="shared" si="9"/>
        <v>14.387118443782994</v>
      </c>
      <c r="V77" s="449">
        <f t="shared" si="13"/>
        <v>158.81615622008951</v>
      </c>
      <c r="W77" s="621">
        <f t="shared" si="14"/>
        <v>895.98964669610871</v>
      </c>
      <c r="Y77" s="452">
        <f>VLOOKUP($C77,'WB Population Data'!$C$6:$D$269,2,FALSE)</f>
        <v>113000</v>
      </c>
      <c r="Z77" s="453">
        <f t="shared" si="15"/>
        <v>0.1273196322458672</v>
      </c>
      <c r="AA77" s="622" t="str">
        <f>INDEX('HCW + Staff Summary'!$E$7:$E$270,MATCH($C77,'HCW + Staff Summary'!$C$7:$C$270,0))</f>
        <v>Upper middle income</v>
      </c>
      <c r="AB77" s="620">
        <f t="shared" si="10"/>
        <v>0.1273196322458672</v>
      </c>
    </row>
    <row r="78" spans="2:28" x14ac:dyDescent="0.75">
      <c r="B78" s="610" t="s">
        <v>223</v>
      </c>
      <c r="C78" s="610" t="s">
        <v>53</v>
      </c>
      <c r="D78" s="611"/>
      <c r="E78" s="612">
        <v>2018</v>
      </c>
      <c r="F78" s="617">
        <v>0.73699999999999999</v>
      </c>
      <c r="G78" s="618">
        <v>1271</v>
      </c>
      <c r="H78" s="618">
        <v>1271</v>
      </c>
      <c r="I78" s="618" t="s">
        <v>761</v>
      </c>
      <c r="J78" s="79"/>
      <c r="K78" s="618">
        <v>2018</v>
      </c>
      <c r="L78" s="619">
        <v>127</v>
      </c>
      <c r="M78" s="619">
        <v>399</v>
      </c>
      <c r="N78" s="79"/>
      <c r="O78" s="618">
        <v>2018</v>
      </c>
      <c r="P78" s="618">
        <v>6122</v>
      </c>
      <c r="Q78" s="79"/>
      <c r="R78" s="620">
        <v>2.0136402241642744</v>
      </c>
      <c r="S78" s="449">
        <f t="shared" si="11"/>
        <v>1322.7020928359027</v>
      </c>
      <c r="T78" s="449">
        <f t="shared" si="12"/>
        <v>547.39677484790309</v>
      </c>
      <c r="U78" s="449">
        <f t="shared" si="9"/>
        <v>547.39677484790309</v>
      </c>
      <c r="V78" s="449">
        <f t="shared" si="13"/>
        <v>6371.0324251309175</v>
      </c>
      <c r="W78" s="621">
        <f t="shared" si="14"/>
        <v>8788.5280676626262</v>
      </c>
      <c r="Y78" s="452">
        <f>VLOOKUP($C78,'WB Population Data'!$C$6:$D$269,2,FALSE)</f>
        <v>17916000</v>
      </c>
      <c r="Z78" s="453">
        <f t="shared" si="15"/>
        <v>3.055351500602272E-2</v>
      </c>
      <c r="AA78" s="622" t="str">
        <f>INDEX('HCW + Staff Summary'!$E$7:$E$270,MATCH($C78,'HCW + Staff Summary'!$C$7:$C$270,0))</f>
        <v>Upper middle income</v>
      </c>
      <c r="AB78" s="620">
        <f t="shared" si="10"/>
        <v>3.055351500602272E-2</v>
      </c>
    </row>
    <row r="79" spans="2:28" x14ac:dyDescent="0.75">
      <c r="B79" s="610" t="s">
        <v>197</v>
      </c>
      <c r="C79" s="610" t="s">
        <v>49</v>
      </c>
      <c r="D79" s="611"/>
      <c r="E79" s="612">
        <v>2016</v>
      </c>
      <c r="F79" s="617">
        <v>1.238</v>
      </c>
      <c r="G79" s="618">
        <v>1453</v>
      </c>
      <c r="H79" s="618">
        <v>1010</v>
      </c>
      <c r="I79" s="618">
        <v>443</v>
      </c>
      <c r="J79" s="79"/>
      <c r="K79" s="618">
        <v>2016</v>
      </c>
      <c r="L79" s="619"/>
      <c r="M79" s="619">
        <v>209</v>
      </c>
      <c r="N79" s="79"/>
      <c r="O79" s="618">
        <v>2016</v>
      </c>
      <c r="P79" s="618">
        <v>977</v>
      </c>
      <c r="Q79" s="79"/>
      <c r="R79" s="620">
        <v>2.6149509069821999</v>
      </c>
      <c r="S79" s="449">
        <f t="shared" si="11"/>
        <v>1119.8605366961083</v>
      </c>
      <c r="T79" s="449">
        <f t="shared" si="12"/>
        <v>231.73351699949171</v>
      </c>
      <c r="U79" s="449">
        <f t="shared" si="9"/>
        <v>231.73351699949171</v>
      </c>
      <c r="V79" s="449">
        <f t="shared" si="13"/>
        <v>1083.2710340119779</v>
      </c>
      <c r="W79" s="621">
        <f t="shared" si="14"/>
        <v>2666.5986047070696</v>
      </c>
      <c r="Y79" s="452">
        <f>VLOOKUP($C79,'WB Population Data'!$C$6:$D$269,2,FALSE)</f>
        <v>13133000</v>
      </c>
      <c r="Z79" s="453">
        <f t="shared" si="15"/>
        <v>1.7645131881481133E-2</v>
      </c>
      <c r="AA79" s="622" t="str">
        <f>INDEX('HCW + Staff Summary'!$E$7:$E$270,MATCH($C79,'HCW + Staff Summary'!$C$7:$C$270,0))</f>
        <v>Low income</v>
      </c>
      <c r="AB79" s="620">
        <f t="shared" si="10"/>
        <v>1.7645131881481133E-2</v>
      </c>
    </row>
    <row r="80" spans="2:28" x14ac:dyDescent="0.75">
      <c r="B80" s="610" t="s">
        <v>198</v>
      </c>
      <c r="C80" s="610" t="s">
        <v>172</v>
      </c>
      <c r="D80" s="611"/>
      <c r="E80" s="612">
        <v>2018</v>
      </c>
      <c r="F80" s="617">
        <v>6.851</v>
      </c>
      <c r="G80" s="618">
        <v>1284</v>
      </c>
      <c r="H80" s="618">
        <v>1284</v>
      </c>
      <c r="I80" s="618" t="s">
        <v>761</v>
      </c>
      <c r="J80" s="79"/>
      <c r="K80" s="618">
        <v>2016</v>
      </c>
      <c r="L80" s="619">
        <v>158</v>
      </c>
      <c r="M80" s="619">
        <v>16</v>
      </c>
      <c r="N80" s="79"/>
      <c r="O80" s="618">
        <v>2016</v>
      </c>
      <c r="P80" s="618">
        <v>227</v>
      </c>
      <c r="Q80" s="79"/>
      <c r="R80" s="620">
        <v>2.5704338446625661</v>
      </c>
      <c r="S80" s="449">
        <f t="shared" si="11"/>
        <v>1350.8570966421671</v>
      </c>
      <c r="T80" s="449">
        <f t="shared" si="12"/>
        <v>192.59190020564623</v>
      </c>
      <c r="U80" s="449">
        <f t="shared" si="9"/>
        <v>192.59190020564623</v>
      </c>
      <c r="V80" s="449">
        <f t="shared" si="13"/>
        <v>251.2549502682856</v>
      </c>
      <c r="W80" s="621">
        <f t="shared" si="14"/>
        <v>1987.295847321745</v>
      </c>
      <c r="Y80" s="452">
        <f>VLOOKUP($C80,'WB Population Data'!$C$6:$D$269,2,FALSE)</f>
        <v>1968000</v>
      </c>
      <c r="Z80" s="453">
        <f t="shared" si="15"/>
        <v>9.7861737909373081E-2</v>
      </c>
      <c r="AA80" s="622" t="str">
        <f>INDEX('HCW + Staff Summary'!$E$7:$E$270,MATCH($C80,'HCW + Staff Summary'!$C$7:$C$270,0))</f>
        <v>Low income</v>
      </c>
      <c r="AB80" s="620">
        <f t="shared" si="10"/>
        <v>9.7861737909373081E-2</v>
      </c>
    </row>
    <row r="81" spans="2:28" x14ac:dyDescent="0.75">
      <c r="B81" s="610" t="s">
        <v>224</v>
      </c>
      <c r="C81" s="610" t="s">
        <v>54</v>
      </c>
      <c r="D81" s="611"/>
      <c r="E81" s="612">
        <v>2018</v>
      </c>
      <c r="F81" s="617">
        <v>10.398</v>
      </c>
      <c r="G81" s="618">
        <v>810</v>
      </c>
      <c r="H81" s="618">
        <v>731</v>
      </c>
      <c r="I81" s="618">
        <v>79</v>
      </c>
      <c r="J81" s="79"/>
      <c r="K81" s="618">
        <v>2018</v>
      </c>
      <c r="L81" s="619"/>
      <c r="M81" s="619">
        <v>21</v>
      </c>
      <c r="N81" s="79"/>
      <c r="O81" s="618">
        <v>2018</v>
      </c>
      <c r="P81" s="618">
        <v>625</v>
      </c>
      <c r="Q81" s="79"/>
      <c r="R81" s="620">
        <v>0.51277959318469801</v>
      </c>
      <c r="S81" s="449">
        <f t="shared" si="11"/>
        <v>738.51605877916802</v>
      </c>
      <c r="T81" s="449">
        <f t="shared" si="12"/>
        <v>21.215919609251067</v>
      </c>
      <c r="U81" s="449">
        <f t="shared" si="9"/>
        <v>21.215919609251067</v>
      </c>
      <c r="V81" s="449">
        <f t="shared" si="13"/>
        <v>631.42617884675792</v>
      </c>
      <c r="W81" s="621">
        <f t="shared" si="14"/>
        <v>1412.3740768444281</v>
      </c>
      <c r="Y81" s="452">
        <f>VLOOKUP($C81,'WB Population Data'!$C$6:$D$269,2,FALSE)</f>
        <v>787000</v>
      </c>
      <c r="Z81" s="453">
        <f t="shared" si="15"/>
        <v>2.6957966466646846E-2</v>
      </c>
      <c r="AA81" s="622" t="str">
        <f>INDEX('HCW + Staff Summary'!$E$7:$E$270,MATCH($C81,'HCW + Staff Summary'!$C$7:$C$270,0))</f>
        <v>Upper middle income</v>
      </c>
      <c r="AB81" s="620">
        <f t="shared" si="10"/>
        <v>2.6957966466646846E-2</v>
      </c>
    </row>
    <row r="82" spans="2:28" x14ac:dyDescent="0.75">
      <c r="B82" s="610" t="s">
        <v>225</v>
      </c>
      <c r="C82" s="610" t="s">
        <v>56</v>
      </c>
      <c r="D82" s="611"/>
      <c r="E82" s="612">
        <v>2018</v>
      </c>
      <c r="F82" s="617">
        <v>6.798</v>
      </c>
      <c r="G82" s="618">
        <v>7561</v>
      </c>
      <c r="H82" s="618">
        <v>7364</v>
      </c>
      <c r="I82" s="618">
        <v>197</v>
      </c>
      <c r="J82" s="79"/>
      <c r="K82" s="618">
        <v>2018</v>
      </c>
      <c r="L82" s="619"/>
      <c r="M82" s="619">
        <v>1731</v>
      </c>
      <c r="N82" s="79"/>
      <c r="O82" s="618">
        <v>2018</v>
      </c>
      <c r="P82" s="618">
        <v>2606</v>
      </c>
      <c r="Q82" s="79"/>
      <c r="R82" s="620">
        <v>1.3432068792387479</v>
      </c>
      <c r="S82" s="449">
        <f t="shared" si="11"/>
        <v>7563.1561255304105</v>
      </c>
      <c r="T82" s="449">
        <f t="shared" si="12"/>
        <v>1777.8141299963527</v>
      </c>
      <c r="U82" s="449">
        <f t="shared" si="9"/>
        <v>1777.8141299963527</v>
      </c>
      <c r="V82" s="449">
        <f t="shared" si="13"/>
        <v>2676.4781182960687</v>
      </c>
      <c r="W82" s="621">
        <f t="shared" si="14"/>
        <v>13795.262503819184</v>
      </c>
      <c r="Y82" s="452">
        <f>VLOOKUP($C82,'WB Population Data'!$C$6:$D$269,2,FALSE)</f>
        <v>11403000</v>
      </c>
      <c r="Z82" s="453">
        <f t="shared" si="15"/>
        <v>0.15590757958400006</v>
      </c>
      <c r="AA82" s="622" t="str">
        <f>INDEX('HCW + Staff Summary'!$E$7:$E$270,MATCH($C82,'HCW + Staff Summary'!$C$7:$C$270,0))</f>
        <v>Low income</v>
      </c>
      <c r="AB82" s="620">
        <f t="shared" si="10"/>
        <v>0.15590757958400006</v>
      </c>
    </row>
    <row r="83" spans="2:28" x14ac:dyDescent="0.75">
      <c r="B83" s="610" t="s">
        <v>226</v>
      </c>
      <c r="C83" s="610" t="s">
        <v>166</v>
      </c>
      <c r="D83" s="611"/>
      <c r="E83" s="612">
        <v>2018</v>
      </c>
      <c r="F83" s="617">
        <v>7.3570000000000002</v>
      </c>
      <c r="G83" s="618">
        <v>7054</v>
      </c>
      <c r="H83" s="618">
        <v>7054</v>
      </c>
      <c r="I83" s="618" t="s">
        <v>761</v>
      </c>
      <c r="J83" s="79"/>
      <c r="K83" s="618"/>
      <c r="L83" s="619"/>
      <c r="M83" s="619"/>
      <c r="N83" s="79"/>
      <c r="O83" s="618">
        <v>2017</v>
      </c>
      <c r="P83" s="618">
        <v>2913</v>
      </c>
      <c r="Q83" s="79"/>
      <c r="R83" s="620">
        <v>1.7175764433587382</v>
      </c>
      <c r="S83" s="449">
        <f t="shared" si="11"/>
        <v>7298.3966631879284</v>
      </c>
      <c r="T83" s="449">
        <f t="shared" si="12"/>
        <v>0</v>
      </c>
      <c r="U83" s="449">
        <f t="shared" si="9"/>
        <v>2731.1934918303568</v>
      </c>
      <c r="V83" s="449">
        <f t="shared" si="13"/>
        <v>3065.6918306232824</v>
      </c>
      <c r="W83" s="621">
        <f t="shared" si="14"/>
        <v>13095.281985641568</v>
      </c>
      <c r="Y83" s="452">
        <f>VLOOKUP($C83,'WB Population Data'!$C$6:$D$269,2,FALSE)</f>
        <v>9905000</v>
      </c>
      <c r="Z83" s="453">
        <f t="shared" si="15"/>
        <v>0</v>
      </c>
      <c r="AA83" s="622" t="str">
        <f>INDEX('HCW + Staff Summary'!$E$7:$E$270,MATCH($C83,'HCW + Staff Summary'!$C$7:$C$270,0))</f>
        <v>Lower middle income</v>
      </c>
      <c r="AB83" s="620">
        <f t="shared" si="10"/>
        <v>0.2757388684331506</v>
      </c>
    </row>
    <row r="84" spans="2:28" x14ac:dyDescent="0.75">
      <c r="B84" s="610" t="s">
        <v>415</v>
      </c>
      <c r="C84" s="610" t="s">
        <v>57</v>
      </c>
      <c r="D84" s="611"/>
      <c r="E84" s="612">
        <v>2018</v>
      </c>
      <c r="F84" s="617">
        <v>69.156999999999996</v>
      </c>
      <c r="G84" s="618">
        <v>67134</v>
      </c>
      <c r="H84" s="618">
        <v>64695</v>
      </c>
      <c r="I84" s="618">
        <v>2439</v>
      </c>
      <c r="J84" s="79"/>
      <c r="K84" s="618"/>
      <c r="L84" s="619"/>
      <c r="M84" s="619"/>
      <c r="N84" s="79"/>
      <c r="O84" s="618">
        <v>2018</v>
      </c>
      <c r="P84" s="618">
        <v>33078</v>
      </c>
      <c r="Q84" s="79"/>
      <c r="R84" s="620">
        <v>-0.25287253921976866</v>
      </c>
      <c r="S84" s="449">
        <f t="shared" si="11"/>
        <v>64368.221910582739</v>
      </c>
      <c r="T84" s="449">
        <f t="shared" si="12"/>
        <v>0</v>
      </c>
      <c r="U84" s="449">
        <f t="shared" si="9"/>
        <v>5298.3179390367241</v>
      </c>
      <c r="V84" s="449">
        <f t="shared" si="13"/>
        <v>32910.921158640631</v>
      </c>
      <c r="W84" s="621">
        <f t="shared" si="14"/>
        <v>102577.4610082601</v>
      </c>
      <c r="Y84" s="452">
        <f>VLOOKUP($C84,'WB Population Data'!$C$6:$D$269,2,FALSE)</f>
        <v>9695000</v>
      </c>
      <c r="Z84" s="453">
        <f t="shared" si="15"/>
        <v>0</v>
      </c>
      <c r="AA84" s="622" t="str">
        <f>INDEX('HCW + Staff Summary'!$E$7:$E$270,MATCH($C84,'HCW + Staff Summary'!$C$7:$C$270,0))</f>
        <v>High income</v>
      </c>
      <c r="AB84" s="620">
        <f t="shared" si="10"/>
        <v>0.54650004528486062</v>
      </c>
    </row>
    <row r="85" spans="2:28" x14ac:dyDescent="0.75">
      <c r="B85" s="610" t="s">
        <v>416</v>
      </c>
      <c r="C85" s="610" t="s">
        <v>63</v>
      </c>
      <c r="D85" s="611"/>
      <c r="E85" s="612">
        <v>2018</v>
      </c>
      <c r="F85" s="617">
        <v>162.13200000000001</v>
      </c>
      <c r="G85" s="618">
        <v>5459</v>
      </c>
      <c r="H85" s="618">
        <v>5174</v>
      </c>
      <c r="I85" s="618">
        <v>285</v>
      </c>
      <c r="J85" s="79"/>
      <c r="K85" s="618">
        <v>2009</v>
      </c>
      <c r="L85" s="619">
        <v>299</v>
      </c>
      <c r="M85" s="619"/>
      <c r="N85" s="79"/>
      <c r="O85" s="618">
        <v>2018</v>
      </c>
      <c r="P85" s="618">
        <v>1373</v>
      </c>
      <c r="Q85" s="79"/>
      <c r="R85" s="620">
        <v>1.76155886652551</v>
      </c>
      <c r="S85" s="449">
        <f t="shared" si="11"/>
        <v>5357.8916500879177</v>
      </c>
      <c r="T85" s="449">
        <f t="shared" si="12"/>
        <v>362.32012030572992</v>
      </c>
      <c r="U85" s="449">
        <f t="shared" si="9"/>
        <v>362.32012030572992</v>
      </c>
      <c r="V85" s="449">
        <f t="shared" si="13"/>
        <v>1421.798460682395</v>
      </c>
      <c r="W85" s="621">
        <f t="shared" si="14"/>
        <v>7504.3303513817718</v>
      </c>
      <c r="Y85" s="452">
        <f>VLOOKUP($C85,'WB Population Data'!$C$6:$D$269,2,FALSE)</f>
        <v>359000</v>
      </c>
      <c r="Z85" s="453">
        <f t="shared" si="15"/>
        <v>1.0092482459769636</v>
      </c>
      <c r="AA85" s="622" t="str">
        <f>INDEX('HCW + Staff Summary'!$E$7:$E$270,MATCH($C85,'HCW + Staff Summary'!$C$7:$C$270,0))</f>
        <v>High income</v>
      </c>
      <c r="AB85" s="620">
        <f t="shared" si="10"/>
        <v>1.0092482459769636</v>
      </c>
    </row>
    <row r="86" spans="2:28" x14ac:dyDescent="0.75">
      <c r="B86" s="610" t="s">
        <v>417</v>
      </c>
      <c r="C86" s="610" t="s">
        <v>59</v>
      </c>
      <c r="D86" s="611"/>
      <c r="E86" s="612">
        <v>2018</v>
      </c>
      <c r="F86" s="617">
        <v>17.271000000000001</v>
      </c>
      <c r="G86" s="618">
        <v>2336204</v>
      </c>
      <c r="H86" s="618">
        <v>2336204</v>
      </c>
      <c r="I86" s="618" t="s">
        <v>761</v>
      </c>
      <c r="J86" s="79"/>
      <c r="K86" s="618">
        <v>2018</v>
      </c>
      <c r="L86" s="619">
        <v>500000</v>
      </c>
      <c r="M86" s="619"/>
      <c r="N86" s="79"/>
      <c r="O86" s="618">
        <v>2018</v>
      </c>
      <c r="P86" s="618">
        <v>1159309</v>
      </c>
      <c r="Q86" s="79"/>
      <c r="R86" s="620">
        <v>1.0904115827235938</v>
      </c>
      <c r="S86" s="449">
        <f t="shared" si="11"/>
        <v>2387430.2520769015</v>
      </c>
      <c r="T86" s="449">
        <f t="shared" si="12"/>
        <v>510963.56569822278</v>
      </c>
      <c r="U86" s="449">
        <f t="shared" si="9"/>
        <v>510963.56569822278</v>
      </c>
      <c r="V86" s="449">
        <f t="shared" si="13"/>
        <v>1184729.3207720818</v>
      </c>
      <c r="W86" s="621">
        <f t="shared" si="14"/>
        <v>4594086.7042454286</v>
      </c>
      <c r="Y86" s="452">
        <f>VLOOKUP($C86,'WB Population Data'!$C$6:$D$269,2,FALSE)</f>
        <v>1380004000</v>
      </c>
      <c r="Z86" s="453">
        <f t="shared" si="15"/>
        <v>0.3702623801802189</v>
      </c>
      <c r="AA86" s="622" t="str">
        <f>INDEX('HCW + Staff Summary'!$E$7:$E$270,MATCH($C86,'HCW + Staff Summary'!$C$7:$C$270,0))</f>
        <v>Lower middle income</v>
      </c>
      <c r="AB86" s="620">
        <f t="shared" si="10"/>
        <v>0.3702623801802189</v>
      </c>
    </row>
    <row r="87" spans="2:28" x14ac:dyDescent="0.75">
      <c r="B87" s="610" t="s">
        <v>242</v>
      </c>
      <c r="C87" s="610" t="s">
        <v>58</v>
      </c>
      <c r="D87" s="611"/>
      <c r="E87" s="612">
        <v>2018</v>
      </c>
      <c r="F87" s="617">
        <v>24.149000000000001</v>
      </c>
      <c r="G87" s="618">
        <v>646405</v>
      </c>
      <c r="H87" s="618">
        <v>409950</v>
      </c>
      <c r="I87" s="618">
        <v>236455</v>
      </c>
      <c r="J87" s="79"/>
      <c r="K87" s="618">
        <v>2018</v>
      </c>
      <c r="L87" s="619">
        <v>164</v>
      </c>
      <c r="M87" s="619">
        <v>25215</v>
      </c>
      <c r="N87" s="79"/>
      <c r="O87" s="618">
        <v>2018</v>
      </c>
      <c r="P87" s="618">
        <v>114271</v>
      </c>
      <c r="Q87" s="79"/>
      <c r="R87" s="620">
        <v>1.221396110076578</v>
      </c>
      <c r="S87" s="449">
        <f t="shared" si="11"/>
        <v>420025.38339424157</v>
      </c>
      <c r="T87" s="449">
        <f t="shared" si="12"/>
        <v>26002.742298237485</v>
      </c>
      <c r="U87" s="449">
        <f t="shared" si="9"/>
        <v>26002.742298237485</v>
      </c>
      <c r="V87" s="449">
        <f t="shared" si="13"/>
        <v>117079.45014231828</v>
      </c>
      <c r="W87" s="621">
        <f t="shared" si="14"/>
        <v>589110.31813303486</v>
      </c>
      <c r="Y87" s="452">
        <f>VLOOKUP($C87,'WB Population Data'!$C$6:$D$269,2,FALSE)</f>
        <v>273524000</v>
      </c>
      <c r="Z87" s="453">
        <f t="shared" si="15"/>
        <v>9.5065669916488071E-2</v>
      </c>
      <c r="AA87" s="622" t="str">
        <f>INDEX('HCW + Staff Summary'!$E$7:$E$270,MATCH($C87,'HCW + Staff Summary'!$C$7:$C$270,0))</f>
        <v>Lower middle income</v>
      </c>
      <c r="AB87" s="620">
        <f t="shared" si="10"/>
        <v>9.5065669916488071E-2</v>
      </c>
    </row>
    <row r="88" spans="2:28" x14ac:dyDescent="0.75">
      <c r="B88" s="610" t="s">
        <v>1172</v>
      </c>
      <c r="C88" s="610" t="s">
        <v>61</v>
      </c>
      <c r="D88" s="611"/>
      <c r="E88" s="612">
        <v>2017</v>
      </c>
      <c r="F88" s="617">
        <v>26.286000000000001</v>
      </c>
      <c r="G88" s="618">
        <v>212063</v>
      </c>
      <c r="H88" s="618">
        <v>179855</v>
      </c>
      <c r="I88" s="618">
        <v>32208</v>
      </c>
      <c r="J88" s="79"/>
      <c r="K88" s="618">
        <v>2006</v>
      </c>
      <c r="L88" s="619"/>
      <c r="M88" s="619">
        <v>7930</v>
      </c>
      <c r="N88" s="79"/>
      <c r="O88" s="618">
        <v>2018</v>
      </c>
      <c r="P88" s="618">
        <v>129604</v>
      </c>
      <c r="Q88" s="79"/>
      <c r="R88" s="620">
        <v>1.3445171671337561</v>
      </c>
      <c r="S88" s="449">
        <f t="shared" si="11"/>
        <v>187207.5197840629</v>
      </c>
      <c r="T88" s="449">
        <f t="shared" si="12"/>
        <v>9560.4161822173282</v>
      </c>
      <c r="U88" s="449">
        <f t="shared" si="9"/>
        <v>9560.4161822173282</v>
      </c>
      <c r="V88" s="449">
        <f t="shared" si="13"/>
        <v>133112.52491598343</v>
      </c>
      <c r="W88" s="621">
        <f t="shared" si="14"/>
        <v>339440.87706448103</v>
      </c>
      <c r="Y88" s="452">
        <f>VLOOKUP($C88,'WB Population Data'!$C$6:$D$269,2,FALSE)</f>
        <v>83993000</v>
      </c>
      <c r="Z88" s="453">
        <f t="shared" si="15"/>
        <v>0.1138239636900376</v>
      </c>
      <c r="AA88" s="622" t="str">
        <f>INDEX('HCW + Staff Summary'!$E$7:$E$270,MATCH($C88,'HCW + Staff Summary'!$C$7:$C$270,0))</f>
        <v>Upper middle income</v>
      </c>
      <c r="AB88" s="620">
        <f t="shared" si="10"/>
        <v>0.1138239636900376</v>
      </c>
    </row>
    <row r="89" spans="2:28" x14ac:dyDescent="0.75">
      <c r="B89" s="610" t="s">
        <v>419</v>
      </c>
      <c r="C89" s="610" t="s">
        <v>62</v>
      </c>
      <c r="D89" s="611"/>
      <c r="E89" s="612">
        <v>2018</v>
      </c>
      <c r="F89" s="617">
        <v>20.448</v>
      </c>
      <c r="G89" s="618">
        <v>78588</v>
      </c>
      <c r="H89" s="618">
        <v>78588</v>
      </c>
      <c r="I89" s="618" t="s">
        <v>761</v>
      </c>
      <c r="J89" s="79"/>
      <c r="K89" s="618">
        <v>2018</v>
      </c>
      <c r="L89" s="619"/>
      <c r="M89" s="619">
        <v>85</v>
      </c>
      <c r="N89" s="79"/>
      <c r="O89" s="618">
        <v>2018</v>
      </c>
      <c r="P89" s="618">
        <v>27208</v>
      </c>
      <c r="Q89" s="79"/>
      <c r="R89" s="620">
        <v>2.9535342660040742</v>
      </c>
      <c r="S89" s="449">
        <f t="shared" si="11"/>
        <v>83298.802196128177</v>
      </c>
      <c r="T89" s="449">
        <f t="shared" si="12"/>
        <v>90.095156851820832</v>
      </c>
      <c r="U89" s="449">
        <f t="shared" si="9"/>
        <v>90.095156851820832</v>
      </c>
      <c r="V89" s="449">
        <f t="shared" si="13"/>
        <v>28838.929736756956</v>
      </c>
      <c r="W89" s="621">
        <f t="shared" si="14"/>
        <v>112317.92224658877</v>
      </c>
      <c r="Y89" s="452">
        <f>VLOOKUP($C89,'WB Population Data'!$C$6:$D$269,2,FALSE)</f>
        <v>40222000</v>
      </c>
      <c r="Z89" s="453">
        <f t="shared" si="15"/>
        <v>2.2399472142563977E-3</v>
      </c>
      <c r="AA89" s="622" t="str">
        <f>INDEX('HCW + Staff Summary'!$E$7:$E$270,MATCH($C89,'HCW + Staff Summary'!$C$7:$C$270,0))</f>
        <v>Upper middle income</v>
      </c>
      <c r="AB89" s="620">
        <f t="shared" si="10"/>
        <v>2.2399472142563977E-3</v>
      </c>
    </row>
    <row r="90" spans="2:28" x14ac:dyDescent="0.75">
      <c r="B90" s="610" t="s">
        <v>420</v>
      </c>
      <c r="C90" s="610" t="s">
        <v>60</v>
      </c>
      <c r="D90" s="611"/>
      <c r="E90" s="612">
        <v>2017</v>
      </c>
      <c r="F90" s="617">
        <v>160.99600000000001</v>
      </c>
      <c r="G90" s="618">
        <v>76526</v>
      </c>
      <c r="H90" s="618">
        <v>58475</v>
      </c>
      <c r="I90" s="618">
        <v>18051</v>
      </c>
      <c r="J90" s="79"/>
      <c r="K90" s="618"/>
      <c r="L90" s="619"/>
      <c r="M90" s="619"/>
      <c r="N90" s="79"/>
      <c r="O90" s="618">
        <v>2018</v>
      </c>
      <c r="P90" s="618">
        <v>15962</v>
      </c>
      <c r="Q90" s="79"/>
      <c r="R90" s="620">
        <v>0.96961984399736989</v>
      </c>
      <c r="S90" s="449">
        <f t="shared" si="11"/>
        <v>60192.501720308166</v>
      </c>
      <c r="T90" s="449">
        <f t="shared" si="12"/>
        <v>0</v>
      </c>
      <c r="U90" s="449">
        <f t="shared" si="9"/>
        <v>2695.8847233902175</v>
      </c>
      <c r="V90" s="449">
        <f t="shared" si="13"/>
        <v>16273.042126606679</v>
      </c>
      <c r="W90" s="621">
        <f t="shared" si="14"/>
        <v>79161.42857030507</v>
      </c>
      <c r="Y90" s="452">
        <f>VLOOKUP($C90,'WB Population Data'!$C$6:$D$269,2,FALSE)</f>
        <v>4933000</v>
      </c>
      <c r="Z90" s="453">
        <f t="shared" si="15"/>
        <v>0</v>
      </c>
      <c r="AA90" s="622" t="str">
        <f>INDEX('HCW + Staff Summary'!$E$7:$E$270,MATCH($C90,'HCW + Staff Summary'!$C$7:$C$270,0))</f>
        <v>High income</v>
      </c>
      <c r="AB90" s="620">
        <f t="shared" si="10"/>
        <v>0.54650004528486062</v>
      </c>
    </row>
    <row r="91" spans="2:28" x14ac:dyDescent="0.75">
      <c r="B91" s="610" t="s">
        <v>423</v>
      </c>
      <c r="C91" s="610" t="s">
        <v>64</v>
      </c>
      <c r="D91" s="611"/>
      <c r="E91" s="612">
        <v>2017</v>
      </c>
      <c r="F91" s="617">
        <v>57.002000000000002</v>
      </c>
      <c r="G91" s="618">
        <v>46991</v>
      </c>
      <c r="H91" s="618">
        <v>44300</v>
      </c>
      <c r="I91" s="618">
        <v>2691</v>
      </c>
      <c r="J91" s="79"/>
      <c r="K91" s="618"/>
      <c r="L91" s="619"/>
      <c r="M91" s="619"/>
      <c r="N91" s="79"/>
      <c r="O91" s="618">
        <v>2018</v>
      </c>
      <c r="P91" s="618">
        <v>38764</v>
      </c>
      <c r="Q91" s="79"/>
      <c r="R91" s="620">
        <v>1.9475574708422918</v>
      </c>
      <c r="S91" s="449">
        <f t="shared" si="11"/>
        <v>46939.039830478447</v>
      </c>
      <c r="T91" s="449">
        <f t="shared" si="12"/>
        <v>0</v>
      </c>
      <c r="U91" s="449">
        <f t="shared" si="9"/>
        <v>5001.5684144470442</v>
      </c>
      <c r="V91" s="449">
        <f t="shared" si="13"/>
        <v>40288.605464062915</v>
      </c>
      <c r="W91" s="621">
        <f t="shared" si="14"/>
        <v>92229.213708988405</v>
      </c>
      <c r="Y91" s="452">
        <f>VLOOKUP($C91,'WB Population Data'!$C$6:$D$269,2,FALSE)</f>
        <v>9152000</v>
      </c>
      <c r="Z91" s="453">
        <f t="shared" si="15"/>
        <v>0</v>
      </c>
      <c r="AA91" s="622" t="str">
        <f>INDEX('HCW + Staff Summary'!$E$7:$E$270,MATCH($C91,'HCW + Staff Summary'!$C$7:$C$270,0))</f>
        <v>High income</v>
      </c>
      <c r="AB91" s="620">
        <f t="shared" si="10"/>
        <v>0.54650004528486062</v>
      </c>
    </row>
    <row r="92" spans="2:28" x14ac:dyDescent="0.75">
      <c r="B92" s="610" t="s">
        <v>424</v>
      </c>
      <c r="C92" s="610" t="s">
        <v>65</v>
      </c>
      <c r="D92" s="611"/>
      <c r="E92" s="612">
        <v>2018</v>
      </c>
      <c r="F92" s="617">
        <v>57.401000000000003</v>
      </c>
      <c r="G92" s="618">
        <v>348004</v>
      </c>
      <c r="H92" s="618">
        <v>332182</v>
      </c>
      <c r="I92" s="618">
        <v>15822</v>
      </c>
      <c r="J92" s="79"/>
      <c r="K92" s="618"/>
      <c r="L92" s="619"/>
      <c r="M92" s="619"/>
      <c r="N92" s="79"/>
      <c r="O92" s="618">
        <v>2018</v>
      </c>
      <c r="P92" s="618">
        <v>241136</v>
      </c>
      <c r="Q92" s="79"/>
      <c r="R92" s="620">
        <v>6.5415753747653113E-2</v>
      </c>
      <c r="S92" s="449">
        <f t="shared" si="11"/>
        <v>332616.74086624169</v>
      </c>
      <c r="T92" s="449">
        <f t="shared" si="12"/>
        <v>0</v>
      </c>
      <c r="U92" s="449">
        <f t="shared" si="9"/>
        <v>32926.627728412852</v>
      </c>
      <c r="V92" s="449">
        <f t="shared" si="13"/>
        <v>241451.58505133347</v>
      </c>
      <c r="W92" s="621">
        <f t="shared" si="14"/>
        <v>606994.95364598802</v>
      </c>
      <c r="Y92" s="452">
        <f>VLOOKUP($C92,'WB Population Data'!$C$6:$D$269,2,FALSE)</f>
        <v>60250000</v>
      </c>
      <c r="Z92" s="453">
        <f t="shared" si="15"/>
        <v>0</v>
      </c>
      <c r="AA92" s="622" t="str">
        <f>INDEX('HCW + Staff Summary'!$E$7:$E$270,MATCH($C92,'HCW + Staff Summary'!$C$7:$C$270,0))</f>
        <v>High income</v>
      </c>
      <c r="AB92" s="620">
        <f t="shared" si="10"/>
        <v>0.54650004528486062</v>
      </c>
    </row>
    <row r="93" spans="2:28" x14ac:dyDescent="0.75">
      <c r="B93" s="610" t="s">
        <v>425</v>
      </c>
      <c r="C93" s="610" t="s">
        <v>66</v>
      </c>
      <c r="D93" s="611"/>
      <c r="E93" s="612">
        <v>2018</v>
      </c>
      <c r="F93" s="617">
        <v>8.0679999999999996</v>
      </c>
      <c r="G93" s="618">
        <v>2368</v>
      </c>
      <c r="H93" s="618">
        <v>2368</v>
      </c>
      <c r="I93" s="618" t="s">
        <v>761</v>
      </c>
      <c r="J93" s="79"/>
      <c r="K93" s="618">
        <v>2016</v>
      </c>
      <c r="L93" s="619"/>
      <c r="M93" s="619">
        <v>130</v>
      </c>
      <c r="N93" s="79"/>
      <c r="O93" s="618">
        <v>2017</v>
      </c>
      <c r="P93" s="618">
        <v>3815</v>
      </c>
      <c r="Q93" s="79"/>
      <c r="R93" s="620">
        <v>0.52575847984878765</v>
      </c>
      <c r="S93" s="449">
        <f t="shared" si="11"/>
        <v>2392.9653783302974</v>
      </c>
      <c r="T93" s="449">
        <f t="shared" si="12"/>
        <v>132.75558068114171</v>
      </c>
      <c r="U93" s="449">
        <f t="shared" si="9"/>
        <v>132.75558068114171</v>
      </c>
      <c r="V93" s="449">
        <f t="shared" si="13"/>
        <v>3875.4899774123382</v>
      </c>
      <c r="W93" s="621">
        <f t="shared" si="14"/>
        <v>6533.9665171049182</v>
      </c>
      <c r="Y93" s="452">
        <f>VLOOKUP($C93,'WB Population Data'!$C$6:$D$269,2,FALSE)</f>
        <v>2961000</v>
      </c>
      <c r="Z93" s="453">
        <f t="shared" si="15"/>
        <v>4.4834711476238333E-2</v>
      </c>
      <c r="AA93" s="622" t="str">
        <f>INDEX('HCW + Staff Summary'!$E$7:$E$270,MATCH($C93,'HCW + Staff Summary'!$C$7:$C$270,0))</f>
        <v>Upper middle income</v>
      </c>
      <c r="AB93" s="620">
        <f t="shared" si="10"/>
        <v>4.4834711476238333E-2</v>
      </c>
    </row>
    <row r="94" spans="2:28" x14ac:dyDescent="0.75">
      <c r="B94" s="610" t="s">
        <v>426</v>
      </c>
      <c r="C94" s="610" t="s">
        <v>68</v>
      </c>
      <c r="D94" s="611"/>
      <c r="E94" s="612">
        <v>2018</v>
      </c>
      <c r="F94" s="617">
        <v>121.53100000000001</v>
      </c>
      <c r="G94" s="618">
        <v>1545907</v>
      </c>
      <c r="H94" s="618">
        <v>1545907</v>
      </c>
      <c r="I94" s="618" t="s">
        <v>761</v>
      </c>
      <c r="J94" s="79"/>
      <c r="K94" s="618"/>
      <c r="L94" s="619"/>
      <c r="M94" s="619"/>
      <c r="N94" s="79"/>
      <c r="O94" s="618">
        <v>2016</v>
      </c>
      <c r="P94" s="618">
        <v>308105</v>
      </c>
      <c r="Q94" s="79"/>
      <c r="R94" s="620">
        <v>-0.14425155486651159</v>
      </c>
      <c r="S94" s="449">
        <f t="shared" si="11"/>
        <v>1541450.2270337134</v>
      </c>
      <c r="T94" s="449">
        <f t="shared" si="12"/>
        <v>0</v>
      </c>
      <c r="U94" s="449">
        <f t="shared" si="9"/>
        <v>68673.74219054087</v>
      </c>
      <c r="V94" s="449">
        <f t="shared" si="13"/>
        <v>306331.05801332626</v>
      </c>
      <c r="W94" s="621">
        <f t="shared" si="14"/>
        <v>1916455.0272375804</v>
      </c>
      <c r="Y94" s="452">
        <f>VLOOKUP($C94,'WB Population Data'!$C$6:$D$269,2,FALSE)</f>
        <v>125661000</v>
      </c>
      <c r="Z94" s="453">
        <f t="shared" si="15"/>
        <v>0</v>
      </c>
      <c r="AA94" s="622" t="str">
        <f>INDEX('HCW + Staff Summary'!$E$7:$E$270,MATCH($C94,'HCW + Staff Summary'!$C$7:$C$270,0))</f>
        <v>High income</v>
      </c>
      <c r="AB94" s="620">
        <f t="shared" si="10"/>
        <v>0.54650004528486062</v>
      </c>
    </row>
    <row r="95" spans="2:28" x14ac:dyDescent="0.75">
      <c r="B95" s="610" t="s">
        <v>427</v>
      </c>
      <c r="C95" s="610" t="s">
        <v>67</v>
      </c>
      <c r="D95" s="611"/>
      <c r="E95" s="612">
        <v>2018</v>
      </c>
      <c r="F95" s="617">
        <v>28.212</v>
      </c>
      <c r="G95" s="618">
        <v>28114</v>
      </c>
      <c r="H95" s="618">
        <v>28114</v>
      </c>
      <c r="I95" s="618" t="s">
        <v>761</v>
      </c>
      <c r="J95" s="79"/>
      <c r="K95" s="618">
        <v>2004</v>
      </c>
      <c r="L95" s="619">
        <v>2000</v>
      </c>
      <c r="M95" s="619">
        <v>2350</v>
      </c>
      <c r="N95" s="79"/>
      <c r="O95" s="618">
        <v>2017</v>
      </c>
      <c r="P95" s="618">
        <v>22739</v>
      </c>
      <c r="Q95" s="79"/>
      <c r="R95" s="620">
        <v>3.1142170793049964</v>
      </c>
      <c r="S95" s="449">
        <f t="shared" si="11"/>
        <v>29892.327914966703</v>
      </c>
      <c r="T95" s="449">
        <f t="shared" si="12"/>
        <v>7105.3591544985275</v>
      </c>
      <c r="U95" s="449">
        <f t="shared" si="9"/>
        <v>7105.3591544985275</v>
      </c>
      <c r="V95" s="449">
        <f t="shared" si="13"/>
        <v>24930.271466240483</v>
      </c>
      <c r="W95" s="621">
        <f t="shared" si="14"/>
        <v>69033.317690204247</v>
      </c>
      <c r="Y95" s="452">
        <f>VLOOKUP($C95,'WB Population Data'!$C$6:$D$269,2,FALSE)</f>
        <v>10203000</v>
      </c>
      <c r="Z95" s="453">
        <f t="shared" si="15"/>
        <v>0.69639901543649196</v>
      </c>
      <c r="AA95" s="622" t="str">
        <f>INDEX('HCW + Staff Summary'!$E$7:$E$270,MATCH($C95,'HCW + Staff Summary'!$C$7:$C$270,0))</f>
        <v>Upper middle income</v>
      </c>
      <c r="AB95" s="620">
        <f t="shared" si="10"/>
        <v>0.69639901543649196</v>
      </c>
    </row>
    <row r="96" spans="2:28" x14ac:dyDescent="0.75">
      <c r="B96" s="610" t="s">
        <v>428</v>
      </c>
      <c r="C96" s="610" t="s">
        <v>69</v>
      </c>
      <c r="D96" s="611"/>
      <c r="E96" s="612">
        <v>2015</v>
      </c>
      <c r="F96" s="617">
        <v>72.936000000000007</v>
      </c>
      <c r="G96" s="618">
        <v>128164</v>
      </c>
      <c r="H96" s="618">
        <v>118693</v>
      </c>
      <c r="I96" s="618">
        <v>9471</v>
      </c>
      <c r="J96" s="79"/>
      <c r="K96" s="618"/>
      <c r="L96" s="619"/>
      <c r="M96" s="619"/>
      <c r="N96" s="79"/>
      <c r="O96" s="618">
        <v>2014</v>
      </c>
      <c r="P96" s="618">
        <v>68864</v>
      </c>
      <c r="Q96" s="79"/>
      <c r="R96" s="620">
        <v>1.4062737967008438</v>
      </c>
      <c r="S96" s="449">
        <f t="shared" si="11"/>
        <v>127276.79496895516</v>
      </c>
      <c r="T96" s="449">
        <f t="shared" si="12"/>
        <v>0</v>
      </c>
      <c r="U96" s="449">
        <f t="shared" si="9"/>
        <v>4100.2282835772075</v>
      </c>
      <c r="V96" s="449">
        <f t="shared" si="13"/>
        <v>74882.648030808326</v>
      </c>
      <c r="W96" s="621">
        <f t="shared" si="14"/>
        <v>206259.67128334072</v>
      </c>
      <c r="Y96" s="452">
        <f>VLOOKUP($C96,'WB Population Data'!$C$6:$D$269,2,FALSE)</f>
        <v>18654000</v>
      </c>
      <c r="Z96" s="453">
        <f t="shared" si="15"/>
        <v>0</v>
      </c>
      <c r="AA96" s="622" t="str">
        <f>INDEX('HCW + Staff Summary'!$E$7:$E$270,MATCH($C96,'HCW + Staff Summary'!$C$7:$C$270,0))</f>
        <v>Upper middle income</v>
      </c>
      <c r="AB96" s="620">
        <f t="shared" si="10"/>
        <v>0.21980423949700909</v>
      </c>
    </row>
    <row r="97" spans="2:28" x14ac:dyDescent="0.75">
      <c r="B97" s="610" t="s">
        <v>199</v>
      </c>
      <c r="C97" s="610" t="s">
        <v>70</v>
      </c>
      <c r="D97" s="611"/>
      <c r="E97" s="612">
        <v>2018</v>
      </c>
      <c r="F97" s="617">
        <v>11.656000000000001</v>
      </c>
      <c r="G97" s="618">
        <v>59901</v>
      </c>
      <c r="H97" s="618">
        <v>59901</v>
      </c>
      <c r="I97" s="618" t="s">
        <v>761</v>
      </c>
      <c r="J97" s="79"/>
      <c r="K97" s="618">
        <v>2004</v>
      </c>
      <c r="L97" s="619">
        <v>6000</v>
      </c>
      <c r="M97" s="619"/>
      <c r="N97" s="79"/>
      <c r="O97" s="618">
        <v>2018</v>
      </c>
      <c r="P97" s="618">
        <v>8042</v>
      </c>
      <c r="Q97" s="79"/>
      <c r="R97" s="620">
        <v>2.4270563933782983</v>
      </c>
      <c r="S97" s="449">
        <f t="shared" si="11"/>
        <v>62843.947399847806</v>
      </c>
      <c r="T97" s="449">
        <f t="shared" si="12"/>
        <v>8806.1549061819078</v>
      </c>
      <c r="U97" s="449">
        <f t="shared" si="9"/>
        <v>8806.1549061819078</v>
      </c>
      <c r="V97" s="449">
        <f t="shared" si="13"/>
        <v>8437.10497303177</v>
      </c>
      <c r="W97" s="621">
        <f t="shared" si="14"/>
        <v>88893.362185243401</v>
      </c>
      <c r="Y97" s="452">
        <f>VLOOKUP($C97,'WB Population Data'!$C$6:$D$269,2,FALSE)</f>
        <v>53771000</v>
      </c>
      <c r="Z97" s="453">
        <f t="shared" si="15"/>
        <v>0.16377145498841214</v>
      </c>
      <c r="AA97" s="622" t="str">
        <f>INDEX('HCW + Staff Summary'!$E$7:$E$270,MATCH($C97,'HCW + Staff Summary'!$C$7:$C$270,0))</f>
        <v>Lower middle income</v>
      </c>
      <c r="AB97" s="620">
        <f t="shared" si="10"/>
        <v>0.16377145498841214</v>
      </c>
    </row>
    <row r="98" spans="2:28" x14ac:dyDescent="0.75">
      <c r="B98" s="610" t="s">
        <v>249</v>
      </c>
      <c r="C98" s="610" t="s">
        <v>73</v>
      </c>
      <c r="D98" s="611"/>
      <c r="E98" s="612">
        <v>2018</v>
      </c>
      <c r="F98" s="617">
        <v>38.341999999999999</v>
      </c>
      <c r="G98" s="618">
        <v>444</v>
      </c>
      <c r="H98" s="618">
        <v>444</v>
      </c>
      <c r="I98" s="618" t="s">
        <v>761</v>
      </c>
      <c r="J98" s="79"/>
      <c r="K98" s="618">
        <v>2013</v>
      </c>
      <c r="L98" s="619"/>
      <c r="M98" s="619">
        <v>20</v>
      </c>
      <c r="N98" s="79"/>
      <c r="O98" s="618">
        <v>2013</v>
      </c>
      <c r="P98" s="618">
        <v>22</v>
      </c>
      <c r="Q98" s="79"/>
      <c r="R98" s="620">
        <v>1.423163308504888</v>
      </c>
      <c r="S98" s="449">
        <f t="shared" si="11"/>
        <v>456.72761766436219</v>
      </c>
      <c r="T98" s="449">
        <f t="shared" si="12"/>
        <v>22.079541859828225</v>
      </c>
      <c r="U98" s="449">
        <f t="shared" si="9"/>
        <v>22.079541859828225</v>
      </c>
      <c r="V98" s="449">
        <f t="shared" si="13"/>
        <v>24.287496045811046</v>
      </c>
      <c r="W98" s="621">
        <f t="shared" si="14"/>
        <v>525.17419742982963</v>
      </c>
      <c r="Y98" s="452">
        <f>VLOOKUP($C98,'WB Population Data'!$C$6:$D$269,2,FALSE)</f>
        <v>119000</v>
      </c>
      <c r="Z98" s="453">
        <f t="shared" si="15"/>
        <v>0.1855423685699851</v>
      </c>
      <c r="AA98" s="622" t="str">
        <f>INDEX('HCW + Staff Summary'!$E$7:$E$270,MATCH($C98,'HCW + Staff Summary'!$C$7:$C$270,0))</f>
        <v>Lower middle income</v>
      </c>
      <c r="AB98" s="620">
        <f t="shared" si="10"/>
        <v>0.1855423685699851</v>
      </c>
    </row>
    <row r="99" spans="2:28" x14ac:dyDescent="0.75">
      <c r="B99" s="610" t="s">
        <v>432</v>
      </c>
      <c r="C99" s="610" t="s">
        <v>75</v>
      </c>
      <c r="D99" s="611"/>
      <c r="E99" s="612">
        <v>2018</v>
      </c>
      <c r="F99" s="617">
        <v>74.144999999999996</v>
      </c>
      <c r="G99" s="618">
        <v>30676</v>
      </c>
      <c r="H99" s="618">
        <v>30676</v>
      </c>
      <c r="I99" s="618" t="s">
        <v>761</v>
      </c>
      <c r="J99" s="79"/>
      <c r="K99" s="618"/>
      <c r="L99" s="619"/>
      <c r="M99" s="619"/>
      <c r="N99" s="79"/>
      <c r="O99" s="618">
        <v>2015</v>
      </c>
      <c r="P99" s="618">
        <v>10150</v>
      </c>
      <c r="Q99" s="79"/>
      <c r="R99" s="620">
        <v>3.1954858927136138</v>
      </c>
      <c r="S99" s="449">
        <f t="shared" si="11"/>
        <v>32667.818167563371</v>
      </c>
      <c r="T99" s="449">
        <f t="shared" si="12"/>
        <v>0</v>
      </c>
      <c r="U99" s="449">
        <f t="shared" si="9"/>
        <v>2334.1016934116401</v>
      </c>
      <c r="V99" s="449">
        <f t="shared" si="13"/>
        <v>11878.717211244335</v>
      </c>
      <c r="W99" s="621">
        <f t="shared" si="14"/>
        <v>46880.637072219346</v>
      </c>
      <c r="Y99" s="452">
        <f>VLOOKUP($C99,'WB Population Data'!$C$6:$D$269,2,FALSE)</f>
        <v>4271000</v>
      </c>
      <c r="Z99" s="453">
        <f t="shared" si="15"/>
        <v>0</v>
      </c>
      <c r="AA99" s="622" t="str">
        <f>INDEX('HCW + Staff Summary'!$E$7:$E$270,MATCH($C99,'HCW + Staff Summary'!$C$7:$C$270,0))</f>
        <v>High income</v>
      </c>
      <c r="AB99" s="620">
        <f t="shared" si="10"/>
        <v>0.54650004528486062</v>
      </c>
    </row>
    <row r="100" spans="2:28" ht="15.75" customHeight="1" x14ac:dyDescent="0.75">
      <c r="B100" s="610" t="s">
        <v>1134</v>
      </c>
      <c r="C100" s="610" t="s">
        <v>71</v>
      </c>
      <c r="D100" s="611"/>
      <c r="E100" s="612">
        <v>2014</v>
      </c>
      <c r="F100" s="617">
        <v>59.445</v>
      </c>
      <c r="G100" s="618">
        <v>34743</v>
      </c>
      <c r="H100" s="618">
        <v>32440</v>
      </c>
      <c r="I100" s="618">
        <v>2303</v>
      </c>
      <c r="J100" s="79"/>
      <c r="K100" s="618"/>
      <c r="L100" s="619"/>
      <c r="M100" s="619"/>
      <c r="N100" s="79"/>
      <c r="O100" s="618">
        <v>2014</v>
      </c>
      <c r="P100" s="618">
        <v>12934</v>
      </c>
      <c r="Q100" s="79"/>
      <c r="R100" s="620">
        <v>1.9831111480865602</v>
      </c>
      <c r="S100" s="449">
        <f t="shared" si="11"/>
        <v>36496.43004762815</v>
      </c>
      <c r="T100" s="449">
        <f t="shared" si="12"/>
        <v>0</v>
      </c>
      <c r="U100" s="449">
        <f t="shared" si="9"/>
        <v>1789.2695172627143</v>
      </c>
      <c r="V100" s="449">
        <f t="shared" si="13"/>
        <v>14551.320167571594</v>
      </c>
      <c r="W100" s="621">
        <f t="shared" si="14"/>
        <v>52837.019732462461</v>
      </c>
      <c r="Y100" s="452">
        <f>VLOOKUP($C100,'WB Population Data'!$C$6:$D$269,2,FALSE)</f>
        <v>6489000</v>
      </c>
      <c r="Z100" s="453">
        <f t="shared" si="15"/>
        <v>0</v>
      </c>
      <c r="AA100" s="622" t="str">
        <f>INDEX('HCW + Staff Summary'!$E$7:$E$270,MATCH($C100,'HCW + Staff Summary'!$C$7:$C$270,0))</f>
        <v>Lower middle income</v>
      </c>
      <c r="AB100" s="620">
        <f t="shared" si="10"/>
        <v>0.2757388684331506</v>
      </c>
    </row>
    <row r="101" spans="2:28" ht="29.5" x14ac:dyDescent="0.75">
      <c r="B101" s="610" t="s">
        <v>1173</v>
      </c>
      <c r="C101" s="610" t="s">
        <v>76</v>
      </c>
      <c r="D101" s="611"/>
      <c r="E101" s="612">
        <v>2018</v>
      </c>
      <c r="F101" s="617">
        <v>9.5220000000000002</v>
      </c>
      <c r="G101" s="618">
        <v>6724</v>
      </c>
      <c r="H101" s="618">
        <v>6724</v>
      </c>
      <c r="I101" s="618" t="s">
        <v>761</v>
      </c>
      <c r="J101" s="79"/>
      <c r="K101" s="618">
        <v>2014</v>
      </c>
      <c r="L101" s="619">
        <v>636</v>
      </c>
      <c r="M101" s="619"/>
      <c r="N101" s="79"/>
      <c r="O101" s="618">
        <v>2017</v>
      </c>
      <c r="P101" s="618">
        <v>2591</v>
      </c>
      <c r="Q101" s="79"/>
      <c r="R101" s="620">
        <v>1.5304390168840201</v>
      </c>
      <c r="S101" s="449">
        <f t="shared" si="11"/>
        <v>6931.3883635767133</v>
      </c>
      <c r="T101" s="449">
        <f t="shared" si="12"/>
        <v>696.68217673789388</v>
      </c>
      <c r="U101" s="449">
        <f t="shared" si="9"/>
        <v>696.68217673789388</v>
      </c>
      <c r="V101" s="449">
        <f t="shared" si="13"/>
        <v>2711.7909385771186</v>
      </c>
      <c r="W101" s="621">
        <f t="shared" si="14"/>
        <v>11036.543655629619</v>
      </c>
      <c r="Y101" s="452">
        <f>VLOOKUP($C101,'WB Population Data'!$C$6:$D$269,2,FALSE)</f>
        <v>7276000</v>
      </c>
      <c r="Z101" s="453">
        <f t="shared" si="15"/>
        <v>9.5750711481293826E-2</v>
      </c>
      <c r="AA101" s="622" t="str">
        <f>INDEX('HCW + Staff Summary'!$E$7:$E$270,MATCH($C101,'HCW + Staff Summary'!$C$7:$C$270,0))</f>
        <v>Lower middle income</v>
      </c>
      <c r="AB101" s="620">
        <f t="shared" si="10"/>
        <v>9.5750711481293826E-2</v>
      </c>
    </row>
    <row r="102" spans="2:28" x14ac:dyDescent="0.75">
      <c r="B102" s="610" t="s">
        <v>443</v>
      </c>
      <c r="C102" s="610" t="s">
        <v>84</v>
      </c>
      <c r="D102" s="611"/>
      <c r="E102" s="612">
        <v>2017</v>
      </c>
      <c r="F102" s="617">
        <v>47.517000000000003</v>
      </c>
      <c r="G102" s="618">
        <v>9271</v>
      </c>
      <c r="H102" s="618">
        <v>8872</v>
      </c>
      <c r="I102" s="618">
        <v>399</v>
      </c>
      <c r="J102" s="79"/>
      <c r="K102" s="618"/>
      <c r="L102" s="619"/>
      <c r="M102" s="619"/>
      <c r="N102" s="79"/>
      <c r="O102" s="618">
        <v>2017</v>
      </c>
      <c r="P102" s="618">
        <v>6225</v>
      </c>
      <c r="Q102" s="79"/>
      <c r="R102" s="620">
        <v>-0.87448170161979344</v>
      </c>
      <c r="S102" s="449">
        <f t="shared" si="11"/>
        <v>8641.2773913903657</v>
      </c>
      <c r="T102" s="449">
        <f t="shared" si="12"/>
        <v>0</v>
      </c>
      <c r="U102" s="449">
        <f t="shared" si="9"/>
        <v>1041.0825862676595</v>
      </c>
      <c r="V102" s="449">
        <f t="shared" si="13"/>
        <v>6063.1144906903774</v>
      </c>
      <c r="W102" s="621">
        <f t="shared" si="14"/>
        <v>15745.474468348402</v>
      </c>
      <c r="Y102" s="452">
        <f>VLOOKUP($C102,'WB Population Data'!$C$6:$D$269,2,FALSE)</f>
        <v>1905000</v>
      </c>
      <c r="Z102" s="453">
        <f t="shared" si="15"/>
        <v>0</v>
      </c>
      <c r="AA102" s="622" t="str">
        <f>INDEX('HCW + Staff Summary'!$E$7:$E$270,MATCH($C102,'HCW + Staff Summary'!$C$7:$C$270,0))</f>
        <v>High income</v>
      </c>
      <c r="AB102" s="620">
        <f t="shared" si="10"/>
        <v>0.54650004528486062</v>
      </c>
    </row>
    <row r="103" spans="2:28" x14ac:dyDescent="0.75">
      <c r="B103" s="610" t="s">
        <v>446</v>
      </c>
      <c r="C103" s="610" t="s">
        <v>77</v>
      </c>
      <c r="D103" s="611"/>
      <c r="E103" s="612">
        <v>2018</v>
      </c>
      <c r="F103" s="617">
        <v>16.734999999999999</v>
      </c>
      <c r="G103" s="618">
        <v>11479</v>
      </c>
      <c r="H103" s="618">
        <v>10379</v>
      </c>
      <c r="I103" s="618">
        <v>1100</v>
      </c>
      <c r="J103" s="79"/>
      <c r="K103" s="618">
        <v>2005</v>
      </c>
      <c r="L103" s="619">
        <v>535</v>
      </c>
      <c r="M103" s="619"/>
      <c r="N103" s="79"/>
      <c r="O103" s="618">
        <v>2018</v>
      </c>
      <c r="P103" s="618">
        <v>14431</v>
      </c>
      <c r="Q103" s="79"/>
      <c r="R103" s="620">
        <v>2.9332856932348061</v>
      </c>
      <c r="S103" s="449">
        <f t="shared" si="11"/>
        <v>10996.821707011732</v>
      </c>
      <c r="T103" s="449">
        <f t="shared" si="12"/>
        <v>825.45104400089133</v>
      </c>
      <c r="U103" s="449">
        <f t="shared" si="9"/>
        <v>825.45104400089133</v>
      </c>
      <c r="V103" s="449">
        <f t="shared" si="13"/>
        <v>15290.021587232519</v>
      </c>
      <c r="W103" s="621">
        <f t="shared" si="14"/>
        <v>27937.74538224603</v>
      </c>
      <c r="Y103" s="452">
        <f>VLOOKUP($C103,'WB Population Data'!$C$6:$D$269,2,FALSE)</f>
        <v>6825000</v>
      </c>
      <c r="Z103" s="453">
        <f t="shared" si="15"/>
        <v>0.12094520791221851</v>
      </c>
      <c r="AA103" s="622" t="str">
        <f>INDEX('HCW + Staff Summary'!$E$7:$E$270,MATCH($C103,'HCW + Staff Summary'!$C$7:$C$270,0))</f>
        <v>Upper middle income</v>
      </c>
      <c r="AB103" s="620">
        <f t="shared" si="10"/>
        <v>0.12094520791221851</v>
      </c>
    </row>
    <row r="104" spans="2:28" x14ac:dyDescent="0.75">
      <c r="B104" s="610" t="s">
        <v>200</v>
      </c>
      <c r="C104" s="610" t="s">
        <v>167</v>
      </c>
      <c r="D104" s="611"/>
      <c r="E104" s="612">
        <v>2018</v>
      </c>
      <c r="F104" s="617">
        <v>32.567</v>
      </c>
      <c r="G104" s="618">
        <v>6866</v>
      </c>
      <c r="H104" s="618">
        <v>6866</v>
      </c>
      <c r="I104" s="618" t="s">
        <v>761</v>
      </c>
      <c r="J104" s="79"/>
      <c r="K104" s="618">
        <v>2003</v>
      </c>
      <c r="L104" s="619"/>
      <c r="M104" s="619">
        <v>73</v>
      </c>
      <c r="N104" s="79"/>
      <c r="O104" s="618">
        <v>2010</v>
      </c>
      <c r="P104" s="618">
        <v>138</v>
      </c>
      <c r="Q104" s="79"/>
      <c r="R104" s="620">
        <v>0.7699255433397828</v>
      </c>
      <c r="S104" s="449">
        <f t="shared" si="11"/>
        <v>6972.1331820274336</v>
      </c>
      <c r="T104" s="449">
        <f t="shared" si="12"/>
        <v>83.166571929808882</v>
      </c>
      <c r="U104" s="449">
        <f t="shared" ref="U104:U135" si="16">IF(T104=0,INDEX($AE$9:$AE$13,MATCH($AA104,$AD$9:$AD$13,0))*$Y104/1000,T104)</f>
        <v>83.166571929808882</v>
      </c>
      <c r="V104" s="449">
        <f t="shared" si="13"/>
        <v>149.00075297023469</v>
      </c>
      <c r="W104" s="621">
        <f t="shared" si="14"/>
        <v>7287.4670788572857</v>
      </c>
      <c r="Y104" s="452">
        <f>VLOOKUP($C104,'WB Population Data'!$C$6:$D$269,2,FALSE)</f>
        <v>2142000</v>
      </c>
      <c r="Z104" s="453">
        <f t="shared" si="15"/>
        <v>3.8826597539593319E-2</v>
      </c>
      <c r="AA104" s="622" t="str">
        <f>INDEX('HCW + Staff Summary'!$E$7:$E$270,MATCH($C104,'HCW + Staff Summary'!$C$7:$C$270,0))</f>
        <v>Lower middle income</v>
      </c>
      <c r="AB104" s="620">
        <f t="shared" ref="AB104:AB135" si="17">IF(Z104=0,INDEX($AE$9:$AE$13,MATCH($AA104,$AD$9:$AD$13,0)),Z104)</f>
        <v>3.8826597539593319E-2</v>
      </c>
    </row>
    <row r="105" spans="2:28" x14ac:dyDescent="0.75">
      <c r="B105" s="610" t="s">
        <v>201</v>
      </c>
      <c r="C105" s="610" t="s">
        <v>78</v>
      </c>
      <c r="D105" s="611"/>
      <c r="E105" s="612">
        <v>2018</v>
      </c>
      <c r="F105" s="617">
        <v>5.3209999999999997</v>
      </c>
      <c r="G105" s="618">
        <v>2564</v>
      </c>
      <c r="H105" s="618">
        <v>2564</v>
      </c>
      <c r="I105" s="618" t="s">
        <v>761</v>
      </c>
      <c r="J105" s="79"/>
      <c r="K105" s="618">
        <v>2010</v>
      </c>
      <c r="L105" s="619"/>
      <c r="M105" s="619">
        <v>376</v>
      </c>
      <c r="N105" s="79"/>
      <c r="O105" s="618">
        <v>2015</v>
      </c>
      <c r="P105" s="618">
        <v>168</v>
      </c>
      <c r="Q105" s="79"/>
      <c r="R105" s="620">
        <v>2.5206951757626141</v>
      </c>
      <c r="S105" s="449">
        <f t="shared" si="11"/>
        <v>2694.890389642067</v>
      </c>
      <c r="T105" s="449">
        <f t="shared" si="12"/>
        <v>482.28446052384186</v>
      </c>
      <c r="U105" s="449">
        <f t="shared" si="16"/>
        <v>482.28446052384186</v>
      </c>
      <c r="V105" s="449">
        <f t="shared" si="13"/>
        <v>190.26854352149135</v>
      </c>
      <c r="W105" s="621">
        <f t="shared" si="14"/>
        <v>3849.7278542112422</v>
      </c>
      <c r="Y105" s="452">
        <f>VLOOKUP($C105,'WB Population Data'!$C$6:$D$269,2,FALSE)</f>
        <v>5058000</v>
      </c>
      <c r="Z105" s="453">
        <f t="shared" si="15"/>
        <v>9.5350822563037146E-2</v>
      </c>
      <c r="AA105" s="622" t="str">
        <f>INDEX('HCW + Staff Summary'!$E$7:$E$270,MATCH($C105,'HCW + Staff Summary'!$C$7:$C$270,0))</f>
        <v>Low income</v>
      </c>
      <c r="AB105" s="620">
        <f t="shared" si="17"/>
        <v>9.5350822563037146E-2</v>
      </c>
    </row>
    <row r="106" spans="2:28" x14ac:dyDescent="0.75">
      <c r="B106" s="610" t="s">
        <v>447</v>
      </c>
      <c r="C106" s="610" t="s">
        <v>79</v>
      </c>
      <c r="D106" s="611"/>
      <c r="E106" s="612">
        <v>2017</v>
      </c>
      <c r="F106" s="617">
        <v>65.305000000000007</v>
      </c>
      <c r="G106" s="618">
        <v>42975</v>
      </c>
      <c r="H106" s="618">
        <v>41934</v>
      </c>
      <c r="I106" s="618">
        <v>1041</v>
      </c>
      <c r="J106" s="79"/>
      <c r="K106" s="618"/>
      <c r="L106" s="619"/>
      <c r="M106" s="619"/>
      <c r="N106" s="79"/>
      <c r="O106" s="618">
        <v>2017</v>
      </c>
      <c r="P106" s="618">
        <v>13757</v>
      </c>
      <c r="Q106" s="79"/>
      <c r="R106" s="620">
        <v>1.1025486646919795</v>
      </c>
      <c r="S106" s="449">
        <f t="shared" si="11"/>
        <v>43336.377135850715</v>
      </c>
      <c r="T106" s="449">
        <f t="shared" si="12"/>
        <v>0</v>
      </c>
      <c r="U106" s="449">
        <f t="shared" si="16"/>
        <v>1510.2749295839494</v>
      </c>
      <c r="V106" s="449">
        <f t="shared" si="13"/>
        <v>14217.068256257413</v>
      </c>
      <c r="W106" s="621">
        <f t="shared" si="14"/>
        <v>59063.720321692083</v>
      </c>
      <c r="Y106" s="452">
        <f>VLOOKUP($C106,'WB Population Data'!$C$6:$D$269,2,FALSE)</f>
        <v>6871000</v>
      </c>
      <c r="Z106" s="453">
        <f t="shared" si="15"/>
        <v>0</v>
      </c>
      <c r="AA106" s="622" t="str">
        <f>INDEX('HCW + Staff Summary'!$E$7:$E$270,MATCH($C106,'HCW + Staff Summary'!$C$7:$C$270,0))</f>
        <v>Upper middle income</v>
      </c>
      <c r="AB106" s="620">
        <f t="shared" si="17"/>
        <v>0.21980423949700909</v>
      </c>
    </row>
    <row r="107" spans="2:28" x14ac:dyDescent="0.75">
      <c r="B107" s="610" t="s">
        <v>450</v>
      </c>
      <c r="C107" s="610" t="s">
        <v>82</v>
      </c>
      <c r="D107" s="611"/>
      <c r="E107" s="612">
        <v>2018</v>
      </c>
      <c r="F107" s="617">
        <v>98.471999999999994</v>
      </c>
      <c r="G107" s="618">
        <v>27585</v>
      </c>
      <c r="H107" s="618">
        <v>26438</v>
      </c>
      <c r="I107" s="618">
        <v>1147</v>
      </c>
      <c r="J107" s="79"/>
      <c r="K107" s="618"/>
      <c r="L107" s="619"/>
      <c r="M107" s="619"/>
      <c r="N107" s="79"/>
      <c r="O107" s="618">
        <v>2018</v>
      </c>
      <c r="P107" s="618">
        <v>17796</v>
      </c>
      <c r="Q107" s="79"/>
      <c r="R107" s="620">
        <v>-1.1706804368688872</v>
      </c>
      <c r="S107" s="449">
        <f t="shared" si="11"/>
        <v>25822.614320762517</v>
      </c>
      <c r="T107" s="449">
        <f t="shared" si="12"/>
        <v>0</v>
      </c>
      <c r="U107" s="449">
        <f t="shared" si="16"/>
        <v>1512.1656253032093</v>
      </c>
      <c r="V107" s="449">
        <f t="shared" si="13"/>
        <v>17381.770347692327</v>
      </c>
      <c r="W107" s="621">
        <f t="shared" si="14"/>
        <v>44716.550293758053</v>
      </c>
      <c r="Y107" s="452">
        <f>VLOOKUP($C107,'WB Population Data'!$C$6:$D$269,2,FALSE)</f>
        <v>2767000</v>
      </c>
      <c r="Z107" s="453">
        <f t="shared" si="15"/>
        <v>0</v>
      </c>
      <c r="AA107" s="622" t="str">
        <f>INDEX('HCW + Staff Summary'!$E$7:$E$270,MATCH($C107,'HCW + Staff Summary'!$C$7:$C$270,0))</f>
        <v>High income</v>
      </c>
      <c r="AB107" s="620">
        <f t="shared" si="17"/>
        <v>0.54650004528486062</v>
      </c>
    </row>
    <row r="108" spans="2:28" x14ac:dyDescent="0.75">
      <c r="B108" s="610" t="s">
        <v>457</v>
      </c>
      <c r="C108" s="610" t="s">
        <v>83</v>
      </c>
      <c r="D108" s="611"/>
      <c r="E108" s="612">
        <v>2017</v>
      </c>
      <c r="F108" s="617">
        <v>121.744</v>
      </c>
      <c r="G108" s="618">
        <v>7206</v>
      </c>
      <c r="H108" s="618">
        <v>6992</v>
      </c>
      <c r="I108" s="618">
        <v>214</v>
      </c>
      <c r="J108" s="79"/>
      <c r="K108" s="618"/>
      <c r="L108" s="619"/>
      <c r="M108" s="619"/>
      <c r="N108" s="79"/>
      <c r="O108" s="618">
        <v>2017</v>
      </c>
      <c r="P108" s="618">
        <v>1781</v>
      </c>
      <c r="Q108" s="79"/>
      <c r="R108" s="620">
        <v>2.2391065952615858</v>
      </c>
      <c r="S108" s="449">
        <f t="shared" si="11"/>
        <v>7472.2700153704163</v>
      </c>
      <c r="T108" s="449">
        <f t="shared" si="12"/>
        <v>0</v>
      </c>
      <c r="U108" s="449">
        <f t="shared" si="16"/>
        <v>339.92302816718336</v>
      </c>
      <c r="V108" s="449">
        <f t="shared" si="13"/>
        <v>1903.3342244529051</v>
      </c>
      <c r="W108" s="621">
        <f t="shared" si="14"/>
        <v>9715.5272679905047</v>
      </c>
      <c r="Y108" s="452">
        <f>VLOOKUP($C108,'WB Population Data'!$C$6:$D$269,2,FALSE)</f>
        <v>622000</v>
      </c>
      <c r="Z108" s="453">
        <f t="shared" si="15"/>
        <v>0</v>
      </c>
      <c r="AA108" s="622" t="str">
        <f>INDEX('HCW + Staff Summary'!$E$7:$E$270,MATCH($C108,'HCW + Staff Summary'!$C$7:$C$270,0))</f>
        <v>High income</v>
      </c>
      <c r="AB108" s="620">
        <f t="shared" si="17"/>
        <v>0.54650004528486062</v>
      </c>
    </row>
    <row r="109" spans="2:28" x14ac:dyDescent="0.75">
      <c r="B109" s="610" t="s">
        <v>202</v>
      </c>
      <c r="C109" s="610" t="s">
        <v>88</v>
      </c>
      <c r="D109" s="611"/>
      <c r="E109" s="612">
        <v>2018</v>
      </c>
      <c r="F109" s="617">
        <v>1.46</v>
      </c>
      <c r="G109" s="618">
        <v>3833</v>
      </c>
      <c r="H109" s="618">
        <v>3833</v>
      </c>
      <c r="I109" s="618" t="s">
        <v>761</v>
      </c>
      <c r="J109" s="79"/>
      <c r="K109" s="618"/>
      <c r="L109" s="619"/>
      <c r="M109" s="619"/>
      <c r="N109" s="79"/>
      <c r="O109" s="618">
        <v>2014</v>
      </c>
      <c r="P109" s="618">
        <v>4275</v>
      </c>
      <c r="Q109" s="79"/>
      <c r="R109" s="620">
        <v>2.6865779369488161</v>
      </c>
      <c r="S109" s="449">
        <f t="shared" si="11"/>
        <v>4041.7196094441274</v>
      </c>
      <c r="T109" s="449">
        <f t="shared" si="12"/>
        <v>0</v>
      </c>
      <c r="U109" s="449">
        <f t="shared" si="16"/>
        <v>2727.4831836373924</v>
      </c>
      <c r="V109" s="449">
        <f t="shared" si="13"/>
        <v>5012.0824385566793</v>
      </c>
      <c r="W109" s="621">
        <f t="shared" si="14"/>
        <v>11781.2852316382</v>
      </c>
      <c r="Y109" s="452">
        <f>VLOOKUP($C109,'WB Population Data'!$C$6:$D$269,2,FALSE)</f>
        <v>27691000</v>
      </c>
      <c r="Z109" s="453">
        <f t="shared" si="15"/>
        <v>0</v>
      </c>
      <c r="AA109" s="622" t="str">
        <f>INDEX('HCW + Staff Summary'!$E$7:$E$270,MATCH($C109,'HCW + Staff Summary'!$C$7:$C$270,0))</f>
        <v>Low income</v>
      </c>
      <c r="AB109" s="620">
        <f t="shared" si="17"/>
        <v>9.849709954994014E-2</v>
      </c>
    </row>
    <row r="110" spans="2:28" x14ac:dyDescent="0.75">
      <c r="B110" s="610" t="s">
        <v>203</v>
      </c>
      <c r="C110" s="610" t="s">
        <v>100</v>
      </c>
      <c r="D110" s="611"/>
      <c r="E110" s="612">
        <v>2018</v>
      </c>
      <c r="F110" s="617">
        <v>4.3860000000000001</v>
      </c>
      <c r="G110" s="618">
        <v>7957</v>
      </c>
      <c r="H110" s="618">
        <v>7957</v>
      </c>
      <c r="I110" s="618" t="s">
        <v>761</v>
      </c>
      <c r="J110" s="79"/>
      <c r="K110" s="618">
        <v>2016</v>
      </c>
      <c r="L110" s="619"/>
      <c r="M110" s="619">
        <v>397</v>
      </c>
      <c r="N110" s="79"/>
      <c r="O110" s="618">
        <v>2018</v>
      </c>
      <c r="P110" s="618">
        <v>649</v>
      </c>
      <c r="Q110" s="79"/>
      <c r="R110" s="620">
        <v>2.7161987394767779</v>
      </c>
      <c r="S110" s="449">
        <f t="shared" si="11"/>
        <v>8395.1263316111545</v>
      </c>
      <c r="T110" s="449">
        <f t="shared" si="12"/>
        <v>441.92265125301816</v>
      </c>
      <c r="U110" s="449">
        <f t="shared" si="16"/>
        <v>441.92265125301816</v>
      </c>
      <c r="V110" s="449">
        <f t="shared" si="13"/>
        <v>684.73507467835111</v>
      </c>
      <c r="W110" s="621">
        <f t="shared" si="14"/>
        <v>9963.706708795542</v>
      </c>
      <c r="Y110" s="452">
        <f>VLOOKUP($C110,'WB Population Data'!$C$6:$D$269,2,FALSE)</f>
        <v>19130000</v>
      </c>
      <c r="Z110" s="453">
        <f t="shared" si="15"/>
        <v>2.310102724793613E-2</v>
      </c>
      <c r="AA110" s="622" t="str">
        <f>INDEX('HCW + Staff Summary'!$E$7:$E$270,MATCH($C110,'HCW + Staff Summary'!$C$7:$C$270,0))</f>
        <v>Low income</v>
      </c>
      <c r="AB110" s="620">
        <f t="shared" si="17"/>
        <v>2.310102724793613E-2</v>
      </c>
    </row>
    <row r="111" spans="2:28" x14ac:dyDescent="0.75">
      <c r="B111" s="610" t="s">
        <v>460</v>
      </c>
      <c r="C111" s="610" t="s">
        <v>101</v>
      </c>
      <c r="D111" s="611"/>
      <c r="E111" s="612">
        <v>2017</v>
      </c>
      <c r="F111" s="617">
        <v>34.676000000000002</v>
      </c>
      <c r="G111" s="618">
        <v>107858</v>
      </c>
      <c r="H111" s="618">
        <v>107858</v>
      </c>
      <c r="I111" s="618" t="s">
        <v>761</v>
      </c>
      <c r="J111" s="79"/>
      <c r="K111" s="618">
        <v>2015</v>
      </c>
      <c r="L111" s="619"/>
      <c r="M111" s="619">
        <v>6324</v>
      </c>
      <c r="N111" s="79"/>
      <c r="O111" s="618">
        <v>2015</v>
      </c>
      <c r="P111" s="618">
        <v>46491</v>
      </c>
      <c r="Q111" s="79"/>
      <c r="R111" s="620">
        <v>1.3512014970381041</v>
      </c>
      <c r="S111" s="449">
        <f t="shared" si="11"/>
        <v>112289.47918929846</v>
      </c>
      <c r="T111" s="449">
        <f t="shared" si="12"/>
        <v>6762.9529945870145</v>
      </c>
      <c r="U111" s="449">
        <f t="shared" si="16"/>
        <v>6762.9529945870145</v>
      </c>
      <c r="V111" s="449">
        <f t="shared" si="13"/>
        <v>49717.970852521328</v>
      </c>
      <c r="W111" s="621">
        <f t="shared" si="14"/>
        <v>175533.35603099383</v>
      </c>
      <c r="Y111" s="452">
        <f>VLOOKUP($C111,'WB Population Data'!$C$6:$D$269,2,FALSE)</f>
        <v>32366000</v>
      </c>
      <c r="Z111" s="453">
        <f t="shared" si="15"/>
        <v>0.20895238814147607</v>
      </c>
      <c r="AA111" s="622" t="str">
        <f>INDEX('HCW + Staff Summary'!$E$7:$E$270,MATCH($C111,'HCW + Staff Summary'!$C$7:$C$270,0))</f>
        <v>Upper middle income</v>
      </c>
      <c r="AB111" s="620">
        <f t="shared" si="17"/>
        <v>0.20895238814147607</v>
      </c>
    </row>
    <row r="112" spans="2:28" x14ac:dyDescent="0.75">
      <c r="B112" s="610" t="s">
        <v>243</v>
      </c>
      <c r="C112" s="610" t="s">
        <v>89</v>
      </c>
      <c r="D112" s="611"/>
      <c r="E112" s="612">
        <v>2018</v>
      </c>
      <c r="F112" s="617">
        <v>64.281999999999996</v>
      </c>
      <c r="G112" s="618">
        <v>3315</v>
      </c>
      <c r="H112" s="618">
        <v>3315</v>
      </c>
      <c r="I112" s="618" t="s">
        <v>761</v>
      </c>
      <c r="J112" s="79"/>
      <c r="K112" s="618">
        <v>2018</v>
      </c>
      <c r="L112" s="619">
        <v>241</v>
      </c>
      <c r="M112" s="619">
        <v>2</v>
      </c>
      <c r="N112" s="79"/>
      <c r="O112" s="618">
        <v>2018</v>
      </c>
      <c r="P112" s="618">
        <v>2353</v>
      </c>
      <c r="Q112" s="79"/>
      <c r="R112" s="620">
        <v>4.3162205722888514</v>
      </c>
      <c r="S112" s="449">
        <f t="shared" si="11"/>
        <v>3607.3411893922475</v>
      </c>
      <c r="T112" s="449">
        <f t="shared" si="12"/>
        <v>264.42953515001994</v>
      </c>
      <c r="U112" s="449">
        <f t="shared" si="16"/>
        <v>264.42953515001994</v>
      </c>
      <c r="V112" s="449">
        <f t="shared" si="13"/>
        <v>2560.5049226666542</v>
      </c>
      <c r="W112" s="621">
        <f t="shared" si="14"/>
        <v>6696.7051823589418</v>
      </c>
      <c r="Y112" s="452">
        <f>VLOOKUP($C112,'WB Population Data'!$C$6:$D$269,2,FALSE)</f>
        <v>541000</v>
      </c>
      <c r="Z112" s="453">
        <f t="shared" si="15"/>
        <v>0.48877917772646945</v>
      </c>
      <c r="AA112" s="622" t="str">
        <f>INDEX('HCW + Staff Summary'!$E$7:$E$270,MATCH($C112,'HCW + Staff Summary'!$C$7:$C$270,0))</f>
        <v>Upper middle income</v>
      </c>
      <c r="AB112" s="620">
        <f t="shared" si="17"/>
        <v>0.48877917772646945</v>
      </c>
    </row>
    <row r="113" spans="2:28" x14ac:dyDescent="0.75">
      <c r="B113" s="610" t="s">
        <v>204</v>
      </c>
      <c r="C113" s="610" t="s">
        <v>92</v>
      </c>
      <c r="D113" s="611"/>
      <c r="E113" s="612">
        <v>2018</v>
      </c>
      <c r="F113" s="617">
        <v>3.585</v>
      </c>
      <c r="G113" s="618">
        <v>6840</v>
      </c>
      <c r="H113" s="618">
        <v>5174</v>
      </c>
      <c r="I113" s="618">
        <v>1666</v>
      </c>
      <c r="J113" s="79"/>
      <c r="K113" s="618">
        <v>2010</v>
      </c>
      <c r="L113" s="619">
        <v>28</v>
      </c>
      <c r="M113" s="619">
        <v>398</v>
      </c>
      <c r="N113" s="79"/>
      <c r="O113" s="618">
        <v>2018</v>
      </c>
      <c r="P113" s="618">
        <v>2454</v>
      </c>
      <c r="Q113" s="79"/>
      <c r="R113" s="620">
        <v>2.9640475961656785</v>
      </c>
      <c r="S113" s="449">
        <f t="shared" si="11"/>
        <v>5485.265303387243</v>
      </c>
      <c r="T113" s="449">
        <f t="shared" si="12"/>
        <v>570.51315896740118</v>
      </c>
      <c r="U113" s="449">
        <f t="shared" si="16"/>
        <v>570.51315896740118</v>
      </c>
      <c r="V113" s="449">
        <f t="shared" si="13"/>
        <v>2601.6314368983949</v>
      </c>
      <c r="W113" s="621">
        <f t="shared" si="14"/>
        <v>9227.92305822044</v>
      </c>
      <c r="Y113" s="452">
        <f>VLOOKUP($C113,'WB Population Data'!$C$6:$D$269,2,FALSE)</f>
        <v>20251000</v>
      </c>
      <c r="Z113" s="453">
        <f t="shared" si="15"/>
        <v>2.8172098117001686E-2</v>
      </c>
      <c r="AA113" s="622" t="str">
        <f>INDEX('HCW + Staff Summary'!$E$7:$E$270,MATCH($C113,'HCW + Staff Summary'!$C$7:$C$270,0))</f>
        <v>Low income</v>
      </c>
      <c r="AB113" s="620">
        <f t="shared" si="17"/>
        <v>2.8172098117001686E-2</v>
      </c>
    </row>
    <row r="114" spans="2:28" x14ac:dyDescent="0.75">
      <c r="B114" s="610" t="s">
        <v>461</v>
      </c>
      <c r="C114" s="610" t="s">
        <v>93</v>
      </c>
      <c r="D114" s="611"/>
      <c r="E114" s="612">
        <v>2018</v>
      </c>
      <c r="F114" s="617">
        <v>94.832999999999998</v>
      </c>
      <c r="G114" s="618">
        <v>4166</v>
      </c>
      <c r="H114" s="618">
        <v>3772</v>
      </c>
      <c r="I114" s="618">
        <v>394</v>
      </c>
      <c r="J114" s="79"/>
      <c r="K114" s="618"/>
      <c r="L114" s="619"/>
      <c r="M114" s="619"/>
      <c r="N114" s="79"/>
      <c r="O114" s="618">
        <v>2015</v>
      </c>
      <c r="P114" s="618">
        <v>1240</v>
      </c>
      <c r="Q114" s="79"/>
      <c r="R114" s="620">
        <v>2.5350296411639084</v>
      </c>
      <c r="S114" s="449">
        <f t="shared" si="11"/>
        <v>3965.6666648856158</v>
      </c>
      <c r="T114" s="449">
        <f t="shared" si="12"/>
        <v>0</v>
      </c>
      <c r="U114" s="449">
        <f t="shared" si="16"/>
        <v>265.59902200844226</v>
      </c>
      <c r="V114" s="449">
        <f t="shared" si="13"/>
        <v>1405.3451256203516</v>
      </c>
      <c r="W114" s="621">
        <f t="shared" si="14"/>
        <v>5636.6108125144092</v>
      </c>
      <c r="Y114" s="452">
        <f>VLOOKUP($C114,'WB Population Data'!$C$6:$D$269,2,FALSE)</f>
        <v>486000</v>
      </c>
      <c r="Z114" s="453">
        <f t="shared" si="15"/>
        <v>0</v>
      </c>
      <c r="AA114" s="622" t="str">
        <f>INDEX('HCW + Staff Summary'!$E$7:$E$270,MATCH($C114,'HCW + Staff Summary'!$C$7:$C$270,0))</f>
        <v>High income</v>
      </c>
      <c r="AB114" s="620">
        <f t="shared" si="17"/>
        <v>0.54650004528486062</v>
      </c>
    </row>
    <row r="115" spans="2:28" x14ac:dyDescent="0.75">
      <c r="B115" s="610" t="s">
        <v>462</v>
      </c>
      <c r="C115" s="610" t="s">
        <v>91</v>
      </c>
      <c r="D115" s="611"/>
      <c r="E115" s="612">
        <v>2018</v>
      </c>
      <c r="F115" s="617">
        <v>33.39</v>
      </c>
      <c r="G115" s="618">
        <v>195</v>
      </c>
      <c r="H115" s="618">
        <v>195</v>
      </c>
      <c r="I115" s="618" t="s">
        <v>761</v>
      </c>
      <c r="J115" s="79"/>
      <c r="K115" s="618">
        <v>2012</v>
      </c>
      <c r="L115" s="619"/>
      <c r="M115" s="619">
        <v>19</v>
      </c>
      <c r="N115" s="79"/>
      <c r="O115" s="618">
        <v>2012</v>
      </c>
      <c r="P115" s="618">
        <v>24</v>
      </c>
      <c r="Q115" s="79"/>
      <c r="R115" s="620">
        <v>0.51151022522495138</v>
      </c>
      <c r="S115" s="449">
        <f t="shared" si="11"/>
        <v>196.99999191123229</v>
      </c>
      <c r="T115" s="449">
        <f t="shared" si="12"/>
        <v>19.791558246981992</v>
      </c>
      <c r="U115" s="449">
        <f t="shared" si="16"/>
        <v>19.791558246981992</v>
      </c>
      <c r="V115" s="449">
        <f t="shared" si="13"/>
        <v>24.999863048819361</v>
      </c>
      <c r="W115" s="621">
        <f t="shared" si="14"/>
        <v>261.58297145401565</v>
      </c>
      <c r="Y115" s="452">
        <f>VLOOKUP($C115,'WB Population Data'!$C$6:$D$269,2,FALSE)</f>
        <v>59000</v>
      </c>
      <c r="Z115" s="453">
        <f t="shared" si="15"/>
        <v>0.33545013977935578</v>
      </c>
      <c r="AA115" s="622" t="str">
        <f>INDEX('HCW + Staff Summary'!$E$7:$E$270,MATCH($C115,'HCW + Staff Summary'!$C$7:$C$270,0))</f>
        <v>Upper middle income</v>
      </c>
      <c r="AB115" s="620">
        <f t="shared" si="17"/>
        <v>0.33545013977935578</v>
      </c>
    </row>
    <row r="116" spans="2:28" x14ac:dyDescent="0.75">
      <c r="B116" s="610" t="s">
        <v>205</v>
      </c>
      <c r="C116" s="610" t="s">
        <v>98</v>
      </c>
      <c r="D116" s="611"/>
      <c r="E116" s="612">
        <v>2018</v>
      </c>
      <c r="F116" s="617">
        <v>9.2520000000000007</v>
      </c>
      <c r="G116" s="618">
        <v>4074</v>
      </c>
      <c r="H116" s="618">
        <v>3403</v>
      </c>
      <c r="I116" s="618">
        <v>671</v>
      </c>
      <c r="J116" s="79"/>
      <c r="K116" s="618">
        <v>2018</v>
      </c>
      <c r="L116" s="619">
        <v>12</v>
      </c>
      <c r="M116" s="619"/>
      <c r="N116" s="79"/>
      <c r="O116" s="618">
        <v>2018</v>
      </c>
      <c r="P116" s="618">
        <v>821</v>
      </c>
      <c r="Q116" s="79"/>
      <c r="R116" s="620">
        <v>2.855287767017594</v>
      </c>
      <c r="S116" s="449">
        <f t="shared" si="11"/>
        <v>3600.1052384227305</v>
      </c>
      <c r="T116" s="449">
        <f t="shared" si="12"/>
        <v>12.695052265963199</v>
      </c>
      <c r="U116" s="449">
        <f t="shared" si="16"/>
        <v>12.695052265963199</v>
      </c>
      <c r="V116" s="449">
        <f t="shared" si="13"/>
        <v>868.55315919631562</v>
      </c>
      <c r="W116" s="621">
        <f t="shared" si="14"/>
        <v>4494.0485021509721</v>
      </c>
      <c r="Y116" s="452">
        <f>VLOOKUP($C116,'WB Population Data'!$C$6:$D$269,2,FALSE)</f>
        <v>4650000</v>
      </c>
      <c r="Z116" s="453">
        <f t="shared" si="15"/>
        <v>2.7301187668738059E-3</v>
      </c>
      <c r="AA116" s="622" t="str">
        <f>INDEX('HCW + Staff Summary'!$E$7:$E$270,MATCH($C116,'HCW + Staff Summary'!$C$7:$C$270,0))</f>
        <v>Lower middle income</v>
      </c>
      <c r="AB116" s="620">
        <f t="shared" si="17"/>
        <v>2.7301187668738059E-3</v>
      </c>
    </row>
    <row r="117" spans="2:28" x14ac:dyDescent="0.75">
      <c r="B117" s="610" t="s">
        <v>206</v>
      </c>
      <c r="C117" s="610" t="s">
        <v>99</v>
      </c>
      <c r="D117" s="611"/>
      <c r="E117" s="612">
        <v>2017</v>
      </c>
      <c r="F117" s="617">
        <v>35.152000000000001</v>
      </c>
      <c r="G117" s="618">
        <v>4445</v>
      </c>
      <c r="H117" s="618">
        <v>4445</v>
      </c>
      <c r="I117" s="618" t="s">
        <v>761</v>
      </c>
      <c r="J117" s="79"/>
      <c r="K117" s="618">
        <v>2011</v>
      </c>
      <c r="L117" s="619">
        <v>1</v>
      </c>
      <c r="M117" s="619">
        <v>361</v>
      </c>
      <c r="N117" s="79"/>
      <c r="O117" s="618">
        <v>2018</v>
      </c>
      <c r="P117" s="618">
        <v>3210</v>
      </c>
      <c r="Q117" s="79"/>
      <c r="R117" s="620">
        <v>0.10539035368272771</v>
      </c>
      <c r="S117" s="449">
        <f t="shared" si="11"/>
        <v>4459.068620220226</v>
      </c>
      <c r="T117" s="449">
        <f t="shared" si="12"/>
        <v>365.44812818188137</v>
      </c>
      <c r="U117" s="449">
        <f t="shared" si="16"/>
        <v>365.44812818188137</v>
      </c>
      <c r="V117" s="449">
        <f t="shared" si="13"/>
        <v>3216.7696260940861</v>
      </c>
      <c r="W117" s="621">
        <f t="shared" si="14"/>
        <v>8406.7345026780749</v>
      </c>
      <c r="Y117" s="452">
        <f>VLOOKUP($C117,'WB Population Data'!$C$6:$D$269,2,FALSE)</f>
        <v>1270000</v>
      </c>
      <c r="Z117" s="453">
        <f t="shared" si="15"/>
        <v>0.28775443163927666</v>
      </c>
      <c r="AA117" s="622" t="str">
        <f>INDEX('HCW + Staff Summary'!$E$7:$E$270,MATCH($C117,'HCW + Staff Summary'!$C$7:$C$270,0))</f>
        <v>Upper middle income</v>
      </c>
      <c r="AB117" s="620">
        <f t="shared" si="17"/>
        <v>0.28775443163927666</v>
      </c>
    </row>
    <row r="118" spans="2:28" x14ac:dyDescent="0.75">
      <c r="B118" s="610" t="s">
        <v>463</v>
      </c>
      <c r="C118" s="610" t="s">
        <v>90</v>
      </c>
      <c r="D118" s="611"/>
      <c r="E118" s="612">
        <v>2018</v>
      </c>
      <c r="F118" s="617">
        <v>23.960999999999999</v>
      </c>
      <c r="G118" s="618">
        <v>302363</v>
      </c>
      <c r="H118" s="618">
        <v>302363</v>
      </c>
      <c r="I118" s="618" t="s">
        <v>761</v>
      </c>
      <c r="J118" s="79"/>
      <c r="K118" s="618">
        <v>2010</v>
      </c>
      <c r="L118" s="619"/>
      <c r="M118" s="619">
        <v>21674</v>
      </c>
      <c r="N118" s="79"/>
      <c r="O118" s="618">
        <v>2017</v>
      </c>
      <c r="P118" s="618">
        <v>297307</v>
      </c>
      <c r="Q118" s="79"/>
      <c r="R118" s="620">
        <v>1.202498869078034</v>
      </c>
      <c r="S118" s="449">
        <f t="shared" si="11"/>
        <v>309678.54510755907</v>
      </c>
      <c r="T118" s="449">
        <f t="shared" si="12"/>
        <v>24425.948123580554</v>
      </c>
      <c r="U118" s="449">
        <f t="shared" si="16"/>
        <v>24425.948123580554</v>
      </c>
      <c r="V118" s="449">
        <f t="shared" si="13"/>
        <v>308161.82899217674</v>
      </c>
      <c r="W118" s="621">
        <f t="shared" si="14"/>
        <v>666692.27034689696</v>
      </c>
      <c r="Y118" s="452">
        <f>VLOOKUP($C118,'WB Population Data'!$C$6:$D$269,2,FALSE)</f>
        <v>128933000</v>
      </c>
      <c r="Z118" s="453">
        <f t="shared" si="15"/>
        <v>0.18944682993167425</v>
      </c>
      <c r="AA118" s="622" t="str">
        <f>INDEX('HCW + Staff Summary'!$E$7:$E$270,MATCH($C118,'HCW + Staff Summary'!$C$7:$C$270,0))</f>
        <v>Upper middle income</v>
      </c>
      <c r="AB118" s="620">
        <f t="shared" si="17"/>
        <v>0.18944682993167425</v>
      </c>
    </row>
    <row r="119" spans="2:28" ht="29.5" x14ac:dyDescent="0.75">
      <c r="B119" s="610" t="s">
        <v>1174</v>
      </c>
      <c r="C119" s="610" t="s">
        <v>465</v>
      </c>
      <c r="D119" s="611"/>
      <c r="E119" s="612">
        <v>2018</v>
      </c>
      <c r="F119" s="617">
        <v>20.425999999999998</v>
      </c>
      <c r="G119" s="618">
        <v>230</v>
      </c>
      <c r="H119" s="618">
        <v>230</v>
      </c>
      <c r="I119" s="618" t="s">
        <v>761</v>
      </c>
      <c r="J119" s="79"/>
      <c r="K119" s="618">
        <v>2008</v>
      </c>
      <c r="L119" s="619"/>
      <c r="M119" s="619">
        <v>33</v>
      </c>
      <c r="N119" s="79"/>
      <c r="O119" s="618">
        <v>2009</v>
      </c>
      <c r="P119" s="618">
        <v>20</v>
      </c>
      <c r="Q119" s="79"/>
      <c r="R119" s="620">
        <v>1.2291231059941661</v>
      </c>
      <c r="S119" s="449">
        <f t="shared" si="11"/>
        <v>235.68871339059604</v>
      </c>
      <c r="T119" s="449">
        <f t="shared" si="12"/>
        <v>38.210228737846791</v>
      </c>
      <c r="U119" s="449">
        <f t="shared" si="16"/>
        <v>38.210228737846791</v>
      </c>
      <c r="V119" s="449">
        <f t="shared" si="13"/>
        <v>22.876533625927017</v>
      </c>
      <c r="W119" s="621">
        <f t="shared" si="14"/>
        <v>334.98570449221671</v>
      </c>
      <c r="Y119" s="452">
        <f>VLOOKUP($C119,'WB Population Data'!$C$6:$D$269,2,FALSE)</f>
        <v>115000</v>
      </c>
      <c r="Z119" s="453">
        <f t="shared" si="15"/>
        <v>0.33226285858997207</v>
      </c>
      <c r="AA119" s="622" t="str">
        <f>INDEX('HCW + Staff Summary'!$E$7:$E$270,MATCH($C119,'HCW + Staff Summary'!$C$7:$C$270,0))</f>
        <v>Lower middle income</v>
      </c>
      <c r="AB119" s="620">
        <f t="shared" si="17"/>
        <v>0.33226285858997207</v>
      </c>
    </row>
    <row r="120" spans="2:28" x14ac:dyDescent="0.75">
      <c r="B120" s="610" t="s">
        <v>475</v>
      </c>
      <c r="C120" s="610" t="s">
        <v>86</v>
      </c>
      <c r="D120" s="611"/>
      <c r="E120" s="612">
        <v>2014</v>
      </c>
      <c r="F120" s="617">
        <v>201.60900000000001</v>
      </c>
      <c r="G120" s="618">
        <v>752</v>
      </c>
      <c r="H120" s="618">
        <v>732</v>
      </c>
      <c r="I120" s="618">
        <v>20</v>
      </c>
      <c r="J120" s="79"/>
      <c r="K120" s="618"/>
      <c r="L120" s="619"/>
      <c r="M120" s="619"/>
      <c r="N120" s="79"/>
      <c r="O120" s="618">
        <v>2014</v>
      </c>
      <c r="P120" s="618">
        <v>280</v>
      </c>
      <c r="Q120" s="79"/>
      <c r="R120" s="620">
        <v>0.94271449212518854</v>
      </c>
      <c r="S120" s="449">
        <f t="shared" si="11"/>
        <v>774.39217719371266</v>
      </c>
      <c r="T120" s="449">
        <f t="shared" si="12"/>
        <v>0</v>
      </c>
      <c r="U120" s="449">
        <f t="shared" si="16"/>
        <v>21.313501766109564</v>
      </c>
      <c r="V120" s="449">
        <f t="shared" si="13"/>
        <v>296.21558690469885</v>
      </c>
      <c r="W120" s="621">
        <f t="shared" si="14"/>
        <v>1091.921265864521</v>
      </c>
      <c r="Y120" s="452">
        <f>VLOOKUP($C120,'WB Population Data'!$C$6:$D$269,2,FALSE)</f>
        <v>39000</v>
      </c>
      <c r="Z120" s="453">
        <f t="shared" si="15"/>
        <v>0</v>
      </c>
      <c r="AA120" s="622" t="str">
        <f>INDEX('HCW + Staff Summary'!$E$7:$E$270,MATCH($C120,'HCW + Staff Summary'!$C$7:$C$270,0))</f>
        <v>High income</v>
      </c>
      <c r="AB120" s="620">
        <f t="shared" si="17"/>
        <v>0.54650004528486062</v>
      </c>
    </row>
    <row r="121" spans="2:28" x14ac:dyDescent="0.75">
      <c r="B121" s="610" t="s">
        <v>250</v>
      </c>
      <c r="C121" s="610" t="s">
        <v>96</v>
      </c>
      <c r="D121" s="611"/>
      <c r="E121" s="612">
        <v>2018</v>
      </c>
      <c r="F121" s="617">
        <v>38.938000000000002</v>
      </c>
      <c r="G121" s="618">
        <v>12344</v>
      </c>
      <c r="H121" s="618">
        <v>12344</v>
      </c>
      <c r="I121" s="618" t="s">
        <v>761</v>
      </c>
      <c r="J121" s="79"/>
      <c r="K121" s="618">
        <v>2016</v>
      </c>
      <c r="L121" s="619"/>
      <c r="M121" s="619">
        <v>435</v>
      </c>
      <c r="N121" s="79"/>
      <c r="O121" s="618">
        <v>2016</v>
      </c>
      <c r="P121" s="618">
        <v>8739</v>
      </c>
      <c r="Q121" s="79"/>
      <c r="R121" s="620">
        <v>1.9076975601694699</v>
      </c>
      <c r="S121" s="449">
        <f t="shared" si="11"/>
        <v>12819.464737895278</v>
      </c>
      <c r="T121" s="449">
        <f t="shared" si="12"/>
        <v>469.15593536874275</v>
      </c>
      <c r="U121" s="449">
        <f t="shared" si="16"/>
        <v>469.15593536874275</v>
      </c>
      <c r="V121" s="449">
        <f t="shared" si="13"/>
        <v>9425.1809636492944</v>
      </c>
      <c r="W121" s="621">
        <f t="shared" si="14"/>
        <v>23182.957572282059</v>
      </c>
      <c r="Y121" s="452">
        <f>VLOOKUP($C121,'WB Population Data'!$C$6:$D$269,2,FALSE)</f>
        <v>3278000</v>
      </c>
      <c r="Z121" s="453">
        <f t="shared" si="15"/>
        <v>0.14312261603683429</v>
      </c>
      <c r="AA121" s="622" t="str">
        <f>INDEX('HCW + Staff Summary'!$E$7:$E$270,MATCH($C121,'HCW + Staff Summary'!$C$7:$C$270,0))</f>
        <v>Lower middle income</v>
      </c>
      <c r="AB121" s="620">
        <f t="shared" si="17"/>
        <v>0.14312261603683429</v>
      </c>
    </row>
    <row r="122" spans="2:28" x14ac:dyDescent="0.75">
      <c r="B122" s="610" t="s">
        <v>476</v>
      </c>
      <c r="C122" s="610" t="s">
        <v>95</v>
      </c>
      <c r="D122" s="611"/>
      <c r="E122" s="612">
        <v>2018</v>
      </c>
      <c r="F122" s="617">
        <v>52.293999999999997</v>
      </c>
      <c r="G122" s="618">
        <v>3283</v>
      </c>
      <c r="H122" s="618">
        <v>3040</v>
      </c>
      <c r="I122" s="618">
        <v>243</v>
      </c>
      <c r="J122" s="79"/>
      <c r="K122" s="618"/>
      <c r="L122" s="619"/>
      <c r="M122" s="619"/>
      <c r="N122" s="79"/>
      <c r="O122" s="618">
        <v>2018</v>
      </c>
      <c r="P122" s="618">
        <v>1730</v>
      </c>
      <c r="Q122" s="79"/>
      <c r="R122" s="620">
        <v>3.660483253361814E-2</v>
      </c>
      <c r="S122" s="449">
        <f t="shared" si="11"/>
        <v>3042.2259811518288</v>
      </c>
      <c r="T122" s="449">
        <f t="shared" si="12"/>
        <v>0</v>
      </c>
      <c r="U122" s="449">
        <f t="shared" si="16"/>
        <v>136.71823696713963</v>
      </c>
      <c r="V122" s="449">
        <f t="shared" si="13"/>
        <v>1731.2667590107446</v>
      </c>
      <c r="W122" s="621">
        <f t="shared" si="14"/>
        <v>4910.2109771297128</v>
      </c>
      <c r="Y122" s="452">
        <f>VLOOKUP($C122,'WB Population Data'!$C$6:$D$269,2,FALSE)</f>
        <v>622000</v>
      </c>
      <c r="Z122" s="453">
        <f t="shared" si="15"/>
        <v>0</v>
      </c>
      <c r="AA122" s="622" t="str">
        <f>INDEX('HCW + Staff Summary'!$E$7:$E$270,MATCH($C122,'HCW + Staff Summary'!$C$7:$C$270,0))</f>
        <v>Upper middle income</v>
      </c>
      <c r="AB122" s="620">
        <f t="shared" si="17"/>
        <v>0.21980423949700909</v>
      </c>
    </row>
    <row r="123" spans="2:28" x14ac:dyDescent="0.75">
      <c r="B123" s="610" t="s">
        <v>477</v>
      </c>
      <c r="C123" s="610" t="s">
        <v>85</v>
      </c>
      <c r="D123" s="611"/>
      <c r="E123" s="612">
        <v>2017</v>
      </c>
      <c r="F123" s="617">
        <v>13.887</v>
      </c>
      <c r="G123" s="618">
        <v>49412</v>
      </c>
      <c r="H123" s="618">
        <v>45326</v>
      </c>
      <c r="I123" s="618">
        <v>4086</v>
      </c>
      <c r="J123" s="79"/>
      <c r="K123" s="618">
        <v>2017</v>
      </c>
      <c r="L123" s="619">
        <v>595</v>
      </c>
      <c r="M123" s="619">
        <v>890</v>
      </c>
      <c r="N123" s="79"/>
      <c r="O123" s="618">
        <v>2017</v>
      </c>
      <c r="P123" s="618">
        <v>26003</v>
      </c>
      <c r="Q123" s="79"/>
      <c r="R123" s="620">
        <v>1.3272920668376822</v>
      </c>
      <c r="S123" s="449">
        <f t="shared" si="11"/>
        <v>47154.886494039361</v>
      </c>
      <c r="T123" s="449">
        <f t="shared" si="12"/>
        <v>1544.9191731820247</v>
      </c>
      <c r="U123" s="449">
        <f t="shared" si="16"/>
        <v>1544.9191731820247</v>
      </c>
      <c r="V123" s="449">
        <f t="shared" si="13"/>
        <v>27052.210949664772</v>
      </c>
      <c r="W123" s="621">
        <f t="shared" si="14"/>
        <v>77296.935790068179</v>
      </c>
      <c r="Y123" s="452">
        <f>VLOOKUP($C123,'WB Population Data'!$C$6:$D$269,2,FALSE)</f>
        <v>36911000</v>
      </c>
      <c r="Z123" s="453">
        <f t="shared" si="15"/>
        <v>4.1855251095392287E-2</v>
      </c>
      <c r="AA123" s="622" t="str">
        <f>INDEX('HCW + Staff Summary'!$E$7:$E$270,MATCH($C123,'HCW + Staff Summary'!$C$7:$C$270,0))</f>
        <v>Lower middle income</v>
      </c>
      <c r="AB123" s="620">
        <f t="shared" si="17"/>
        <v>4.1855251095392287E-2</v>
      </c>
    </row>
    <row r="124" spans="2:28" x14ac:dyDescent="0.75">
      <c r="B124" s="610" t="s">
        <v>207</v>
      </c>
      <c r="C124" s="610" t="s">
        <v>97</v>
      </c>
      <c r="D124" s="611"/>
      <c r="E124" s="612">
        <v>2018</v>
      </c>
      <c r="F124" s="617">
        <v>6.8470000000000004</v>
      </c>
      <c r="G124" s="618">
        <v>20195</v>
      </c>
      <c r="H124" s="618">
        <v>14174</v>
      </c>
      <c r="I124" s="618">
        <v>6021</v>
      </c>
      <c r="J124" s="79"/>
      <c r="K124" s="618">
        <v>2017</v>
      </c>
      <c r="L124" s="619"/>
      <c r="M124" s="619">
        <v>1958</v>
      </c>
      <c r="N124" s="79"/>
      <c r="O124" s="618">
        <v>2018</v>
      </c>
      <c r="P124" s="618">
        <v>2473</v>
      </c>
      <c r="Q124" s="79"/>
      <c r="R124" s="620">
        <v>2.8639275776286222</v>
      </c>
      <c r="S124" s="449">
        <f t="shared" si="11"/>
        <v>14997.491819556382</v>
      </c>
      <c r="T124" s="449">
        <f t="shared" si="12"/>
        <v>2131.0910021350282</v>
      </c>
      <c r="U124" s="449">
        <f t="shared" si="16"/>
        <v>2131.0910021350282</v>
      </c>
      <c r="V124" s="449">
        <f t="shared" si="13"/>
        <v>2616.6782326628286</v>
      </c>
      <c r="W124" s="621">
        <f t="shared" si="14"/>
        <v>21876.352056489264</v>
      </c>
      <c r="Y124" s="452">
        <f>VLOOKUP($C124,'WB Population Data'!$C$6:$D$269,2,FALSE)</f>
        <v>31255000</v>
      </c>
      <c r="Z124" s="453">
        <f t="shared" si="15"/>
        <v>6.8184002627900447E-2</v>
      </c>
      <c r="AA124" s="622" t="str">
        <f>INDEX('HCW + Staff Summary'!$E$7:$E$270,MATCH($C124,'HCW + Staff Summary'!$C$7:$C$270,0))</f>
        <v>Low income</v>
      </c>
      <c r="AB124" s="620">
        <f t="shared" si="17"/>
        <v>6.8184002627900447E-2</v>
      </c>
    </row>
    <row r="125" spans="2:28" x14ac:dyDescent="0.75">
      <c r="B125" s="610" t="s">
        <v>244</v>
      </c>
      <c r="C125" s="610" t="s">
        <v>94</v>
      </c>
      <c r="D125" s="611"/>
      <c r="E125" s="612">
        <v>2018</v>
      </c>
      <c r="F125" s="617">
        <v>9.9930000000000003</v>
      </c>
      <c r="G125" s="618">
        <v>53671</v>
      </c>
      <c r="H125" s="618">
        <v>35947</v>
      </c>
      <c r="I125" s="618">
        <v>17724</v>
      </c>
      <c r="J125" s="79"/>
      <c r="K125" s="618">
        <v>2018</v>
      </c>
      <c r="L125" s="619">
        <v>2443</v>
      </c>
      <c r="M125" s="619">
        <v>1562</v>
      </c>
      <c r="N125" s="79"/>
      <c r="O125" s="618">
        <v>2018</v>
      </c>
      <c r="P125" s="618">
        <v>36363</v>
      </c>
      <c r="Q125" s="79"/>
      <c r="R125" s="620">
        <v>0.70334232470402913</v>
      </c>
      <c r="S125" s="449">
        <f t="shared" si="11"/>
        <v>36454.43919459606</v>
      </c>
      <c r="T125" s="449">
        <f t="shared" si="12"/>
        <v>4061.5358437242944</v>
      </c>
      <c r="U125" s="449">
        <f t="shared" si="16"/>
        <v>4061.5358437242944</v>
      </c>
      <c r="V125" s="449">
        <f t="shared" si="13"/>
        <v>36876.311581859307</v>
      </c>
      <c r="W125" s="621">
        <f t="shared" si="14"/>
        <v>81453.822463903954</v>
      </c>
      <c r="Y125" s="452">
        <f>VLOOKUP($C125,'WB Population Data'!$C$6:$D$269,2,FALSE)</f>
        <v>54410000</v>
      </c>
      <c r="Z125" s="453">
        <f t="shared" si="15"/>
        <v>7.4646863512668513E-2</v>
      </c>
      <c r="AA125" s="622" t="str">
        <f>INDEX('HCW + Staff Summary'!$E$7:$E$270,MATCH($C125,'HCW + Staff Summary'!$C$7:$C$270,0))</f>
        <v>Lower middle income</v>
      </c>
      <c r="AB125" s="620">
        <f t="shared" si="17"/>
        <v>7.4646863512668513E-2</v>
      </c>
    </row>
    <row r="126" spans="2:28" x14ac:dyDescent="0.75">
      <c r="B126" s="610" t="s">
        <v>208</v>
      </c>
      <c r="C126" s="610" t="s">
        <v>102</v>
      </c>
      <c r="D126" s="611"/>
      <c r="E126" s="612">
        <v>2018</v>
      </c>
      <c r="F126" s="617">
        <v>19.54</v>
      </c>
      <c r="G126" s="618">
        <v>4784</v>
      </c>
      <c r="H126" s="618">
        <v>4784</v>
      </c>
      <c r="I126" s="618" t="s">
        <v>761</v>
      </c>
      <c r="J126" s="79"/>
      <c r="K126" s="618">
        <v>2004</v>
      </c>
      <c r="L126" s="619"/>
      <c r="M126" s="619">
        <v>160</v>
      </c>
      <c r="N126" s="79"/>
      <c r="O126" s="618">
        <v>2018</v>
      </c>
      <c r="P126" s="618">
        <v>1024</v>
      </c>
      <c r="Q126" s="79"/>
      <c r="R126" s="620">
        <v>1.836023736278952</v>
      </c>
      <c r="S126" s="449">
        <f t="shared" si="11"/>
        <v>4961.2834294310005</v>
      </c>
      <c r="T126" s="449">
        <f t="shared" si="12"/>
        <v>214.06364720304381</v>
      </c>
      <c r="U126" s="449">
        <f t="shared" si="16"/>
        <v>214.06364720304381</v>
      </c>
      <c r="V126" s="449">
        <f t="shared" si="13"/>
        <v>1061.9469547945955</v>
      </c>
      <c r="W126" s="621">
        <f t="shared" si="14"/>
        <v>6451.3576786316835</v>
      </c>
      <c r="Y126" s="452">
        <f>VLOOKUP($C126,'WB Population Data'!$C$6:$D$269,2,FALSE)</f>
        <v>2541000</v>
      </c>
      <c r="Z126" s="453">
        <f t="shared" si="15"/>
        <v>8.424385958403928E-2</v>
      </c>
      <c r="AA126" s="622" t="str">
        <f>INDEX('HCW + Staff Summary'!$E$7:$E$270,MATCH($C126,'HCW + Staff Summary'!$C$7:$C$270,0))</f>
        <v>Upper middle income</v>
      </c>
      <c r="AB126" s="620">
        <f t="shared" si="17"/>
        <v>8.424385958403928E-2</v>
      </c>
    </row>
    <row r="127" spans="2:28" x14ac:dyDescent="0.75">
      <c r="B127" s="610" t="s">
        <v>251</v>
      </c>
      <c r="C127" s="610" t="s">
        <v>109</v>
      </c>
      <c r="D127" s="611"/>
      <c r="E127" s="612">
        <v>2018</v>
      </c>
      <c r="F127" s="617">
        <v>76.635999999999996</v>
      </c>
      <c r="G127" s="618">
        <v>82</v>
      </c>
      <c r="H127" s="618">
        <v>82</v>
      </c>
      <c r="I127" s="618" t="s">
        <v>761</v>
      </c>
      <c r="J127" s="79"/>
      <c r="K127" s="618">
        <v>2015</v>
      </c>
      <c r="L127" s="619">
        <v>4</v>
      </c>
      <c r="M127" s="619">
        <v>3</v>
      </c>
      <c r="N127" s="79"/>
      <c r="O127" s="618">
        <v>2015</v>
      </c>
      <c r="P127" s="618">
        <v>14</v>
      </c>
      <c r="Q127" s="79"/>
      <c r="R127" s="620">
        <v>3.2085642783053681</v>
      </c>
      <c r="S127" s="449">
        <f t="shared" si="11"/>
        <v>87.346463471190532</v>
      </c>
      <c r="T127" s="449">
        <f t="shared" si="12"/>
        <v>8.1974112491291713</v>
      </c>
      <c r="U127" s="449">
        <f t="shared" si="16"/>
        <v>8.1974112491291713</v>
      </c>
      <c r="V127" s="449">
        <f t="shared" si="13"/>
        <v>16.394822498258343</v>
      </c>
      <c r="W127" s="621">
        <f t="shared" si="14"/>
        <v>120.13610846770723</v>
      </c>
      <c r="Y127" s="452">
        <f>VLOOKUP($C127,'WB Population Data'!$C$6:$D$269,2,FALSE)</f>
        <v>13000</v>
      </c>
      <c r="Z127" s="453">
        <f t="shared" si="15"/>
        <v>0.63057009608685932</v>
      </c>
      <c r="AA127" s="622" t="str">
        <f>INDEX('HCW + Staff Summary'!$E$7:$E$270,MATCH($C127,'HCW + Staff Summary'!$C$7:$C$270,0))</f>
        <v>Upper middle income</v>
      </c>
      <c r="AB127" s="620">
        <f t="shared" si="17"/>
        <v>0.63057009608685932</v>
      </c>
    </row>
    <row r="128" spans="2:28" x14ac:dyDescent="0.75">
      <c r="B128" s="610" t="s">
        <v>179</v>
      </c>
      <c r="C128" s="610" t="s">
        <v>108</v>
      </c>
      <c r="D128" s="611"/>
      <c r="E128" s="612">
        <v>2018</v>
      </c>
      <c r="F128" s="617">
        <v>31.084</v>
      </c>
      <c r="G128" s="618">
        <v>87333</v>
      </c>
      <c r="H128" s="618">
        <v>87333</v>
      </c>
      <c r="I128" s="618" t="s">
        <v>761</v>
      </c>
      <c r="J128" s="79"/>
      <c r="K128" s="618">
        <v>2018</v>
      </c>
      <c r="L128" s="619">
        <v>26923</v>
      </c>
      <c r="M128" s="619"/>
      <c r="N128" s="79"/>
      <c r="O128" s="618">
        <v>2018</v>
      </c>
      <c r="P128" s="618">
        <v>21033</v>
      </c>
      <c r="Q128" s="79"/>
      <c r="R128" s="620">
        <v>0.85092260857214919</v>
      </c>
      <c r="S128" s="449">
        <f t="shared" si="11"/>
        <v>88825.595997782148</v>
      </c>
      <c r="T128" s="449">
        <f t="shared" si="12"/>
        <v>27383.13719954987</v>
      </c>
      <c r="U128" s="449">
        <f t="shared" si="16"/>
        <v>27383.13719954987</v>
      </c>
      <c r="V128" s="449">
        <f t="shared" si="13"/>
        <v>21392.472039450746</v>
      </c>
      <c r="W128" s="621">
        <f t="shared" si="14"/>
        <v>164984.34243633263</v>
      </c>
      <c r="Y128" s="452">
        <f>VLOOKUP($C128,'WB Population Data'!$C$6:$D$269,2,FALSE)</f>
        <v>29137000</v>
      </c>
      <c r="Z128" s="453">
        <f t="shared" ref="Z128:Z191" si="18">IFERROR(T128/Y128*1000,0)</f>
        <v>0.93980633557160553</v>
      </c>
      <c r="AA128" s="622" t="str">
        <f>INDEX('HCW + Staff Summary'!$E$7:$E$270,MATCH($C128,'HCW + Staff Summary'!$C$7:$C$270,0))</f>
        <v>Low income</v>
      </c>
      <c r="AB128" s="620">
        <f t="shared" si="17"/>
        <v>0.93980633557160553</v>
      </c>
    </row>
    <row r="129" spans="2:28" x14ac:dyDescent="0.75">
      <c r="B129" s="610" t="s">
        <v>478</v>
      </c>
      <c r="C129" s="610" t="s">
        <v>106</v>
      </c>
      <c r="D129" s="611"/>
      <c r="E129" s="612">
        <v>2017</v>
      </c>
      <c r="F129" s="617">
        <v>111.839</v>
      </c>
      <c r="G129" s="618">
        <v>190365</v>
      </c>
      <c r="H129" s="618">
        <v>186370</v>
      </c>
      <c r="I129" s="618">
        <v>3995</v>
      </c>
      <c r="J129" s="79"/>
      <c r="K129" s="618"/>
      <c r="L129" s="619"/>
      <c r="M129" s="619"/>
      <c r="N129" s="79"/>
      <c r="O129" s="618">
        <v>2017</v>
      </c>
      <c r="P129" s="618">
        <v>61368</v>
      </c>
      <c r="Q129" s="79"/>
      <c r="R129" s="620">
        <v>0.50136825225992376</v>
      </c>
      <c r="S129" s="449">
        <f t="shared" si="11"/>
        <v>189187.27787825908</v>
      </c>
      <c r="T129" s="449">
        <f t="shared" si="12"/>
        <v>0</v>
      </c>
      <c r="U129" s="449">
        <f t="shared" si="16"/>
        <v>9470.8457847866339</v>
      </c>
      <c r="V129" s="449">
        <f t="shared" si="13"/>
        <v>62295.674565826055</v>
      </c>
      <c r="W129" s="621">
        <f t="shared" si="14"/>
        <v>260953.79822887175</v>
      </c>
      <c r="Y129" s="452">
        <f>VLOOKUP($C129,'WB Population Data'!$C$6:$D$269,2,FALSE)</f>
        <v>17330000</v>
      </c>
      <c r="Z129" s="453">
        <f t="shared" si="18"/>
        <v>0</v>
      </c>
      <c r="AA129" s="622" t="str">
        <f>INDEX('HCW + Staff Summary'!$E$7:$E$270,MATCH($C129,'HCW + Staff Summary'!$C$7:$C$270,0))</f>
        <v>High income</v>
      </c>
      <c r="AB129" s="620">
        <f t="shared" si="17"/>
        <v>0.54650004528486062</v>
      </c>
    </row>
    <row r="130" spans="2:28" x14ac:dyDescent="0.75">
      <c r="B130" s="610" t="s">
        <v>481</v>
      </c>
      <c r="C130" s="610" t="s">
        <v>110</v>
      </c>
      <c r="D130" s="611"/>
      <c r="E130" s="612">
        <v>2018</v>
      </c>
      <c r="F130" s="617">
        <v>124.482</v>
      </c>
      <c r="G130" s="618">
        <v>59043</v>
      </c>
      <c r="H130" s="618">
        <v>56356</v>
      </c>
      <c r="I130" s="618">
        <v>2687</v>
      </c>
      <c r="J130" s="79"/>
      <c r="K130" s="618">
        <v>2013</v>
      </c>
      <c r="L130" s="619">
        <v>3232</v>
      </c>
      <c r="M130" s="619"/>
      <c r="N130" s="79"/>
      <c r="O130" s="618">
        <v>2018</v>
      </c>
      <c r="P130" s="618">
        <v>17027</v>
      </c>
      <c r="Q130" s="79"/>
      <c r="R130" s="620">
        <v>1.9028879360322901</v>
      </c>
      <c r="S130" s="449">
        <f t="shared" si="11"/>
        <v>58521.189459421345</v>
      </c>
      <c r="T130" s="449">
        <f t="shared" si="12"/>
        <v>3687.8801346538085</v>
      </c>
      <c r="U130" s="449">
        <f t="shared" si="16"/>
        <v>3687.8801346538085</v>
      </c>
      <c r="V130" s="449">
        <f t="shared" si="13"/>
        <v>17681.174904634241</v>
      </c>
      <c r="W130" s="621">
        <f t="shared" si="14"/>
        <v>83578.124633363201</v>
      </c>
      <c r="Y130" s="452">
        <f>VLOOKUP($C130,'WB Population Data'!$C$6:$D$269,2,FALSE)</f>
        <v>4971000</v>
      </c>
      <c r="Z130" s="453">
        <f t="shared" si="18"/>
        <v>0.74187892469398686</v>
      </c>
      <c r="AA130" s="622" t="str">
        <f>INDEX('HCW + Staff Summary'!$E$7:$E$270,MATCH($C130,'HCW + Staff Summary'!$C$7:$C$270,0))</f>
        <v>High income</v>
      </c>
      <c r="AB130" s="620">
        <f t="shared" si="17"/>
        <v>0.74187892469398686</v>
      </c>
    </row>
    <row r="131" spans="2:28" x14ac:dyDescent="0.75">
      <c r="B131" s="610" t="s">
        <v>227</v>
      </c>
      <c r="C131" s="610" t="s">
        <v>105</v>
      </c>
      <c r="D131" s="611"/>
      <c r="E131" s="612">
        <v>2018</v>
      </c>
      <c r="F131" s="617">
        <v>15.334</v>
      </c>
      <c r="G131" s="618">
        <v>9914</v>
      </c>
      <c r="H131" s="618">
        <v>9914</v>
      </c>
      <c r="I131" s="618" t="s">
        <v>761</v>
      </c>
      <c r="J131" s="79"/>
      <c r="K131" s="618">
        <v>2018</v>
      </c>
      <c r="L131" s="619"/>
      <c r="M131" s="619">
        <v>1270</v>
      </c>
      <c r="N131" s="79"/>
      <c r="O131" s="618">
        <v>2018</v>
      </c>
      <c r="P131" s="618">
        <v>6320</v>
      </c>
      <c r="Q131" s="79"/>
      <c r="R131" s="620">
        <v>1.2873538163565421</v>
      </c>
      <c r="S131" s="449">
        <f t="shared" si="11"/>
        <v>10170.899541948966</v>
      </c>
      <c r="T131" s="449">
        <f t="shared" si="12"/>
        <v>1302.9092614762142</v>
      </c>
      <c r="U131" s="449">
        <f t="shared" si="16"/>
        <v>1302.9092614762142</v>
      </c>
      <c r="V131" s="449">
        <f t="shared" si="13"/>
        <v>6483.7689232517114</v>
      </c>
      <c r="W131" s="621">
        <f t="shared" si="14"/>
        <v>19260.486988153105</v>
      </c>
      <c r="Y131" s="452">
        <f>VLOOKUP($C131,'WB Population Data'!$C$6:$D$269,2,FALSE)</f>
        <v>6625000</v>
      </c>
      <c r="Z131" s="453">
        <f t="shared" si="18"/>
        <v>0.19666554890207005</v>
      </c>
      <c r="AA131" s="622" t="str">
        <f>INDEX('HCW + Staff Summary'!$E$7:$E$270,MATCH($C131,'HCW + Staff Summary'!$C$7:$C$270,0))</f>
        <v>Lower middle income</v>
      </c>
      <c r="AB131" s="620">
        <f t="shared" si="17"/>
        <v>0.19666554890207005</v>
      </c>
    </row>
    <row r="132" spans="2:28" x14ac:dyDescent="0.75">
      <c r="B132" s="610" t="s">
        <v>209</v>
      </c>
      <c r="C132" s="610" t="s">
        <v>103</v>
      </c>
      <c r="D132" s="611"/>
      <c r="E132" s="612">
        <v>2016</v>
      </c>
      <c r="F132" s="617">
        <v>2.6949999999999998</v>
      </c>
      <c r="G132" s="618">
        <v>5602</v>
      </c>
      <c r="H132" s="618">
        <v>4746</v>
      </c>
      <c r="I132" s="618">
        <v>856</v>
      </c>
      <c r="J132" s="79"/>
      <c r="K132" s="618">
        <v>2009</v>
      </c>
      <c r="L132" s="619">
        <v>369</v>
      </c>
      <c r="M132" s="619"/>
      <c r="N132" s="79"/>
      <c r="O132" s="618">
        <v>2016</v>
      </c>
      <c r="P132" s="618">
        <v>900</v>
      </c>
      <c r="Q132" s="79"/>
      <c r="R132" s="620">
        <v>3.8595147787312718</v>
      </c>
      <c r="S132" s="449">
        <f t="shared" si="11"/>
        <v>5522.2096558848871</v>
      </c>
      <c r="T132" s="449">
        <f t="shared" si="12"/>
        <v>559.67453650833647</v>
      </c>
      <c r="U132" s="449">
        <f t="shared" si="16"/>
        <v>559.67453650833647</v>
      </c>
      <c r="V132" s="449">
        <f t="shared" si="13"/>
        <v>1047.1952571210279</v>
      </c>
      <c r="W132" s="621">
        <f t="shared" si="14"/>
        <v>7688.753986022587</v>
      </c>
      <c r="Y132" s="452">
        <f>VLOOKUP($C132,'WB Population Data'!$C$6:$D$269,2,FALSE)</f>
        <v>24207000</v>
      </c>
      <c r="Z132" s="453">
        <f t="shared" si="18"/>
        <v>2.3120359255931609E-2</v>
      </c>
      <c r="AA132" s="622" t="str">
        <f>INDEX('HCW + Staff Summary'!$E$7:$E$270,MATCH($C132,'HCW + Staff Summary'!$C$7:$C$270,0))</f>
        <v>Low income</v>
      </c>
      <c r="AB132" s="620">
        <f t="shared" si="17"/>
        <v>2.3120359255931609E-2</v>
      </c>
    </row>
    <row r="133" spans="2:28" x14ac:dyDescent="0.75">
      <c r="B133" s="610" t="s">
        <v>177</v>
      </c>
      <c r="C133" s="610" t="s">
        <v>104</v>
      </c>
      <c r="D133" s="611"/>
      <c r="E133" s="612">
        <v>2018</v>
      </c>
      <c r="F133" s="617">
        <v>11.792</v>
      </c>
      <c r="G133" s="618">
        <v>230975</v>
      </c>
      <c r="H133" s="618">
        <v>110105</v>
      </c>
      <c r="I133" s="618">
        <v>120870</v>
      </c>
      <c r="J133" s="79"/>
      <c r="K133" s="618">
        <v>2018</v>
      </c>
      <c r="L133" s="619">
        <v>26677</v>
      </c>
      <c r="M133" s="619">
        <v>29246</v>
      </c>
      <c r="N133" s="79"/>
      <c r="O133" s="618">
        <v>2018</v>
      </c>
      <c r="P133" s="618">
        <v>74543</v>
      </c>
      <c r="Q133" s="79"/>
      <c r="R133" s="620">
        <v>2.6268726545526282</v>
      </c>
      <c r="S133" s="449">
        <f t="shared" si="11"/>
        <v>115965.61378679535</v>
      </c>
      <c r="T133" s="449">
        <f t="shared" si="12"/>
        <v>58899.641431351498</v>
      </c>
      <c r="U133" s="449">
        <f t="shared" si="16"/>
        <v>58899.641431351498</v>
      </c>
      <c r="V133" s="449">
        <f t="shared" si="13"/>
        <v>78510.73746432121</v>
      </c>
      <c r="W133" s="621">
        <f t="shared" si="14"/>
        <v>312275.63411381951</v>
      </c>
      <c r="Y133" s="452">
        <f>VLOOKUP($C133,'WB Population Data'!$C$6:$D$269,2,FALSE)</f>
        <v>206140000</v>
      </c>
      <c r="Z133" s="453">
        <f t="shared" si="18"/>
        <v>0.28572640647788639</v>
      </c>
      <c r="AA133" s="622" t="str">
        <f>INDEX('HCW + Staff Summary'!$E$7:$E$270,MATCH($C133,'HCW + Staff Summary'!$C$7:$C$270,0))</f>
        <v>Lower middle income</v>
      </c>
      <c r="AB133" s="620">
        <f t="shared" si="17"/>
        <v>0.28572640647788639</v>
      </c>
    </row>
    <row r="134" spans="2:28" x14ac:dyDescent="0.75">
      <c r="B134" s="610" t="s">
        <v>762</v>
      </c>
      <c r="C134" s="610" t="s">
        <v>1146</v>
      </c>
      <c r="D134" s="611"/>
      <c r="E134" s="612">
        <v>2018</v>
      </c>
      <c r="F134" s="617">
        <v>125</v>
      </c>
      <c r="G134" s="618">
        <v>20</v>
      </c>
      <c r="H134" s="618">
        <v>20</v>
      </c>
      <c r="I134" s="618" t="s">
        <v>761</v>
      </c>
      <c r="J134" s="79"/>
      <c r="K134" s="618">
        <v>2008</v>
      </c>
      <c r="L134" s="619"/>
      <c r="M134" s="619">
        <v>1</v>
      </c>
      <c r="N134" s="79"/>
      <c r="O134" s="618">
        <v>2008</v>
      </c>
      <c r="P134" s="618">
        <v>3</v>
      </c>
      <c r="Q134" s="79"/>
      <c r="R134" s="620" t="e">
        <v>#N/A</v>
      </c>
      <c r="S134" s="449">
        <f t="shared" si="11"/>
        <v>20</v>
      </c>
      <c r="T134" s="449">
        <f t="shared" si="12"/>
        <v>1</v>
      </c>
      <c r="U134" s="449">
        <f t="shared" si="16"/>
        <v>1</v>
      </c>
      <c r="V134" s="449">
        <f t="shared" si="13"/>
        <v>3</v>
      </c>
      <c r="W134" s="621">
        <f t="shared" si="14"/>
        <v>25</v>
      </c>
      <c r="Y134" s="452" t="e">
        <f>VLOOKUP($C134,'WB Population Data'!$C$6:$D$269,2,FALSE)</f>
        <v>#N/A</v>
      </c>
      <c r="Z134" s="453">
        <f t="shared" si="18"/>
        <v>0</v>
      </c>
      <c r="AA134" s="622" t="e">
        <f>INDEX('HCW + Staff Summary'!$E$7:$E$270,MATCH($C134,'HCW + Staff Summary'!$C$7:$C$270,0))</f>
        <v>#N/A</v>
      </c>
      <c r="AB134" s="620" t="e">
        <f t="shared" si="17"/>
        <v>#N/A</v>
      </c>
    </row>
    <row r="135" spans="2:28" x14ac:dyDescent="0.75">
      <c r="B135" s="610" t="s">
        <v>488</v>
      </c>
      <c r="C135" s="610" t="s">
        <v>107</v>
      </c>
      <c r="D135" s="611"/>
      <c r="E135" s="612">
        <v>2018</v>
      </c>
      <c r="F135" s="617">
        <v>182.24799999999999</v>
      </c>
      <c r="G135" s="618">
        <v>97284</v>
      </c>
      <c r="H135" s="618">
        <v>94329</v>
      </c>
      <c r="I135" s="618">
        <v>2955</v>
      </c>
      <c r="J135" s="79"/>
      <c r="K135" s="618"/>
      <c r="L135" s="619"/>
      <c r="M135" s="619"/>
      <c r="N135" s="79"/>
      <c r="O135" s="618">
        <v>2018</v>
      </c>
      <c r="P135" s="618">
        <v>15568</v>
      </c>
      <c r="Q135" s="79"/>
      <c r="R135" s="620">
        <v>0.9034205661307364</v>
      </c>
      <c r="S135" s="449">
        <f t="shared" si="11"/>
        <v>96041.074009563279</v>
      </c>
      <c r="T135" s="449">
        <f t="shared" si="12"/>
        <v>0</v>
      </c>
      <c r="U135" s="449">
        <f t="shared" si="16"/>
        <v>2963.1232455345139</v>
      </c>
      <c r="V135" s="449">
        <f t="shared" si="13"/>
        <v>15850.559638932684</v>
      </c>
      <c r="W135" s="621">
        <f t="shared" si="14"/>
        <v>114854.75689403048</v>
      </c>
      <c r="Y135" s="452">
        <f>VLOOKUP($C135,'WB Population Data'!$C$6:$D$269,2,FALSE)</f>
        <v>5422000</v>
      </c>
      <c r="Z135" s="453">
        <f t="shared" si="18"/>
        <v>0</v>
      </c>
      <c r="AA135" s="622" t="str">
        <f>INDEX('HCW + Staff Summary'!$E$7:$E$270,MATCH($C135,'HCW + Staff Summary'!$C$7:$C$270,0))</f>
        <v>High income</v>
      </c>
      <c r="AB135" s="620">
        <f t="shared" si="17"/>
        <v>0.54650004528486062</v>
      </c>
    </row>
    <row r="136" spans="2:28" x14ac:dyDescent="0.75">
      <c r="B136" s="610" t="s">
        <v>493</v>
      </c>
      <c r="C136" s="610" t="s">
        <v>111</v>
      </c>
      <c r="D136" s="611"/>
      <c r="E136" s="612">
        <v>2018</v>
      </c>
      <c r="F136" s="617">
        <v>41.965000000000003</v>
      </c>
      <c r="G136" s="618">
        <v>20267</v>
      </c>
      <c r="H136" s="618">
        <v>19415</v>
      </c>
      <c r="I136" s="618">
        <v>852</v>
      </c>
      <c r="J136" s="79"/>
      <c r="K136" s="618">
        <v>2018</v>
      </c>
      <c r="L136" s="619">
        <v>2474</v>
      </c>
      <c r="M136" s="619"/>
      <c r="N136" s="79"/>
      <c r="O136" s="618">
        <v>2018</v>
      </c>
      <c r="P136" s="618">
        <v>9674</v>
      </c>
      <c r="Q136" s="79"/>
      <c r="R136" s="620">
        <v>4.9808671103202347</v>
      </c>
      <c r="S136" s="449">
        <f t="shared" si="11"/>
        <v>21397.237444604205</v>
      </c>
      <c r="T136" s="449">
        <f t="shared" si="12"/>
        <v>2726.5910604146693</v>
      </c>
      <c r="U136" s="449">
        <f t="shared" ref="U136:U167" si="19">IF(T136=0,INDEX($AE$9:$AE$13,MATCH($AA136,$AD$9:$AD$13,0))*$Y136/1000,T136)</f>
        <v>2726.5910604146693</v>
      </c>
      <c r="V136" s="449">
        <f t="shared" si="13"/>
        <v>10661.698431063667</v>
      </c>
      <c r="W136" s="621">
        <f t="shared" si="14"/>
        <v>37512.117996497211</v>
      </c>
      <c r="Y136" s="452">
        <f>VLOOKUP($C136,'WB Population Data'!$C$6:$D$269,2,FALSE)</f>
        <v>5107000</v>
      </c>
      <c r="Z136" s="453">
        <f t="shared" si="18"/>
        <v>0.53389290393864686</v>
      </c>
      <c r="AA136" s="622" t="str">
        <f>INDEX('HCW + Staff Summary'!$E$7:$E$270,MATCH($C136,'HCW + Staff Summary'!$C$7:$C$270,0))</f>
        <v>High income</v>
      </c>
      <c r="AB136" s="620">
        <f t="shared" ref="AB136:AB167" si="20">IF(Z136=0,INDEX($AE$9:$AE$13,MATCH($AA136,$AD$9:$AD$13,0)),Z136)</f>
        <v>0.53389290393864686</v>
      </c>
    </row>
    <row r="137" spans="2:28" x14ac:dyDescent="0.75">
      <c r="B137" s="610" t="s">
        <v>176</v>
      </c>
      <c r="C137" s="610" t="s">
        <v>112</v>
      </c>
      <c r="D137" s="611"/>
      <c r="E137" s="612">
        <v>2018</v>
      </c>
      <c r="F137" s="617">
        <v>6.6829999999999998</v>
      </c>
      <c r="G137" s="618">
        <v>141837</v>
      </c>
      <c r="H137" s="618">
        <v>103777</v>
      </c>
      <c r="I137" s="618">
        <v>38060</v>
      </c>
      <c r="J137" s="79"/>
      <c r="K137" s="618">
        <v>2015</v>
      </c>
      <c r="L137" s="619"/>
      <c r="M137" s="619">
        <v>37613</v>
      </c>
      <c r="N137" s="79"/>
      <c r="O137" s="618">
        <v>2018</v>
      </c>
      <c r="P137" s="618">
        <v>208007</v>
      </c>
      <c r="Q137" s="79"/>
      <c r="R137" s="620">
        <v>2.07902064651595</v>
      </c>
      <c r="S137" s="449">
        <f t="shared" ref="S137:S200" si="21">IFERROR(H137*(1+R137/100)^(2020-E137),H137)</f>
        <v>108136.94632400684</v>
      </c>
      <c r="T137" s="449">
        <f t="shared" ref="T137:T200" si="22">IFERROR(SUM(L137:M137)*(1+$R137/100)^(2020-$K137),SUM(L137:M137))</f>
        <v>41688.901121931638</v>
      </c>
      <c r="U137" s="449">
        <f t="shared" si="19"/>
        <v>41688.901121931638</v>
      </c>
      <c r="V137" s="449">
        <f t="shared" ref="V137:V200" si="23">IFERROR(P137*(1+$R137/100)^(2020-$O137),P137)</f>
        <v>216745.92437647737</v>
      </c>
      <c r="W137" s="621">
        <f t="shared" ref="W137:W200" si="24">SUM(S137:V137)</f>
        <v>408260.67294434749</v>
      </c>
      <c r="Y137" s="452">
        <f>VLOOKUP($C137,'WB Population Data'!$C$6:$D$269,2,FALSE)</f>
        <v>220892000</v>
      </c>
      <c r="Z137" s="453">
        <f t="shared" si="18"/>
        <v>0.18872979158109682</v>
      </c>
      <c r="AA137" s="622" t="str">
        <f>INDEX('HCW + Staff Summary'!$E$7:$E$270,MATCH($C137,'HCW + Staff Summary'!$C$7:$C$270,0))</f>
        <v>Lower middle income</v>
      </c>
      <c r="AB137" s="620">
        <f t="shared" si="20"/>
        <v>0.18872979158109682</v>
      </c>
    </row>
    <row r="138" spans="2:28" x14ac:dyDescent="0.75">
      <c r="B138" s="610" t="s">
        <v>498</v>
      </c>
      <c r="C138" s="610" t="s">
        <v>499</v>
      </c>
      <c r="D138" s="611"/>
      <c r="E138" s="612">
        <v>2018</v>
      </c>
      <c r="F138" s="617">
        <v>72.626000000000005</v>
      </c>
      <c r="G138" s="618">
        <v>130</v>
      </c>
      <c r="H138" s="618">
        <v>130</v>
      </c>
      <c r="I138" s="618" t="s">
        <v>761</v>
      </c>
      <c r="J138" s="79"/>
      <c r="K138" s="618">
        <v>1998</v>
      </c>
      <c r="L138" s="619"/>
      <c r="M138" s="619">
        <v>13</v>
      </c>
      <c r="N138" s="79"/>
      <c r="O138" s="618">
        <v>2014</v>
      </c>
      <c r="P138" s="618">
        <v>25</v>
      </c>
      <c r="Q138" s="79"/>
      <c r="R138" s="620">
        <v>0.33903889631815742</v>
      </c>
      <c r="S138" s="449">
        <f t="shared" si="21"/>
        <v>130.88299544627907</v>
      </c>
      <c r="T138" s="449">
        <f t="shared" si="22"/>
        <v>14.004962871339631</v>
      </c>
      <c r="U138" s="449">
        <f t="shared" si="19"/>
        <v>14.004962871339631</v>
      </c>
      <c r="V138" s="449">
        <f t="shared" si="23"/>
        <v>25.512888406403761</v>
      </c>
      <c r="W138" s="621">
        <f t="shared" si="24"/>
        <v>184.40580959536211</v>
      </c>
      <c r="Y138" s="452">
        <f>VLOOKUP($C138,'WB Population Data'!$C$6:$D$269,2,FALSE)</f>
        <v>18000</v>
      </c>
      <c r="Z138" s="453">
        <f t="shared" si="18"/>
        <v>0.77805349285220171</v>
      </c>
      <c r="AA138" s="622" t="str">
        <f>INDEX('HCW + Staff Summary'!$E$7:$E$270,MATCH($C138,'HCW + Staff Summary'!$C$7:$C$270,0))</f>
        <v>High income</v>
      </c>
      <c r="AB138" s="620">
        <f t="shared" si="20"/>
        <v>0.77805349285220171</v>
      </c>
    </row>
    <row r="139" spans="2:28" x14ac:dyDescent="0.75">
      <c r="B139" s="610" t="s">
        <v>500</v>
      </c>
      <c r="C139" s="610" t="s">
        <v>113</v>
      </c>
      <c r="D139" s="611"/>
      <c r="E139" s="612">
        <v>2018</v>
      </c>
      <c r="F139" s="617">
        <v>30.741</v>
      </c>
      <c r="G139" s="618">
        <v>12840</v>
      </c>
      <c r="H139" s="618">
        <v>12840</v>
      </c>
      <c r="I139" s="618" t="s">
        <v>761</v>
      </c>
      <c r="J139" s="79"/>
      <c r="K139" s="618"/>
      <c r="L139" s="619"/>
      <c r="M139" s="619"/>
      <c r="N139" s="79"/>
      <c r="O139" s="618">
        <v>2016</v>
      </c>
      <c r="P139" s="618">
        <v>6333</v>
      </c>
      <c r="Q139" s="79"/>
      <c r="R139" s="620">
        <v>1.7055900334505139</v>
      </c>
      <c r="S139" s="449">
        <f t="shared" si="21"/>
        <v>13281.730724563167</v>
      </c>
      <c r="T139" s="449">
        <f t="shared" si="22"/>
        <v>0</v>
      </c>
      <c r="U139" s="449">
        <f t="shared" si="19"/>
        <v>2358.1476954041736</v>
      </c>
      <c r="V139" s="449">
        <f t="shared" si="23"/>
        <v>6776.2400512604599</v>
      </c>
      <c r="W139" s="621">
        <f t="shared" si="24"/>
        <v>22416.118471227801</v>
      </c>
      <c r="Y139" s="452">
        <f>VLOOKUP($C139,'WB Population Data'!$C$6:$D$269,2,FALSE)</f>
        <v>4315000</v>
      </c>
      <c r="Z139" s="453">
        <f t="shared" si="18"/>
        <v>0</v>
      </c>
      <c r="AA139" s="622" t="str">
        <f>INDEX('HCW + Staff Summary'!$E$7:$E$270,MATCH($C139,'HCW + Staff Summary'!$C$7:$C$270,0))</f>
        <v>High income</v>
      </c>
      <c r="AB139" s="620">
        <f t="shared" si="20"/>
        <v>0.54650004528486062</v>
      </c>
    </row>
    <row r="140" spans="2:28" x14ac:dyDescent="0.75">
      <c r="B140" s="610" t="s">
        <v>252</v>
      </c>
      <c r="C140" s="610" t="s">
        <v>116</v>
      </c>
      <c r="D140" s="611"/>
      <c r="E140" s="612">
        <v>2018</v>
      </c>
      <c r="F140" s="617">
        <v>4.548</v>
      </c>
      <c r="G140" s="618">
        <v>3914</v>
      </c>
      <c r="H140" s="618">
        <v>3237</v>
      </c>
      <c r="I140" s="618">
        <v>677</v>
      </c>
      <c r="J140" s="79"/>
      <c r="K140" s="618"/>
      <c r="L140" s="619"/>
      <c r="M140" s="619"/>
      <c r="N140" s="79"/>
      <c r="O140" s="618">
        <v>2018</v>
      </c>
      <c r="P140" s="618">
        <v>602</v>
      </c>
      <c r="Q140" s="79"/>
      <c r="R140" s="620">
        <v>1.9972720274529017</v>
      </c>
      <c r="S140" s="449">
        <f t="shared" si="21"/>
        <v>3367.5946612873686</v>
      </c>
      <c r="T140" s="449">
        <f t="shared" si="22"/>
        <v>0</v>
      </c>
      <c r="U140" s="449">
        <f t="shared" si="19"/>
        <v>2467.0356558713984</v>
      </c>
      <c r="V140" s="449">
        <f t="shared" si="23"/>
        <v>626.28729876274201</v>
      </c>
      <c r="W140" s="621">
        <f t="shared" si="24"/>
        <v>6460.9176159215094</v>
      </c>
      <c r="Y140" s="452">
        <f>VLOOKUP($C140,'WB Population Data'!$C$6:$D$269,2,FALSE)</f>
        <v>8947000</v>
      </c>
      <c r="Z140" s="453">
        <f t="shared" si="18"/>
        <v>0</v>
      </c>
      <c r="AA140" s="622" t="str">
        <f>INDEX('HCW + Staff Summary'!$E$7:$E$270,MATCH($C140,'HCW + Staff Summary'!$C$7:$C$270,0))</f>
        <v>Lower middle income</v>
      </c>
      <c r="AB140" s="620">
        <f t="shared" si="20"/>
        <v>0.2757388684331506</v>
      </c>
    </row>
    <row r="141" spans="2:28" x14ac:dyDescent="0.75">
      <c r="B141" s="610" t="s">
        <v>228</v>
      </c>
      <c r="C141" s="610" t="s">
        <v>119</v>
      </c>
      <c r="D141" s="611"/>
      <c r="E141" s="612">
        <v>2018</v>
      </c>
      <c r="F141" s="617">
        <v>16.603999999999999</v>
      </c>
      <c r="G141" s="618">
        <v>11550</v>
      </c>
      <c r="H141" s="618">
        <v>10399</v>
      </c>
      <c r="I141" s="618">
        <v>1151</v>
      </c>
      <c r="J141" s="79"/>
      <c r="K141" s="618">
        <v>2012</v>
      </c>
      <c r="L141" s="619">
        <v>1395</v>
      </c>
      <c r="M141" s="619"/>
      <c r="N141" s="79"/>
      <c r="O141" s="618">
        <v>2018</v>
      </c>
      <c r="P141" s="618">
        <v>9421</v>
      </c>
      <c r="Q141" s="79"/>
      <c r="R141" s="620">
        <v>1.324659036406554</v>
      </c>
      <c r="S141" s="449">
        <f t="shared" si="21"/>
        <v>10676.327321344921</v>
      </c>
      <c r="T141" s="449">
        <f t="shared" si="22"/>
        <v>1549.8705123870393</v>
      </c>
      <c r="U141" s="449">
        <f t="shared" si="19"/>
        <v>1549.8705123870393</v>
      </c>
      <c r="V141" s="449">
        <f t="shared" si="23"/>
        <v>9672.2453788239745</v>
      </c>
      <c r="W141" s="621">
        <f t="shared" si="24"/>
        <v>23448.313724942971</v>
      </c>
      <c r="Y141" s="452">
        <f>VLOOKUP($C141,'WB Population Data'!$C$6:$D$269,2,FALSE)</f>
        <v>7133000</v>
      </c>
      <c r="Z141" s="453">
        <f t="shared" si="18"/>
        <v>0.21728172050848721</v>
      </c>
      <c r="AA141" s="622" t="str">
        <f>INDEX('HCW + Staff Summary'!$E$7:$E$270,MATCH($C141,'HCW + Staff Summary'!$C$7:$C$270,0))</f>
        <v>Upper middle income</v>
      </c>
      <c r="AB141" s="620">
        <f t="shared" si="20"/>
        <v>0.21728172050848721</v>
      </c>
    </row>
    <row r="142" spans="2:28" x14ac:dyDescent="0.75">
      <c r="B142" s="610" t="s">
        <v>501</v>
      </c>
      <c r="C142" s="610" t="s">
        <v>114</v>
      </c>
      <c r="D142" s="611"/>
      <c r="E142" s="612">
        <v>2018</v>
      </c>
      <c r="F142" s="617">
        <v>24.398</v>
      </c>
      <c r="G142" s="618">
        <v>78048</v>
      </c>
      <c r="H142" s="618">
        <v>78048</v>
      </c>
      <c r="I142" s="618" t="s">
        <v>761</v>
      </c>
      <c r="J142" s="79"/>
      <c r="K142" s="618">
        <v>2012</v>
      </c>
      <c r="L142" s="619">
        <v>1512</v>
      </c>
      <c r="M142" s="619"/>
      <c r="N142" s="79"/>
      <c r="O142" s="618">
        <v>2016</v>
      </c>
      <c r="P142" s="618">
        <v>40352</v>
      </c>
      <c r="Q142" s="79"/>
      <c r="R142" s="620">
        <v>1.4353000718172502</v>
      </c>
      <c r="S142" s="449">
        <f t="shared" si="21"/>
        <v>80304.524561628103</v>
      </c>
      <c r="T142" s="449">
        <f t="shared" si="22"/>
        <v>1694.5903835078907</v>
      </c>
      <c r="U142" s="449">
        <f t="shared" si="19"/>
        <v>1694.5903835078907</v>
      </c>
      <c r="V142" s="449">
        <f t="shared" si="23"/>
        <v>42719.045271728239</v>
      </c>
      <c r="W142" s="621">
        <f t="shared" si="24"/>
        <v>126412.75060037212</v>
      </c>
      <c r="Y142" s="452">
        <f>VLOOKUP($C142,'WB Population Data'!$C$6:$D$269,2,FALSE)</f>
        <v>32972000</v>
      </c>
      <c r="Z142" s="453">
        <f t="shared" si="18"/>
        <v>5.1394831478463257E-2</v>
      </c>
      <c r="AA142" s="622" t="str">
        <f>INDEX('HCW + Staff Summary'!$E$7:$E$270,MATCH($C142,'HCW + Staff Summary'!$C$7:$C$270,0))</f>
        <v>Upper middle income</v>
      </c>
      <c r="AB142" s="620">
        <f t="shared" si="20"/>
        <v>5.1394831478463257E-2</v>
      </c>
    </row>
    <row r="143" spans="2:28" x14ac:dyDescent="0.75">
      <c r="B143" s="610" t="s">
        <v>253</v>
      </c>
      <c r="C143" s="610" t="s">
        <v>115</v>
      </c>
      <c r="D143" s="611"/>
      <c r="E143" s="612">
        <v>2018</v>
      </c>
      <c r="F143" s="617">
        <v>49.350999999999999</v>
      </c>
      <c r="G143" s="618">
        <v>526331</v>
      </c>
      <c r="H143" s="618">
        <v>526331</v>
      </c>
      <c r="I143" s="618" t="s">
        <v>761</v>
      </c>
      <c r="J143" s="79"/>
      <c r="K143" s="618"/>
      <c r="L143" s="619"/>
      <c r="M143" s="619"/>
      <c r="N143" s="79"/>
      <c r="O143" s="618">
        <v>2017</v>
      </c>
      <c r="P143" s="618">
        <v>63141</v>
      </c>
      <c r="Q143" s="79"/>
      <c r="R143" s="620">
        <v>1.514978263092102</v>
      </c>
      <c r="S143" s="449">
        <f t="shared" si="21"/>
        <v>542399.40182423801</v>
      </c>
      <c r="T143" s="449">
        <f t="shared" si="22"/>
        <v>0</v>
      </c>
      <c r="U143" s="449">
        <f t="shared" si="19"/>
        <v>30215.740941773074</v>
      </c>
      <c r="V143" s="449">
        <f t="shared" si="23"/>
        <v>66054.41241682414</v>
      </c>
      <c r="W143" s="621">
        <f t="shared" si="24"/>
        <v>638669.5551828352</v>
      </c>
      <c r="Y143" s="452">
        <f>VLOOKUP($C143,'WB Population Data'!$C$6:$D$269,2,FALSE)</f>
        <v>109581000</v>
      </c>
      <c r="Z143" s="453">
        <f t="shared" si="18"/>
        <v>0</v>
      </c>
      <c r="AA143" s="622" t="str">
        <f>INDEX('HCW + Staff Summary'!$E$7:$E$270,MATCH($C143,'HCW + Staff Summary'!$C$7:$C$270,0))</f>
        <v>Lower middle income</v>
      </c>
      <c r="AB143" s="620">
        <f t="shared" si="20"/>
        <v>0.2757388684331506</v>
      </c>
    </row>
    <row r="144" spans="2:28" x14ac:dyDescent="0.75">
      <c r="B144" s="610" t="s">
        <v>502</v>
      </c>
      <c r="C144" s="610" t="s">
        <v>117</v>
      </c>
      <c r="D144" s="611"/>
      <c r="E144" s="612">
        <v>2018</v>
      </c>
      <c r="F144" s="617">
        <v>68.926000000000002</v>
      </c>
      <c r="G144" s="618">
        <v>261380</v>
      </c>
      <c r="H144" s="618">
        <v>233012</v>
      </c>
      <c r="I144" s="618">
        <v>28368</v>
      </c>
      <c r="J144" s="79"/>
      <c r="K144" s="618"/>
      <c r="L144" s="619"/>
      <c r="M144" s="619"/>
      <c r="N144" s="79"/>
      <c r="O144" s="618">
        <v>2017</v>
      </c>
      <c r="P144" s="618">
        <v>90284</v>
      </c>
      <c r="Q144" s="79"/>
      <c r="R144" s="620">
        <v>-3.2438322587556433E-2</v>
      </c>
      <c r="S144" s="449">
        <f t="shared" si="21"/>
        <v>232860.85415011045</v>
      </c>
      <c r="T144" s="449">
        <f t="shared" si="22"/>
        <v>0</v>
      </c>
      <c r="U144" s="449">
        <f t="shared" si="19"/>
        <v>20660.98071203944</v>
      </c>
      <c r="V144" s="449">
        <f t="shared" si="23"/>
        <v>90196.168651683591</v>
      </c>
      <c r="W144" s="621">
        <f t="shared" si="24"/>
        <v>343718.00351383351</v>
      </c>
      <c r="Y144" s="452">
        <f>VLOOKUP($C144,'WB Population Data'!$C$6:$D$269,2,FALSE)</f>
        <v>37806000</v>
      </c>
      <c r="Z144" s="453">
        <f t="shared" si="18"/>
        <v>0</v>
      </c>
      <c r="AA144" s="622" t="str">
        <f>INDEX('HCW + Staff Summary'!$E$7:$E$270,MATCH($C144,'HCW + Staff Summary'!$C$7:$C$270,0))</f>
        <v>High income</v>
      </c>
      <c r="AB144" s="620">
        <f t="shared" si="20"/>
        <v>0.54650004528486062</v>
      </c>
    </row>
    <row r="145" spans="2:28" x14ac:dyDescent="0.75">
      <c r="B145" s="610" t="s">
        <v>503</v>
      </c>
      <c r="C145" s="610" t="s">
        <v>118</v>
      </c>
      <c r="D145" s="611"/>
      <c r="E145" s="612">
        <v>2017</v>
      </c>
      <c r="F145" s="617">
        <v>69.745999999999995</v>
      </c>
      <c r="G145" s="618">
        <v>71758</v>
      </c>
      <c r="H145" s="618">
        <v>68976</v>
      </c>
      <c r="I145" s="618">
        <v>2782</v>
      </c>
      <c r="J145" s="79"/>
      <c r="K145" s="618"/>
      <c r="L145" s="619"/>
      <c r="M145" s="619"/>
      <c r="N145" s="79"/>
      <c r="O145" s="618">
        <v>2017</v>
      </c>
      <c r="P145" s="618">
        <v>52718</v>
      </c>
      <c r="Q145" s="79"/>
      <c r="R145" s="620">
        <v>-0.33856349737296204</v>
      </c>
      <c r="S145" s="449">
        <f t="shared" si="21"/>
        <v>68277.786566543364</v>
      </c>
      <c r="T145" s="449">
        <f t="shared" si="22"/>
        <v>0</v>
      </c>
      <c r="U145" s="449">
        <f t="shared" si="19"/>
        <v>5571.567961679154</v>
      </c>
      <c r="V145" s="449">
        <f t="shared" si="23"/>
        <v>52184.359084537129</v>
      </c>
      <c r="W145" s="621">
        <f t="shared" si="24"/>
        <v>126033.71361275966</v>
      </c>
      <c r="Y145" s="452">
        <f>VLOOKUP($C145,'WB Population Data'!$C$6:$D$269,2,FALSE)</f>
        <v>10195000</v>
      </c>
      <c r="Z145" s="453">
        <f t="shared" si="18"/>
        <v>0</v>
      </c>
      <c r="AA145" s="622" t="str">
        <f>INDEX('HCW + Staff Summary'!$E$7:$E$270,MATCH($C145,'HCW + Staff Summary'!$C$7:$C$270,0))</f>
        <v>High income</v>
      </c>
      <c r="AB145" s="620">
        <f t="shared" si="20"/>
        <v>0.54650004528486062</v>
      </c>
    </row>
    <row r="146" spans="2:28" x14ac:dyDescent="0.75">
      <c r="B146" s="610" t="s">
        <v>510</v>
      </c>
      <c r="C146" s="610" t="s">
        <v>120</v>
      </c>
      <c r="D146" s="611"/>
      <c r="E146" s="612">
        <v>2018</v>
      </c>
      <c r="F146" s="617">
        <v>72.628</v>
      </c>
      <c r="G146" s="618">
        <v>20203</v>
      </c>
      <c r="H146" s="618">
        <v>19895</v>
      </c>
      <c r="I146" s="618">
        <v>308</v>
      </c>
      <c r="J146" s="79"/>
      <c r="K146" s="618">
        <v>2006</v>
      </c>
      <c r="L146" s="619">
        <v>504</v>
      </c>
      <c r="M146" s="619"/>
      <c r="N146" s="79"/>
      <c r="O146" s="618">
        <v>2018</v>
      </c>
      <c r="P146" s="618">
        <v>6913</v>
      </c>
      <c r="Q146" s="79"/>
      <c r="R146" s="620">
        <v>3.4873645855603961</v>
      </c>
      <c r="S146" s="449">
        <f t="shared" si="21"/>
        <v>21306.818094126324</v>
      </c>
      <c r="T146" s="449">
        <f t="shared" si="22"/>
        <v>814.42879264148348</v>
      </c>
      <c r="U146" s="449">
        <f t="shared" si="19"/>
        <v>814.42879264148348</v>
      </c>
      <c r="V146" s="449">
        <f t="shared" si="23"/>
        <v>7403.5704189341677</v>
      </c>
      <c r="W146" s="621">
        <f t="shared" si="24"/>
        <v>30339.246098343458</v>
      </c>
      <c r="Y146" s="452">
        <f>VLOOKUP($C146,'WB Population Data'!$C$6:$D$269,2,FALSE)</f>
        <v>2881000</v>
      </c>
      <c r="Z146" s="453">
        <f t="shared" si="18"/>
        <v>0.28268961910499252</v>
      </c>
      <c r="AA146" s="622" t="str">
        <f>INDEX('HCW + Staff Summary'!$E$7:$E$270,MATCH($C146,'HCW + Staff Summary'!$C$7:$C$270,0))</f>
        <v>High income</v>
      </c>
      <c r="AB146" s="620">
        <f t="shared" si="20"/>
        <v>0.28268961910499252</v>
      </c>
    </row>
    <row r="147" spans="2:28" x14ac:dyDescent="0.75">
      <c r="B147" s="610" t="s">
        <v>1175</v>
      </c>
      <c r="C147" s="610" t="s">
        <v>74</v>
      </c>
      <c r="D147" s="611"/>
      <c r="E147" s="612">
        <v>2018</v>
      </c>
      <c r="F147" s="617">
        <v>73.009</v>
      </c>
      <c r="G147" s="618">
        <v>373601</v>
      </c>
      <c r="H147" s="618">
        <v>373601</v>
      </c>
      <c r="I147" s="618" t="s">
        <v>761</v>
      </c>
      <c r="J147" s="79"/>
      <c r="K147" s="618">
        <v>2004</v>
      </c>
      <c r="L147" s="619"/>
      <c r="M147" s="619">
        <v>35220</v>
      </c>
      <c r="N147" s="79"/>
      <c r="O147" s="618">
        <v>2017</v>
      </c>
      <c r="P147" s="618">
        <v>120630</v>
      </c>
      <c r="Q147" s="79"/>
      <c r="R147" s="620">
        <v>0.47280820720591776</v>
      </c>
      <c r="S147" s="449">
        <f t="shared" si="21"/>
        <v>377142.18414112751</v>
      </c>
      <c r="T147" s="449">
        <f t="shared" si="22"/>
        <v>37980.966013540346</v>
      </c>
      <c r="U147" s="449">
        <f t="shared" si="19"/>
        <v>37980.966013540346</v>
      </c>
      <c r="V147" s="449">
        <f t="shared" si="23"/>
        <v>122349.14833518768</v>
      </c>
      <c r="W147" s="621">
        <f t="shared" si="24"/>
        <v>575453.26450339588</v>
      </c>
      <c r="Y147" s="452">
        <f>VLOOKUP($C147,'WB Population Data'!$C$6:$D$269,2,FALSE)</f>
        <v>51922000</v>
      </c>
      <c r="Z147" s="453">
        <f t="shared" si="18"/>
        <v>0.73150044323293295</v>
      </c>
      <c r="AA147" s="622" t="str">
        <f>INDEX('HCW + Staff Summary'!$E$7:$E$270,MATCH($C147,'HCW + Staff Summary'!$C$7:$C$270,0))</f>
        <v>High income</v>
      </c>
      <c r="AB147" s="620">
        <f t="shared" si="20"/>
        <v>0.73150044323293295</v>
      </c>
    </row>
    <row r="148" spans="2:28" x14ac:dyDescent="0.75">
      <c r="B148" s="610" t="s">
        <v>1176</v>
      </c>
      <c r="C148" s="610" t="s">
        <v>87</v>
      </c>
      <c r="D148" s="611"/>
      <c r="E148" s="612">
        <v>2017</v>
      </c>
      <c r="F148" s="617">
        <v>49.234999999999999</v>
      </c>
      <c r="G148" s="618">
        <v>19988</v>
      </c>
      <c r="H148" s="618">
        <v>19311</v>
      </c>
      <c r="I148" s="618">
        <v>677</v>
      </c>
      <c r="J148" s="79"/>
      <c r="K148" s="618">
        <v>2015</v>
      </c>
      <c r="L148" s="619"/>
      <c r="M148" s="619">
        <v>17776</v>
      </c>
      <c r="N148" s="79"/>
      <c r="O148" s="618">
        <v>2017</v>
      </c>
      <c r="P148" s="618">
        <v>13018</v>
      </c>
      <c r="Q148" s="79"/>
      <c r="R148" s="620">
        <v>-7.1408850840559063E-2</v>
      </c>
      <c r="S148" s="449">
        <f t="shared" si="21"/>
        <v>19269.660244745104</v>
      </c>
      <c r="T148" s="449">
        <f t="shared" si="22"/>
        <v>17712.622392473757</v>
      </c>
      <c r="U148" s="449">
        <f t="shared" si="19"/>
        <v>17712.622392473757</v>
      </c>
      <c r="V148" s="449">
        <f t="shared" si="23"/>
        <v>12990.131897161813</v>
      </c>
      <c r="W148" s="621">
        <f t="shared" si="24"/>
        <v>67685.036926854431</v>
      </c>
      <c r="Y148" s="452">
        <f>VLOOKUP($C148,'WB Population Data'!$C$6:$D$269,2,FALSE)</f>
        <v>3525000</v>
      </c>
      <c r="Z148" s="453">
        <f t="shared" si="18"/>
        <v>5.024857416304612</v>
      </c>
      <c r="AA148" s="622" t="str">
        <f>INDEX('HCW + Staff Summary'!$E$7:$E$270,MATCH($C148,'HCW + Staff Summary'!$C$7:$C$270,0))</f>
        <v>Lower middle income</v>
      </c>
      <c r="AB148" s="620">
        <f t="shared" si="20"/>
        <v>5.024857416304612</v>
      </c>
    </row>
    <row r="149" spans="2:28" x14ac:dyDescent="0.75">
      <c r="B149" s="610" t="s">
        <v>511</v>
      </c>
      <c r="C149" s="610" t="s">
        <v>121</v>
      </c>
      <c r="D149" s="611"/>
      <c r="E149" s="612">
        <v>2017</v>
      </c>
      <c r="F149" s="617">
        <v>73.891000000000005</v>
      </c>
      <c r="G149" s="618">
        <v>145226</v>
      </c>
      <c r="H149" s="618">
        <v>141821</v>
      </c>
      <c r="I149" s="618">
        <v>3405</v>
      </c>
      <c r="J149" s="79"/>
      <c r="K149" s="618">
        <v>2011</v>
      </c>
      <c r="L149" s="619"/>
      <c r="M149" s="619">
        <v>460</v>
      </c>
      <c r="N149" s="79"/>
      <c r="O149" s="618">
        <v>2017</v>
      </c>
      <c r="P149" s="618">
        <v>58583</v>
      </c>
      <c r="Q149" s="79"/>
      <c r="R149" s="620">
        <v>-0.5167926971483483</v>
      </c>
      <c r="S149" s="449">
        <f t="shared" si="21"/>
        <v>139633.581752439</v>
      </c>
      <c r="T149" s="449">
        <f t="shared" si="22"/>
        <v>439.0417659772753</v>
      </c>
      <c r="U149" s="449">
        <f t="shared" si="19"/>
        <v>439.0417659772753</v>
      </c>
      <c r="V149" s="449">
        <f t="shared" si="23"/>
        <v>57679.427727932627</v>
      </c>
      <c r="W149" s="621">
        <f t="shared" si="24"/>
        <v>198191.09301232619</v>
      </c>
      <c r="Y149" s="452">
        <f>VLOOKUP($C149,'WB Population Data'!$C$6:$D$269,2,FALSE)</f>
        <v>19247000</v>
      </c>
      <c r="Z149" s="453">
        <f t="shared" si="18"/>
        <v>2.2810919414832199E-2</v>
      </c>
      <c r="AA149" s="622" t="str">
        <f>INDEX('HCW + Staff Summary'!$E$7:$E$270,MATCH($C149,'HCW + Staff Summary'!$C$7:$C$270,0))</f>
        <v>Upper middle income</v>
      </c>
      <c r="AB149" s="620">
        <f t="shared" si="20"/>
        <v>2.2810919414832199E-2</v>
      </c>
    </row>
    <row r="150" spans="2:28" x14ac:dyDescent="0.75">
      <c r="B150" s="610" t="s">
        <v>512</v>
      </c>
      <c r="C150" s="610" t="s">
        <v>122</v>
      </c>
      <c r="D150" s="611"/>
      <c r="E150" s="612">
        <v>2017</v>
      </c>
      <c r="F150" s="617">
        <v>85.429000000000002</v>
      </c>
      <c r="G150" s="618">
        <v>1243250</v>
      </c>
      <c r="H150" s="618">
        <v>1243250</v>
      </c>
      <c r="I150" s="618" t="s">
        <v>761</v>
      </c>
      <c r="J150" s="79"/>
      <c r="K150" s="618"/>
      <c r="L150" s="619"/>
      <c r="M150" s="619"/>
      <c r="N150" s="79"/>
      <c r="O150" s="618">
        <v>2015</v>
      </c>
      <c r="P150" s="618">
        <v>543604</v>
      </c>
      <c r="Q150" s="79"/>
      <c r="R150" s="620">
        <v>0.13488797162202093</v>
      </c>
      <c r="S150" s="449">
        <f t="shared" si="21"/>
        <v>1248287.7733652589</v>
      </c>
      <c r="T150" s="449">
        <f t="shared" si="22"/>
        <v>0</v>
      </c>
      <c r="U150" s="449">
        <f t="shared" si="19"/>
        <v>31700.607028737646</v>
      </c>
      <c r="V150" s="449">
        <f t="shared" si="23"/>
        <v>547280.18614368164</v>
      </c>
      <c r="W150" s="621">
        <f t="shared" si="24"/>
        <v>1827268.5665376782</v>
      </c>
      <c r="Y150" s="452">
        <f>VLOOKUP($C150,'WB Population Data'!$C$6:$D$269,2,FALSE)</f>
        <v>144222000</v>
      </c>
      <c r="Z150" s="453">
        <f t="shared" si="18"/>
        <v>0</v>
      </c>
      <c r="AA150" s="622" t="str">
        <f>INDEX('HCW + Staff Summary'!$E$7:$E$270,MATCH($C150,'HCW + Staff Summary'!$C$7:$C$270,0))</f>
        <v>Upper middle income</v>
      </c>
      <c r="AB150" s="620">
        <f t="shared" si="20"/>
        <v>0.21980423949700909</v>
      </c>
    </row>
    <row r="151" spans="2:28" x14ac:dyDescent="0.75">
      <c r="B151" s="610" t="s">
        <v>210</v>
      </c>
      <c r="C151" s="610" t="s">
        <v>123</v>
      </c>
      <c r="D151" s="611"/>
      <c r="E151" s="612">
        <v>2018</v>
      </c>
      <c r="F151" s="617">
        <v>12.044</v>
      </c>
      <c r="G151" s="618">
        <v>14816</v>
      </c>
      <c r="H151" s="618">
        <v>13345</v>
      </c>
      <c r="I151" s="618">
        <v>1471</v>
      </c>
      <c r="J151" s="79"/>
      <c r="K151" s="618">
        <v>2017</v>
      </c>
      <c r="L151" s="619"/>
      <c r="M151" s="619">
        <v>1990</v>
      </c>
      <c r="N151" s="79"/>
      <c r="O151" s="618">
        <v>2018</v>
      </c>
      <c r="P151" s="618">
        <v>1648</v>
      </c>
      <c r="Q151" s="79"/>
      <c r="R151" s="620">
        <v>2.5828506512040521</v>
      </c>
      <c r="S151" s="449">
        <f t="shared" si="21"/>
        <v>14043.265445091996</v>
      </c>
      <c r="T151" s="449">
        <f t="shared" si="22"/>
        <v>2148.2131297115643</v>
      </c>
      <c r="U151" s="449">
        <f t="shared" si="19"/>
        <v>2148.2131297115643</v>
      </c>
      <c r="V151" s="449">
        <f t="shared" si="23"/>
        <v>1734.2301576254483</v>
      </c>
      <c r="W151" s="621">
        <f t="shared" si="24"/>
        <v>20073.921862140571</v>
      </c>
      <c r="Y151" s="452">
        <f>VLOOKUP($C151,'WB Population Data'!$C$6:$D$269,2,FALSE)</f>
        <v>12952000</v>
      </c>
      <c r="Z151" s="453">
        <f t="shared" si="18"/>
        <v>0.16585956838415414</v>
      </c>
      <c r="AA151" s="622" t="str">
        <f>INDEX('HCW + Staff Summary'!$E$7:$E$270,MATCH($C151,'HCW + Staff Summary'!$C$7:$C$270,0))</f>
        <v>Low income</v>
      </c>
      <c r="AB151" s="620">
        <f t="shared" si="20"/>
        <v>0.16585956838415414</v>
      </c>
    </row>
    <row r="152" spans="2:28" x14ac:dyDescent="0.75">
      <c r="B152" s="610" t="s">
        <v>1177</v>
      </c>
      <c r="C152" s="610" t="s">
        <v>532</v>
      </c>
      <c r="D152" s="611"/>
      <c r="E152" s="612">
        <v>2015</v>
      </c>
      <c r="F152" s="617">
        <v>42.188000000000002</v>
      </c>
      <c r="G152" s="618">
        <v>216</v>
      </c>
      <c r="H152" s="618">
        <v>216</v>
      </c>
      <c r="I152" s="618" t="s">
        <v>761</v>
      </c>
      <c r="J152" s="79"/>
      <c r="K152" s="618"/>
      <c r="L152" s="619"/>
      <c r="M152" s="619"/>
      <c r="N152" s="79"/>
      <c r="O152" s="618">
        <v>2015</v>
      </c>
      <c r="P152" s="618">
        <v>137</v>
      </c>
      <c r="Q152" s="79"/>
      <c r="R152" s="620">
        <v>0.82135077339938234</v>
      </c>
      <c r="S152" s="449">
        <f t="shared" si="21"/>
        <v>225.01750741814186</v>
      </c>
      <c r="T152" s="449">
        <f t="shared" si="22"/>
        <v>0</v>
      </c>
      <c r="U152" s="449">
        <f t="shared" si="19"/>
        <v>28.964502400097611</v>
      </c>
      <c r="V152" s="449">
        <f t="shared" si="23"/>
        <v>142.71943757539555</v>
      </c>
      <c r="W152" s="621">
        <f t="shared" si="24"/>
        <v>396.70144739363502</v>
      </c>
      <c r="Y152" s="452">
        <f>VLOOKUP($C152,'WB Population Data'!$C$6:$D$269,2,FALSE)</f>
        <v>53000</v>
      </c>
      <c r="Z152" s="453">
        <f t="shared" si="18"/>
        <v>0</v>
      </c>
      <c r="AA152" s="622" t="str">
        <f>INDEX('HCW + Staff Summary'!$E$7:$E$270,MATCH($C152,'HCW + Staff Summary'!$C$7:$C$270,0))</f>
        <v>High income</v>
      </c>
      <c r="AB152" s="620">
        <f t="shared" si="20"/>
        <v>0.54650004528486062</v>
      </c>
    </row>
    <row r="153" spans="2:28" x14ac:dyDescent="0.75">
      <c r="B153" s="610" t="s">
        <v>1131</v>
      </c>
      <c r="C153" s="610" t="s">
        <v>80</v>
      </c>
      <c r="D153" s="611"/>
      <c r="E153" s="612">
        <v>2017</v>
      </c>
      <c r="F153" s="617">
        <v>31.547000000000001</v>
      </c>
      <c r="G153" s="618">
        <v>571</v>
      </c>
      <c r="H153" s="618">
        <v>476</v>
      </c>
      <c r="I153" s="618">
        <v>95</v>
      </c>
      <c r="J153" s="79"/>
      <c r="K153" s="618"/>
      <c r="L153" s="619"/>
      <c r="M153" s="619"/>
      <c r="N153" s="79"/>
      <c r="O153" s="618">
        <v>2017</v>
      </c>
      <c r="P153" s="618">
        <v>116</v>
      </c>
      <c r="Q153" s="79"/>
      <c r="R153" s="620">
        <v>0.48705530476129055</v>
      </c>
      <c r="S153" s="449">
        <f t="shared" si="21"/>
        <v>482.98908017516533</v>
      </c>
      <c r="T153" s="449">
        <f t="shared" si="22"/>
        <v>0</v>
      </c>
      <c r="U153" s="449">
        <f t="shared" si="19"/>
        <v>40.443980067449672</v>
      </c>
      <c r="V153" s="449">
        <f t="shared" si="23"/>
        <v>117.70322121915792</v>
      </c>
      <c r="W153" s="621">
        <f t="shared" si="24"/>
        <v>641.13628146177302</v>
      </c>
      <c r="Y153" s="452">
        <f>VLOOKUP($C153,'WB Population Data'!$C$6:$D$269,2,FALSE)</f>
        <v>184000</v>
      </c>
      <c r="Z153" s="453">
        <f t="shared" si="18"/>
        <v>0</v>
      </c>
      <c r="AA153" s="622" t="str">
        <f>INDEX('HCW + Staff Summary'!$E$7:$E$270,MATCH($C153,'HCW + Staff Summary'!$C$7:$C$270,0))</f>
        <v>Upper middle income</v>
      </c>
      <c r="AB153" s="620">
        <f t="shared" si="20"/>
        <v>0.21980423949700909</v>
      </c>
    </row>
    <row r="154" spans="2:28" ht="15.75" customHeight="1" x14ac:dyDescent="0.75">
      <c r="B154" s="610" t="s">
        <v>1178</v>
      </c>
      <c r="C154" s="610" t="s">
        <v>537</v>
      </c>
      <c r="D154" s="611"/>
      <c r="E154" s="612">
        <v>2018</v>
      </c>
      <c r="F154" s="617">
        <v>70.144999999999996</v>
      </c>
      <c r="G154" s="618">
        <v>773</v>
      </c>
      <c r="H154" s="618">
        <v>773</v>
      </c>
      <c r="I154" s="618" t="s">
        <v>761</v>
      </c>
      <c r="J154" s="79"/>
      <c r="K154" s="618">
        <v>2004</v>
      </c>
      <c r="L154" s="619"/>
      <c r="M154" s="619">
        <v>13</v>
      </c>
      <c r="N154" s="79"/>
      <c r="O154" s="618">
        <v>2010</v>
      </c>
      <c r="P154" s="618">
        <v>72</v>
      </c>
      <c r="Q154" s="79"/>
      <c r="R154" s="620">
        <v>0.29027342901891223</v>
      </c>
      <c r="S154" s="449">
        <f t="shared" si="21"/>
        <v>777.49414040732825</v>
      </c>
      <c r="T154" s="449">
        <f t="shared" si="22"/>
        <v>13.617092830004431</v>
      </c>
      <c r="U154" s="449">
        <f t="shared" si="19"/>
        <v>13.617092830004431</v>
      </c>
      <c r="V154" s="449">
        <f t="shared" si="23"/>
        <v>74.117480890699127</v>
      </c>
      <c r="W154" s="621">
        <f t="shared" si="24"/>
        <v>878.84580695803629</v>
      </c>
      <c r="Y154" s="452">
        <f>VLOOKUP($C154,'WB Population Data'!$C$6:$D$269,2,FALSE)</f>
        <v>111000</v>
      </c>
      <c r="Z154" s="453">
        <f t="shared" si="18"/>
        <v>0.12267651198202191</v>
      </c>
      <c r="AA154" s="622" t="str">
        <f>INDEX('HCW + Staff Summary'!$E$7:$E$270,MATCH($C154,'HCW + Staff Summary'!$C$7:$C$270,0))</f>
        <v>Upper middle income</v>
      </c>
      <c r="AB154" s="620">
        <f t="shared" si="20"/>
        <v>0.12267651198202191</v>
      </c>
    </row>
    <row r="155" spans="2:28" x14ac:dyDescent="0.75">
      <c r="B155" s="610" t="s">
        <v>254</v>
      </c>
      <c r="C155" s="610" t="s">
        <v>152</v>
      </c>
      <c r="D155" s="611"/>
      <c r="E155" s="612">
        <v>2018</v>
      </c>
      <c r="F155" s="617">
        <v>24.885000000000002</v>
      </c>
      <c r="G155" s="618">
        <v>488</v>
      </c>
      <c r="H155" s="618">
        <v>488</v>
      </c>
      <c r="I155" s="618" t="s">
        <v>761</v>
      </c>
      <c r="J155" s="79"/>
      <c r="K155" s="618">
        <v>2014</v>
      </c>
      <c r="L155" s="619">
        <v>37</v>
      </c>
      <c r="M155" s="619"/>
      <c r="N155" s="79"/>
      <c r="O155" s="618">
        <v>2016</v>
      </c>
      <c r="P155" s="618">
        <v>67</v>
      </c>
      <c r="Q155" s="79"/>
      <c r="R155" s="620">
        <v>0.55974101571843859</v>
      </c>
      <c r="S155" s="449">
        <f t="shared" si="21"/>
        <v>493.47836184164015</v>
      </c>
      <c r="T155" s="449">
        <f t="shared" si="22"/>
        <v>38.260144081801585</v>
      </c>
      <c r="U155" s="449">
        <f t="shared" si="19"/>
        <v>38.260144081801585</v>
      </c>
      <c r="V155" s="449">
        <f t="shared" si="23"/>
        <v>68.5127480499021</v>
      </c>
      <c r="W155" s="621">
        <f t="shared" si="24"/>
        <v>638.51139805514549</v>
      </c>
      <c r="Y155" s="452">
        <f>VLOOKUP($C155,'WB Population Data'!$C$6:$D$269,2,FALSE)</f>
        <v>198000</v>
      </c>
      <c r="Z155" s="453">
        <f t="shared" si="18"/>
        <v>0.19323305091818982</v>
      </c>
      <c r="AA155" s="622" t="str">
        <f>INDEX('HCW + Staff Summary'!$E$7:$E$270,MATCH($C155,'HCW + Staff Summary'!$C$7:$C$270,0))</f>
        <v>Upper middle income</v>
      </c>
      <c r="AB155" s="620">
        <f t="shared" si="20"/>
        <v>0.19323305091818982</v>
      </c>
    </row>
    <row r="156" spans="2:28" x14ac:dyDescent="0.75">
      <c r="B156" s="610" t="s">
        <v>513</v>
      </c>
      <c r="C156" s="610" t="s">
        <v>130</v>
      </c>
      <c r="D156" s="611"/>
      <c r="E156" s="612">
        <v>2014</v>
      </c>
      <c r="F156" s="617">
        <v>82.066999999999993</v>
      </c>
      <c r="G156" s="618">
        <v>270</v>
      </c>
      <c r="H156" s="618">
        <v>253</v>
      </c>
      <c r="I156" s="618">
        <v>17</v>
      </c>
      <c r="J156" s="79"/>
      <c r="K156" s="618"/>
      <c r="L156" s="619"/>
      <c r="M156" s="619"/>
      <c r="N156" s="79"/>
      <c r="O156" s="618">
        <v>2014</v>
      </c>
      <c r="P156" s="618">
        <v>201</v>
      </c>
      <c r="Q156" s="79"/>
      <c r="R156" s="620">
        <v>0.74294773395915537</v>
      </c>
      <c r="S156" s="449">
        <f t="shared" si="21"/>
        <v>264.48950635441685</v>
      </c>
      <c r="T156" s="449">
        <f t="shared" si="22"/>
        <v>0</v>
      </c>
      <c r="U156" s="449">
        <f t="shared" si="19"/>
        <v>18.581001539685261</v>
      </c>
      <c r="V156" s="449">
        <f t="shared" si="23"/>
        <v>210.12802678750114</v>
      </c>
      <c r="W156" s="621">
        <f t="shared" si="24"/>
        <v>493.19853468160323</v>
      </c>
      <c r="Y156" s="452">
        <f>VLOOKUP($C156,'WB Population Data'!$C$6:$D$269,2,FALSE)</f>
        <v>34000</v>
      </c>
      <c r="Z156" s="453">
        <f t="shared" si="18"/>
        <v>0</v>
      </c>
      <c r="AA156" s="622" t="str">
        <f>INDEX('HCW + Staff Summary'!$E$7:$E$270,MATCH($C156,'HCW + Staff Summary'!$C$7:$C$270,0))</f>
        <v>High income</v>
      </c>
      <c r="AB156" s="620">
        <f t="shared" si="20"/>
        <v>0.54650004528486062</v>
      </c>
    </row>
    <row r="157" spans="2:28" x14ac:dyDescent="0.75">
      <c r="B157" s="610" t="s">
        <v>211</v>
      </c>
      <c r="C157" s="610" t="s">
        <v>175</v>
      </c>
      <c r="D157" s="611"/>
      <c r="E157" s="612">
        <v>2018</v>
      </c>
      <c r="F157" s="617">
        <v>19.242000000000001</v>
      </c>
      <c r="G157" s="618">
        <v>406</v>
      </c>
      <c r="H157" s="618">
        <v>406</v>
      </c>
      <c r="I157" s="618" t="s">
        <v>761</v>
      </c>
      <c r="J157" s="79"/>
      <c r="K157" s="618">
        <v>2004</v>
      </c>
      <c r="L157" s="619"/>
      <c r="M157" s="619">
        <v>44</v>
      </c>
      <c r="N157" s="79"/>
      <c r="O157" s="618">
        <v>2017</v>
      </c>
      <c r="P157" s="618">
        <v>11</v>
      </c>
      <c r="Q157" s="79"/>
      <c r="R157" s="620">
        <v>1.8808486339232438</v>
      </c>
      <c r="S157" s="449">
        <f t="shared" si="21"/>
        <v>421.41611712575616</v>
      </c>
      <c r="T157" s="449">
        <f t="shared" si="22"/>
        <v>59.283459337190259</v>
      </c>
      <c r="U157" s="449">
        <f t="shared" si="19"/>
        <v>59.283459337190259</v>
      </c>
      <c r="V157" s="449">
        <f t="shared" si="23"/>
        <v>11.632427291838253</v>
      </c>
      <c r="W157" s="621">
        <f t="shared" si="24"/>
        <v>551.6154630919749</v>
      </c>
      <c r="Y157" s="452">
        <f>VLOOKUP($C157,'WB Population Data'!$C$6:$D$269,2,FALSE)</f>
        <v>219000</v>
      </c>
      <c r="Z157" s="453">
        <f t="shared" si="18"/>
        <v>0.2707007275670788</v>
      </c>
      <c r="AA157" s="622" t="str">
        <f>INDEX('HCW + Staff Summary'!$E$7:$E$270,MATCH($C157,'HCW + Staff Summary'!$C$7:$C$270,0))</f>
        <v>Lower middle income</v>
      </c>
      <c r="AB157" s="620">
        <f t="shared" si="20"/>
        <v>0.2707007275670788</v>
      </c>
    </row>
    <row r="158" spans="2:28" x14ac:dyDescent="0.75">
      <c r="B158" s="610" t="s">
        <v>514</v>
      </c>
      <c r="C158" s="610" t="s">
        <v>124</v>
      </c>
      <c r="D158" s="611"/>
      <c r="E158" s="612">
        <v>2018</v>
      </c>
      <c r="F158" s="617">
        <v>54.762999999999998</v>
      </c>
      <c r="G158" s="618">
        <v>184565</v>
      </c>
      <c r="H158" s="618">
        <v>180571</v>
      </c>
      <c r="I158" s="618">
        <v>3994</v>
      </c>
      <c r="J158" s="79"/>
      <c r="K158" s="618">
        <v>2018</v>
      </c>
      <c r="L158" s="619">
        <v>12052</v>
      </c>
      <c r="M158" s="619">
        <v>10709</v>
      </c>
      <c r="N158" s="79"/>
      <c r="O158" s="618">
        <v>2018</v>
      </c>
      <c r="P158" s="618">
        <v>88023</v>
      </c>
      <c r="Q158" s="79"/>
      <c r="R158" s="620">
        <v>2.2909962701771081</v>
      </c>
      <c r="S158" s="449">
        <f t="shared" si="21"/>
        <v>188939.52539913161</v>
      </c>
      <c r="T158" s="449">
        <f t="shared" si="22"/>
        <v>23815.853806035491</v>
      </c>
      <c r="U158" s="449">
        <f t="shared" si="19"/>
        <v>23815.853806035491</v>
      </c>
      <c r="V158" s="449">
        <f t="shared" si="23"/>
        <v>92102.40760813067</v>
      </c>
      <c r="W158" s="621">
        <f t="shared" si="24"/>
        <v>328673.64061933325</v>
      </c>
      <c r="Y158" s="452">
        <f>VLOOKUP($C158,'WB Population Data'!$C$6:$D$269,2,FALSE)</f>
        <v>34814000</v>
      </c>
      <c r="Z158" s="453">
        <f t="shared" si="18"/>
        <v>0.6840884071360801</v>
      </c>
      <c r="AA158" s="622" t="str">
        <f>INDEX('HCW + Staff Summary'!$E$7:$E$270,MATCH($C158,'HCW + Staff Summary'!$C$7:$C$270,0))</f>
        <v>High income</v>
      </c>
      <c r="AB158" s="620">
        <f t="shared" si="20"/>
        <v>0.6840884071360801</v>
      </c>
    </row>
    <row r="159" spans="2:28" x14ac:dyDescent="0.75">
      <c r="B159" s="610" t="s">
        <v>212</v>
      </c>
      <c r="C159" s="610" t="s">
        <v>126</v>
      </c>
      <c r="D159" s="611"/>
      <c r="E159" s="612">
        <v>2017</v>
      </c>
      <c r="F159" s="617">
        <v>3.1269999999999998</v>
      </c>
      <c r="G159" s="618">
        <v>4822</v>
      </c>
      <c r="H159" s="618">
        <v>2820</v>
      </c>
      <c r="I159" s="618">
        <v>2002</v>
      </c>
      <c r="J159" s="79"/>
      <c r="K159" s="618">
        <v>2017</v>
      </c>
      <c r="L159" s="619">
        <v>37</v>
      </c>
      <c r="M159" s="619"/>
      <c r="N159" s="79"/>
      <c r="O159" s="618">
        <v>2017</v>
      </c>
      <c r="P159" s="618">
        <v>1066</v>
      </c>
      <c r="Q159" s="79"/>
      <c r="R159" s="620">
        <v>2.80101348715427</v>
      </c>
      <c r="S159" s="449">
        <f t="shared" si="21"/>
        <v>3063.6651552642566</v>
      </c>
      <c r="T159" s="449">
        <f t="shared" si="22"/>
        <v>40.197025086800529</v>
      </c>
      <c r="U159" s="449">
        <f t="shared" si="19"/>
        <v>40.197025086800529</v>
      </c>
      <c r="V159" s="449">
        <f t="shared" si="23"/>
        <v>1158.1088849332259</v>
      </c>
      <c r="W159" s="621">
        <f t="shared" si="24"/>
        <v>4302.168090371084</v>
      </c>
      <c r="Y159" s="452">
        <f>VLOOKUP($C159,'WB Population Data'!$C$6:$D$269,2,FALSE)</f>
        <v>16744000</v>
      </c>
      <c r="Z159" s="453">
        <f t="shared" si="18"/>
        <v>2.4006823391543555E-3</v>
      </c>
      <c r="AA159" s="622" t="str">
        <f>INDEX('HCW + Staff Summary'!$E$7:$E$270,MATCH($C159,'HCW + Staff Summary'!$C$7:$C$270,0))</f>
        <v>Lower middle income</v>
      </c>
      <c r="AB159" s="620">
        <f t="shared" si="20"/>
        <v>2.4006823391543555E-3</v>
      </c>
    </row>
    <row r="160" spans="2:28" x14ac:dyDescent="0.75">
      <c r="B160" s="610" t="s">
        <v>515</v>
      </c>
      <c r="C160" s="610" t="s">
        <v>131</v>
      </c>
      <c r="D160" s="611"/>
      <c r="E160" s="612">
        <v>2016</v>
      </c>
      <c r="F160" s="617">
        <v>60.854999999999997</v>
      </c>
      <c r="G160" s="618">
        <v>53881</v>
      </c>
      <c r="H160" s="618">
        <v>53881</v>
      </c>
      <c r="I160" s="618" t="s">
        <v>761</v>
      </c>
      <c r="J160" s="79"/>
      <c r="K160" s="618">
        <v>2016</v>
      </c>
      <c r="L160" s="619"/>
      <c r="M160" s="619">
        <v>5652</v>
      </c>
      <c r="N160" s="79"/>
      <c r="O160" s="618">
        <v>2016</v>
      </c>
      <c r="P160" s="618">
        <v>27563</v>
      </c>
      <c r="Q160" s="79"/>
      <c r="R160" s="620">
        <v>-0.51478939884375263</v>
      </c>
      <c r="S160" s="449">
        <f t="shared" si="21"/>
        <v>52780.043273040224</v>
      </c>
      <c r="T160" s="449">
        <f t="shared" si="22"/>
        <v>5536.5120279731882</v>
      </c>
      <c r="U160" s="449">
        <f t="shared" si="19"/>
        <v>5536.5120279731882</v>
      </c>
      <c r="V160" s="449">
        <f t="shared" si="23"/>
        <v>26999.802021766627</v>
      </c>
      <c r="W160" s="621">
        <f t="shared" si="24"/>
        <v>90852.86935075323</v>
      </c>
      <c r="Y160" s="452">
        <f>VLOOKUP($C160,'WB Population Data'!$C$6:$D$269,2,FALSE)</f>
        <v>6929000</v>
      </c>
      <c r="Z160" s="453">
        <f t="shared" si="18"/>
        <v>0.79903478539084838</v>
      </c>
      <c r="AA160" s="622" t="str">
        <f>INDEX('HCW + Staff Summary'!$E$7:$E$270,MATCH($C160,'HCW + Staff Summary'!$C$7:$C$270,0))</f>
        <v>Upper middle income</v>
      </c>
      <c r="AB160" s="620">
        <f t="shared" si="20"/>
        <v>0.79903478539084838</v>
      </c>
    </row>
    <row r="161" spans="2:28" x14ac:dyDescent="0.75">
      <c r="B161" s="610" t="s">
        <v>213</v>
      </c>
      <c r="C161" s="610" t="s">
        <v>135</v>
      </c>
      <c r="D161" s="611"/>
      <c r="E161" s="612">
        <v>2016</v>
      </c>
      <c r="F161" s="617">
        <v>80.772999999999996</v>
      </c>
      <c r="G161" s="618">
        <v>773</v>
      </c>
      <c r="H161" s="618">
        <v>684</v>
      </c>
      <c r="I161" s="618">
        <v>89</v>
      </c>
      <c r="J161" s="79"/>
      <c r="K161" s="618">
        <v>2004</v>
      </c>
      <c r="L161" s="619"/>
      <c r="M161" s="619">
        <v>46</v>
      </c>
      <c r="N161" s="79"/>
      <c r="O161" s="618">
        <v>2016</v>
      </c>
      <c r="P161" s="618">
        <v>203</v>
      </c>
      <c r="Q161" s="79"/>
      <c r="R161" s="620">
        <v>1.460230243581421</v>
      </c>
      <c r="S161" s="449">
        <f t="shared" si="21"/>
        <v>724.83553397444109</v>
      </c>
      <c r="T161" s="449">
        <f t="shared" si="22"/>
        <v>58.008458940777615</v>
      </c>
      <c r="U161" s="449">
        <f t="shared" si="19"/>
        <v>58.008458940777615</v>
      </c>
      <c r="V161" s="449">
        <f t="shared" si="23"/>
        <v>215.11931783159582</v>
      </c>
      <c r="W161" s="621">
        <f t="shared" si="24"/>
        <v>1055.9717696875921</v>
      </c>
      <c r="Y161" s="452">
        <f>VLOOKUP($C161,'WB Population Data'!$C$6:$D$269,2,FALSE)</f>
        <v>98000</v>
      </c>
      <c r="Z161" s="453">
        <f t="shared" si="18"/>
        <v>0.59192305041609816</v>
      </c>
      <c r="AA161" s="622" t="str">
        <f>INDEX('HCW + Staff Summary'!$E$7:$E$270,MATCH($C161,'HCW + Staff Summary'!$C$7:$C$270,0))</f>
        <v>High income</v>
      </c>
      <c r="AB161" s="620">
        <f t="shared" si="20"/>
        <v>0.59192305041609816</v>
      </c>
    </row>
    <row r="162" spans="2:28" x14ac:dyDescent="0.75">
      <c r="B162" s="610" t="s">
        <v>214</v>
      </c>
      <c r="C162" s="610" t="s">
        <v>129</v>
      </c>
      <c r="D162" s="611"/>
      <c r="E162" s="612">
        <v>2016</v>
      </c>
      <c r="F162" s="617">
        <v>2.2389999999999999</v>
      </c>
      <c r="G162" s="618">
        <v>1641</v>
      </c>
      <c r="H162" s="618">
        <v>1328</v>
      </c>
      <c r="I162" s="618">
        <v>313</v>
      </c>
      <c r="J162" s="79"/>
      <c r="K162" s="618">
        <v>2011</v>
      </c>
      <c r="L162" s="619">
        <v>183</v>
      </c>
      <c r="M162" s="619">
        <v>78</v>
      </c>
      <c r="N162" s="79"/>
      <c r="O162" s="618">
        <v>2011</v>
      </c>
      <c r="P162" s="618">
        <v>165</v>
      </c>
      <c r="Q162" s="79"/>
      <c r="R162" s="620">
        <v>2.168766598525516</v>
      </c>
      <c r="S162" s="449">
        <f t="shared" si="21"/>
        <v>1447.0071501792679</v>
      </c>
      <c r="T162" s="449">
        <f t="shared" si="22"/>
        <v>316.59486171742344</v>
      </c>
      <c r="U162" s="449">
        <f t="shared" si="19"/>
        <v>316.59486171742344</v>
      </c>
      <c r="V162" s="449">
        <f t="shared" si="23"/>
        <v>200.14617694779642</v>
      </c>
      <c r="W162" s="621">
        <f t="shared" si="24"/>
        <v>2280.3430505619112</v>
      </c>
      <c r="Y162" s="452">
        <f>VLOOKUP($C162,'WB Population Data'!$C$6:$D$269,2,FALSE)</f>
        <v>7977000</v>
      </c>
      <c r="Z162" s="453">
        <f t="shared" si="18"/>
        <v>3.9688462043051702E-2</v>
      </c>
      <c r="AA162" s="622" t="str">
        <f>INDEX('HCW + Staff Summary'!$E$7:$E$270,MATCH($C162,'HCW + Staff Summary'!$C$7:$C$270,0))</f>
        <v>Low income</v>
      </c>
      <c r="AB162" s="620">
        <f t="shared" si="20"/>
        <v>3.9688462043051702E-2</v>
      </c>
    </row>
    <row r="163" spans="2:28" x14ac:dyDescent="0.75">
      <c r="B163" s="610" t="s">
        <v>516</v>
      </c>
      <c r="C163" s="610" t="s">
        <v>127</v>
      </c>
      <c r="D163" s="611"/>
      <c r="E163" s="612">
        <v>2017</v>
      </c>
      <c r="F163" s="617">
        <v>62.432000000000002</v>
      </c>
      <c r="G163" s="618">
        <v>35636</v>
      </c>
      <c r="H163" s="618">
        <v>35636</v>
      </c>
      <c r="I163" s="618" t="s">
        <v>761</v>
      </c>
      <c r="J163" s="79"/>
      <c r="K163" s="618"/>
      <c r="L163" s="619"/>
      <c r="M163" s="619"/>
      <c r="N163" s="79"/>
      <c r="O163" s="618">
        <v>2016</v>
      </c>
      <c r="P163" s="618">
        <v>12967</v>
      </c>
      <c r="Q163" s="79"/>
      <c r="R163" s="620">
        <v>0.8681105967166094</v>
      </c>
      <c r="S163" s="449">
        <f t="shared" si="21"/>
        <v>36572.159748614227</v>
      </c>
      <c r="T163" s="449">
        <f t="shared" si="22"/>
        <v>0</v>
      </c>
      <c r="U163" s="449">
        <f t="shared" si="19"/>
        <v>3154.3982613842159</v>
      </c>
      <c r="V163" s="449">
        <f t="shared" si="23"/>
        <v>13423.168894404738</v>
      </c>
      <c r="W163" s="621">
        <f t="shared" si="24"/>
        <v>53149.726904403185</v>
      </c>
      <c r="Y163" s="452">
        <f>VLOOKUP($C163,'WB Population Data'!$C$6:$D$269,2,FALSE)</f>
        <v>5772000</v>
      </c>
      <c r="Z163" s="453">
        <f t="shared" si="18"/>
        <v>0</v>
      </c>
      <c r="AA163" s="622" t="str">
        <f>INDEX('HCW + Staff Summary'!$E$7:$E$270,MATCH($C163,'HCW + Staff Summary'!$C$7:$C$270,0))</f>
        <v>High income</v>
      </c>
      <c r="AB163" s="620">
        <f t="shared" si="20"/>
        <v>0.54650004528486062</v>
      </c>
    </row>
    <row r="164" spans="2:28" x14ac:dyDescent="0.75">
      <c r="B164" s="610" t="s">
        <v>1179</v>
      </c>
      <c r="C164" s="610" t="s">
        <v>520</v>
      </c>
      <c r="D164" s="611"/>
      <c r="E164" s="612">
        <v>2016</v>
      </c>
      <c r="F164" s="617">
        <v>60.670999999999999</v>
      </c>
      <c r="G164" s="618">
        <v>33017</v>
      </c>
      <c r="H164" s="618">
        <v>31183</v>
      </c>
      <c r="I164" s="618">
        <v>1834</v>
      </c>
      <c r="J164" s="79"/>
      <c r="K164" s="618">
        <v>2015</v>
      </c>
      <c r="L164" s="619"/>
      <c r="M164" s="619">
        <v>3147</v>
      </c>
      <c r="N164" s="79"/>
      <c r="O164" s="618">
        <v>2017</v>
      </c>
      <c r="P164" s="618">
        <v>18608</v>
      </c>
      <c r="Q164" s="79"/>
      <c r="R164" s="620">
        <v>0.1238189937517096</v>
      </c>
      <c r="S164" s="449">
        <f t="shared" si="21"/>
        <v>31337.728986760074</v>
      </c>
      <c r="T164" s="449">
        <f t="shared" si="22"/>
        <v>3166.5312255506014</v>
      </c>
      <c r="U164" s="449">
        <f t="shared" si="19"/>
        <v>3166.5312255506014</v>
      </c>
      <c r="V164" s="449">
        <f t="shared" si="23"/>
        <v>18677.206334969149</v>
      </c>
      <c r="W164" s="621">
        <f t="shared" si="24"/>
        <v>56347.997772830422</v>
      </c>
      <c r="Y164" s="452">
        <f>VLOOKUP($C164,'WB Population Data'!$C$6:$D$269,2,FALSE)</f>
        <v>5448000</v>
      </c>
      <c r="Z164" s="453">
        <f t="shared" si="18"/>
        <v>0.58122819852250396</v>
      </c>
      <c r="AA164" s="622" t="str">
        <f>INDEX('HCW + Staff Summary'!$E$7:$E$270,MATCH($C164,'HCW + Staff Summary'!$C$7:$C$270,0))</f>
        <v>High income</v>
      </c>
      <c r="AB164" s="620">
        <f t="shared" si="20"/>
        <v>0.58122819852250396</v>
      </c>
    </row>
    <row r="165" spans="2:28" x14ac:dyDescent="0.75">
      <c r="B165" s="610" t="s">
        <v>521</v>
      </c>
      <c r="C165" s="610" t="s">
        <v>132</v>
      </c>
      <c r="D165" s="611"/>
      <c r="E165" s="612">
        <v>2017</v>
      </c>
      <c r="F165" s="617">
        <v>99.745000000000005</v>
      </c>
      <c r="G165" s="618">
        <v>20711</v>
      </c>
      <c r="H165" s="618">
        <v>20505</v>
      </c>
      <c r="I165" s="618">
        <v>206</v>
      </c>
      <c r="J165" s="79"/>
      <c r="K165" s="618"/>
      <c r="L165" s="619"/>
      <c r="M165" s="619"/>
      <c r="N165" s="79"/>
      <c r="O165" s="618">
        <v>2017</v>
      </c>
      <c r="P165" s="618">
        <v>6408</v>
      </c>
      <c r="Q165" s="79"/>
      <c r="R165" s="620">
        <v>7.1901369439830401E-2</v>
      </c>
      <c r="S165" s="449">
        <f t="shared" si="21"/>
        <v>20549.261937100258</v>
      </c>
      <c r="T165" s="449">
        <f t="shared" si="22"/>
        <v>0</v>
      </c>
      <c r="U165" s="449">
        <f t="shared" si="19"/>
        <v>1129.6155936038067</v>
      </c>
      <c r="V165" s="449">
        <f t="shared" si="23"/>
        <v>6421.8322600799047</v>
      </c>
      <c r="W165" s="621">
        <f t="shared" si="24"/>
        <v>28100.709790783967</v>
      </c>
      <c r="Y165" s="452">
        <f>VLOOKUP($C165,'WB Population Data'!$C$6:$D$269,2,FALSE)</f>
        <v>2067000</v>
      </c>
      <c r="Z165" s="453">
        <f t="shared" si="18"/>
        <v>0</v>
      </c>
      <c r="AA165" s="622" t="str">
        <f>INDEX('HCW + Staff Summary'!$E$7:$E$270,MATCH($C165,'HCW + Staff Summary'!$C$7:$C$270,0))</f>
        <v>High income</v>
      </c>
      <c r="AB165" s="620">
        <f t="shared" si="20"/>
        <v>0.54650004528486062</v>
      </c>
    </row>
    <row r="166" spans="2:28" x14ac:dyDescent="0.75">
      <c r="B166" s="610" t="s">
        <v>255</v>
      </c>
      <c r="C166" s="610" t="s">
        <v>128</v>
      </c>
      <c r="D166" s="611"/>
      <c r="E166" s="612">
        <v>2018</v>
      </c>
      <c r="F166" s="617">
        <v>21.641999999999999</v>
      </c>
      <c r="G166" s="618">
        <v>1413</v>
      </c>
      <c r="H166" s="618">
        <v>1413</v>
      </c>
      <c r="I166" s="618" t="s">
        <v>761</v>
      </c>
      <c r="J166" s="79"/>
      <c r="K166" s="618">
        <v>2013</v>
      </c>
      <c r="L166" s="619"/>
      <c r="M166" s="619">
        <v>42</v>
      </c>
      <c r="N166" s="79"/>
      <c r="O166" s="618">
        <v>2016</v>
      </c>
      <c r="P166" s="618">
        <v>120</v>
      </c>
      <c r="Q166" s="79"/>
      <c r="R166" s="620">
        <v>2.6676784020828102</v>
      </c>
      <c r="S166" s="449">
        <f t="shared" si="21"/>
        <v>1489.3941542313059</v>
      </c>
      <c r="T166" s="449">
        <f t="shared" si="22"/>
        <v>50.499314307775649</v>
      </c>
      <c r="U166" s="449">
        <f t="shared" si="19"/>
        <v>50.499314307775649</v>
      </c>
      <c r="V166" s="449">
        <f t="shared" si="23"/>
        <v>133.32641827004548</v>
      </c>
      <c r="W166" s="621">
        <f t="shared" si="24"/>
        <v>1723.7192011169027</v>
      </c>
      <c r="Y166" s="452">
        <f>VLOOKUP($C166,'WB Population Data'!$C$6:$D$269,2,FALSE)</f>
        <v>687000</v>
      </c>
      <c r="Z166" s="453">
        <f t="shared" si="18"/>
        <v>7.3507007726019868E-2</v>
      </c>
      <c r="AA166" s="622" t="str">
        <f>INDEX('HCW + Staff Summary'!$E$7:$E$270,MATCH($C166,'HCW + Staff Summary'!$C$7:$C$270,0))</f>
        <v>Lower middle income</v>
      </c>
      <c r="AB166" s="620">
        <f t="shared" si="20"/>
        <v>7.3507007726019868E-2</v>
      </c>
    </row>
    <row r="167" spans="2:28" x14ac:dyDescent="0.75">
      <c r="B167" s="610" t="s">
        <v>232</v>
      </c>
      <c r="C167" s="610" t="s">
        <v>171</v>
      </c>
      <c r="D167" s="611"/>
      <c r="E167" s="612">
        <v>2014</v>
      </c>
      <c r="F167" s="617">
        <v>1.119</v>
      </c>
      <c r="G167" s="618">
        <v>1502</v>
      </c>
      <c r="H167" s="618">
        <v>825</v>
      </c>
      <c r="I167" s="618">
        <v>677</v>
      </c>
      <c r="J167" s="79"/>
      <c r="K167" s="618">
        <v>2005</v>
      </c>
      <c r="L167" s="619"/>
      <c r="M167" s="619">
        <v>149</v>
      </c>
      <c r="N167" s="79"/>
      <c r="O167" s="618">
        <v>2014</v>
      </c>
      <c r="P167" s="618">
        <v>309</v>
      </c>
      <c r="Q167" s="79"/>
      <c r="R167" s="620">
        <v>2.775116051661906</v>
      </c>
      <c r="S167" s="449">
        <f t="shared" si="21"/>
        <v>972.25862308006435</v>
      </c>
      <c r="T167" s="449">
        <f t="shared" si="22"/>
        <v>224.64973268571796</v>
      </c>
      <c r="U167" s="449">
        <f t="shared" si="19"/>
        <v>224.64973268571796</v>
      </c>
      <c r="V167" s="449">
        <f t="shared" si="23"/>
        <v>364.15504791726045</v>
      </c>
      <c r="W167" s="621">
        <f t="shared" si="24"/>
        <v>1785.7131363687606</v>
      </c>
      <c r="Y167" s="452">
        <f>VLOOKUP($C167,'WB Population Data'!$C$6:$D$269,2,FALSE)</f>
        <v>15893000</v>
      </c>
      <c r="Z167" s="453">
        <f t="shared" si="18"/>
        <v>1.4135137021689925E-2</v>
      </c>
      <c r="AA167" s="622" t="str">
        <f>INDEX('HCW + Staff Summary'!$E$7:$E$270,MATCH($C167,'HCW + Staff Summary'!$C$7:$C$270,0))</f>
        <v>Low income</v>
      </c>
      <c r="AB167" s="620">
        <f t="shared" si="20"/>
        <v>1.4135137021689925E-2</v>
      </c>
    </row>
    <row r="168" spans="2:28" x14ac:dyDescent="0.75">
      <c r="B168" s="610" t="s">
        <v>178</v>
      </c>
      <c r="C168" s="610" t="s">
        <v>154</v>
      </c>
      <c r="D168" s="611"/>
      <c r="E168" s="612">
        <v>2017</v>
      </c>
      <c r="F168" s="617">
        <v>13.077999999999999</v>
      </c>
      <c r="G168" s="618">
        <v>74556</v>
      </c>
      <c r="H168" s="618">
        <v>74556</v>
      </c>
      <c r="I168" s="618" t="s">
        <v>761</v>
      </c>
      <c r="J168" s="79"/>
      <c r="K168" s="618">
        <v>2015</v>
      </c>
      <c r="L168" s="619">
        <v>149</v>
      </c>
      <c r="M168" s="619">
        <v>453</v>
      </c>
      <c r="N168" s="79"/>
      <c r="O168" s="618">
        <v>2017</v>
      </c>
      <c r="P168" s="618">
        <v>51616</v>
      </c>
      <c r="Q168" s="79"/>
      <c r="R168" s="620">
        <v>1.468472369306812</v>
      </c>
      <c r="S168" s="449">
        <f t="shared" si="21"/>
        <v>77888.970886034542</v>
      </c>
      <c r="T168" s="449">
        <f t="shared" si="22"/>
        <v>647.51838129063947</v>
      </c>
      <c r="U168" s="449">
        <f t="shared" ref="U168:U199" si="25">IF(T168=0,INDEX($AE$9:$AE$13,MATCH($AA168,$AD$9:$AD$13,0))*$Y168/1000,T168)</f>
        <v>647.51838129063947</v>
      </c>
      <c r="V168" s="449">
        <f t="shared" si="23"/>
        <v>53923.455137796547</v>
      </c>
      <c r="W168" s="621">
        <f t="shared" si="24"/>
        <v>133107.46278641236</v>
      </c>
      <c r="Y168" s="452">
        <f>VLOOKUP($C168,'WB Population Data'!$C$6:$D$269,2,FALSE)</f>
        <v>59309000</v>
      </c>
      <c r="Z168" s="453">
        <f t="shared" si="18"/>
        <v>1.0917708632596055E-2</v>
      </c>
      <c r="AA168" s="622" t="str">
        <f>INDEX('HCW + Staff Summary'!$E$7:$E$270,MATCH($C168,'HCW + Staff Summary'!$C$7:$C$270,0))</f>
        <v>Upper middle income</v>
      </c>
      <c r="AB168" s="620">
        <f t="shared" ref="AB168:AB201" si="26">IF(Z168=0,INDEX($AE$9:$AE$13,MATCH($AA168,$AD$9:$AD$13,0)),Z168)</f>
        <v>1.0917708632596055E-2</v>
      </c>
    </row>
    <row r="169" spans="2:28" x14ac:dyDescent="0.75">
      <c r="B169" s="610" t="s">
        <v>530</v>
      </c>
      <c r="C169" s="610" t="s">
        <v>40</v>
      </c>
      <c r="D169" s="611"/>
      <c r="E169" s="612">
        <v>2017</v>
      </c>
      <c r="F169" s="617">
        <v>57.295000000000002</v>
      </c>
      <c r="G169" s="618">
        <v>267266</v>
      </c>
      <c r="H169" s="618">
        <v>267266</v>
      </c>
      <c r="I169" s="618" t="s">
        <v>761</v>
      </c>
      <c r="J169" s="79"/>
      <c r="K169" s="618"/>
      <c r="L169" s="619"/>
      <c r="M169" s="619"/>
      <c r="N169" s="79"/>
      <c r="O169" s="618">
        <v>2017</v>
      </c>
      <c r="P169" s="618">
        <v>180633</v>
      </c>
      <c r="Q169" s="79"/>
      <c r="R169" s="620">
        <v>4.4439608986652938E-2</v>
      </c>
      <c r="S169" s="449">
        <f t="shared" si="21"/>
        <v>267622.4742649098</v>
      </c>
      <c r="T169" s="449">
        <f t="shared" si="22"/>
        <v>0</v>
      </c>
      <c r="U169" s="449">
        <f t="shared" si="25"/>
        <v>25527.563615301126</v>
      </c>
      <c r="V169" s="449">
        <f t="shared" si="23"/>
        <v>180873.92483104268</v>
      </c>
      <c r="W169" s="621">
        <f t="shared" si="24"/>
        <v>474023.96271125355</v>
      </c>
      <c r="Y169" s="452">
        <f>VLOOKUP($C169,'WB Population Data'!$C$6:$D$269,2,FALSE)</f>
        <v>46711000</v>
      </c>
      <c r="Z169" s="453">
        <f t="shared" si="18"/>
        <v>0</v>
      </c>
      <c r="AA169" s="622" t="str">
        <f>INDEX('HCW + Staff Summary'!$E$7:$E$270,MATCH($C169,'HCW + Staff Summary'!$C$7:$C$270,0))</f>
        <v>High income</v>
      </c>
      <c r="AB169" s="620">
        <f t="shared" si="26"/>
        <v>0.54650004528486062</v>
      </c>
    </row>
    <row r="170" spans="2:28" x14ac:dyDescent="0.75">
      <c r="B170" s="610" t="s">
        <v>245</v>
      </c>
      <c r="C170" s="610" t="s">
        <v>81</v>
      </c>
      <c r="D170" s="611"/>
      <c r="E170" s="612">
        <v>2018</v>
      </c>
      <c r="F170" s="617">
        <v>21.803000000000001</v>
      </c>
      <c r="G170" s="618">
        <v>46286</v>
      </c>
      <c r="H170" s="618">
        <v>37000</v>
      </c>
      <c r="I170" s="618">
        <v>9286</v>
      </c>
      <c r="J170" s="79"/>
      <c r="K170" s="618">
        <v>2018</v>
      </c>
      <c r="L170" s="619"/>
      <c r="M170" s="619">
        <v>1850</v>
      </c>
      <c r="N170" s="79"/>
      <c r="O170" s="618">
        <v>2018</v>
      </c>
      <c r="P170" s="618">
        <v>21316</v>
      </c>
      <c r="Q170" s="79"/>
      <c r="R170" s="620">
        <v>1.0273232065279903</v>
      </c>
      <c r="S170" s="449">
        <f t="shared" si="21"/>
        <v>37764.124126822193</v>
      </c>
      <c r="T170" s="449">
        <f t="shared" si="22"/>
        <v>1888.2062063411095</v>
      </c>
      <c r="U170" s="449">
        <f t="shared" si="25"/>
        <v>1888.2062063411095</v>
      </c>
      <c r="V170" s="449">
        <f t="shared" si="23"/>
        <v>21756.21810506329</v>
      </c>
      <c r="W170" s="621">
        <f t="shared" si="24"/>
        <v>63296.7546445677</v>
      </c>
      <c r="Y170" s="452">
        <f>VLOOKUP($C170,'WB Population Data'!$C$6:$D$269,2,FALSE)</f>
        <v>21837000</v>
      </c>
      <c r="Z170" s="453">
        <f t="shared" si="18"/>
        <v>8.6468205629945019E-2</v>
      </c>
      <c r="AA170" s="622" t="str">
        <f>INDEX('HCW + Staff Summary'!$E$7:$E$270,MATCH($C170,'HCW + Staff Summary'!$C$7:$C$270,0))</f>
        <v>Upper middle income</v>
      </c>
      <c r="AB170" s="620">
        <f t="shared" si="26"/>
        <v>8.6468205629945019E-2</v>
      </c>
    </row>
    <row r="171" spans="2:28" x14ac:dyDescent="0.75">
      <c r="B171" s="610" t="s">
        <v>233</v>
      </c>
      <c r="C171" s="610" t="s">
        <v>125</v>
      </c>
      <c r="D171" s="611"/>
      <c r="E171" s="612">
        <v>2017</v>
      </c>
      <c r="F171" s="617">
        <v>6.952</v>
      </c>
      <c r="G171" s="618">
        <v>28372</v>
      </c>
      <c r="H171" s="618">
        <v>12234</v>
      </c>
      <c r="I171" s="618">
        <v>16138</v>
      </c>
      <c r="J171" s="79"/>
      <c r="K171" s="618">
        <v>2004</v>
      </c>
      <c r="L171" s="619">
        <v>35</v>
      </c>
      <c r="M171" s="619">
        <v>2416</v>
      </c>
      <c r="N171" s="79"/>
      <c r="O171" s="618">
        <v>2017</v>
      </c>
      <c r="P171" s="618">
        <v>10683</v>
      </c>
      <c r="Q171" s="79"/>
      <c r="R171" s="620">
        <v>2.401124198491436</v>
      </c>
      <c r="S171" s="449">
        <f t="shared" si="21"/>
        <v>13136.590125515522</v>
      </c>
      <c r="T171" s="449">
        <f t="shared" si="22"/>
        <v>3582.7697894354073</v>
      </c>
      <c r="U171" s="449">
        <f t="shared" si="25"/>
        <v>3582.7697894354073</v>
      </c>
      <c r="V171" s="449">
        <f t="shared" si="23"/>
        <v>11471.161705973705</v>
      </c>
      <c r="W171" s="621">
        <f t="shared" si="24"/>
        <v>31773.291410360041</v>
      </c>
      <c r="Y171" s="452">
        <f>VLOOKUP($C171,'WB Population Data'!$C$6:$D$269,2,FALSE)</f>
        <v>43849000</v>
      </c>
      <c r="Z171" s="453">
        <f t="shared" si="18"/>
        <v>8.1706989656215812E-2</v>
      </c>
      <c r="AA171" s="622" t="str">
        <f>INDEX('HCW + Staff Summary'!$E$7:$E$270,MATCH($C171,'HCW + Staff Summary'!$C$7:$C$270,0))</f>
        <v>Lower middle income</v>
      </c>
      <c r="AB171" s="620">
        <f t="shared" si="26"/>
        <v>8.1706989656215812E-2</v>
      </c>
    </row>
    <row r="172" spans="2:28" x14ac:dyDescent="0.75">
      <c r="B172" s="610" t="s">
        <v>229</v>
      </c>
      <c r="C172" s="610" t="s">
        <v>170</v>
      </c>
      <c r="D172" s="611"/>
      <c r="E172" s="612">
        <v>2018</v>
      </c>
      <c r="F172" s="617">
        <v>27.568999999999999</v>
      </c>
      <c r="G172" s="618">
        <v>1588</v>
      </c>
      <c r="H172" s="618">
        <v>1588</v>
      </c>
      <c r="I172" s="618" t="s">
        <v>761</v>
      </c>
      <c r="J172" s="79"/>
      <c r="K172" s="618"/>
      <c r="L172" s="619"/>
      <c r="M172" s="619"/>
      <c r="N172" s="79"/>
      <c r="O172" s="618">
        <v>2018</v>
      </c>
      <c r="P172" s="618">
        <v>697</v>
      </c>
      <c r="Q172" s="79"/>
      <c r="R172" s="620">
        <v>1.0222276384478979</v>
      </c>
      <c r="S172" s="449">
        <f t="shared" si="21"/>
        <v>1620.6318877530607</v>
      </c>
      <c r="T172" s="449">
        <f t="shared" si="22"/>
        <v>0</v>
      </c>
      <c r="U172" s="449">
        <f t="shared" si="25"/>
        <v>129.02508858474434</v>
      </c>
      <c r="V172" s="449">
        <f t="shared" si="23"/>
        <v>711.32268624929679</v>
      </c>
      <c r="W172" s="621">
        <f t="shared" si="24"/>
        <v>2460.9796625871018</v>
      </c>
      <c r="Y172" s="452">
        <f>VLOOKUP($C172,'WB Population Data'!$C$6:$D$269,2,FALSE)</f>
        <v>587000</v>
      </c>
      <c r="Z172" s="453">
        <f t="shared" si="18"/>
        <v>0</v>
      </c>
      <c r="AA172" s="622" t="str">
        <f>INDEX('HCW + Staff Summary'!$E$7:$E$270,MATCH($C172,'HCW + Staff Summary'!$C$7:$C$270,0))</f>
        <v>Upper middle income</v>
      </c>
      <c r="AB172" s="620">
        <f t="shared" si="26"/>
        <v>0.21980423949700909</v>
      </c>
    </row>
    <row r="173" spans="2:28" x14ac:dyDescent="0.75">
      <c r="B173" s="610" t="s">
        <v>544</v>
      </c>
      <c r="C173" s="610" t="s">
        <v>133</v>
      </c>
      <c r="D173" s="611"/>
      <c r="E173" s="612">
        <v>2017</v>
      </c>
      <c r="F173" s="617">
        <v>118.164</v>
      </c>
      <c r="G173" s="618">
        <v>117040</v>
      </c>
      <c r="H173" s="618">
        <v>109463</v>
      </c>
      <c r="I173" s="618">
        <v>7577</v>
      </c>
      <c r="J173" s="79"/>
      <c r="K173" s="618"/>
      <c r="L173" s="619"/>
      <c r="M173" s="619"/>
      <c r="N173" s="79"/>
      <c r="O173" s="618">
        <v>2016</v>
      </c>
      <c r="P173" s="618">
        <v>39187</v>
      </c>
      <c r="Q173" s="79"/>
      <c r="R173" s="620">
        <v>1.1786854337187485</v>
      </c>
      <c r="S173" s="449">
        <f t="shared" si="21"/>
        <v>113379.47562221123</v>
      </c>
      <c r="T173" s="449">
        <f t="shared" si="22"/>
        <v>0</v>
      </c>
      <c r="U173" s="449">
        <f t="shared" si="25"/>
        <v>5639.3339672944767</v>
      </c>
      <c r="V173" s="449">
        <f t="shared" si="23"/>
        <v>41067.488766433402</v>
      </c>
      <c r="W173" s="621">
        <f t="shared" si="24"/>
        <v>160086.2983559391</v>
      </c>
      <c r="Y173" s="452">
        <f>VLOOKUP($C173,'WB Population Data'!$C$6:$D$269,2,FALSE)</f>
        <v>10319000</v>
      </c>
      <c r="Z173" s="453">
        <f t="shared" si="18"/>
        <v>0</v>
      </c>
      <c r="AA173" s="622" t="str">
        <f>INDEX('HCW + Staff Summary'!$E$7:$E$270,MATCH($C173,'HCW + Staff Summary'!$C$7:$C$270,0))</f>
        <v>High income</v>
      </c>
      <c r="AB173" s="620">
        <f t="shared" si="26"/>
        <v>0.54650004528486062</v>
      </c>
    </row>
    <row r="174" spans="2:28" x14ac:dyDescent="0.75">
      <c r="B174" s="610" t="s">
        <v>545</v>
      </c>
      <c r="C174" s="610" t="s">
        <v>23</v>
      </c>
      <c r="D174" s="611"/>
      <c r="E174" s="612">
        <v>2017</v>
      </c>
      <c r="F174" s="617">
        <v>175.357</v>
      </c>
      <c r="G174" s="618">
        <v>148278</v>
      </c>
      <c r="H174" s="618">
        <v>145602</v>
      </c>
      <c r="I174" s="618">
        <v>2676</v>
      </c>
      <c r="J174" s="79"/>
      <c r="K174" s="618"/>
      <c r="L174" s="619"/>
      <c r="M174" s="619"/>
      <c r="N174" s="79"/>
      <c r="O174" s="618">
        <v>2017</v>
      </c>
      <c r="P174" s="618">
        <v>36324</v>
      </c>
      <c r="Q174" s="79"/>
      <c r="R174" s="620">
        <v>1.0292524013897653</v>
      </c>
      <c r="S174" s="449">
        <f t="shared" si="21"/>
        <v>150144.26850396799</v>
      </c>
      <c r="T174" s="449">
        <f t="shared" si="22"/>
        <v>0</v>
      </c>
      <c r="U174" s="449">
        <f t="shared" si="25"/>
        <v>4722.3068913064808</v>
      </c>
      <c r="V174" s="449">
        <f t="shared" si="23"/>
        <v>37457.180595995473</v>
      </c>
      <c r="W174" s="621">
        <f t="shared" si="24"/>
        <v>192323.75599126995</v>
      </c>
      <c r="Y174" s="452">
        <f>VLOOKUP($C174,'WB Population Data'!$C$6:$D$269,2,FALSE)</f>
        <v>8641000</v>
      </c>
      <c r="Z174" s="453">
        <f t="shared" si="18"/>
        <v>0</v>
      </c>
      <c r="AA174" s="622" t="str">
        <f>INDEX('HCW + Staff Summary'!$E$7:$E$270,MATCH($C174,'HCW + Staff Summary'!$C$7:$C$270,0))</f>
        <v>High income</v>
      </c>
      <c r="AB174" s="620">
        <f t="shared" si="26"/>
        <v>0.54650004528486062</v>
      </c>
    </row>
    <row r="175" spans="2:28" x14ac:dyDescent="0.75">
      <c r="B175" s="610" t="s">
        <v>546</v>
      </c>
      <c r="C175" s="610" t="s">
        <v>136</v>
      </c>
      <c r="D175" s="611"/>
      <c r="E175" s="612">
        <v>2016</v>
      </c>
      <c r="F175" s="617">
        <v>15.406000000000001</v>
      </c>
      <c r="G175" s="618">
        <v>26908</v>
      </c>
      <c r="H175" s="618">
        <v>26908</v>
      </c>
      <c r="I175" s="618" t="s">
        <v>761</v>
      </c>
      <c r="J175" s="79"/>
      <c r="K175" s="618"/>
      <c r="L175" s="619"/>
      <c r="M175" s="619"/>
      <c r="N175" s="79"/>
      <c r="O175" s="618">
        <v>2016</v>
      </c>
      <c r="P175" s="618">
        <v>22485</v>
      </c>
      <c r="Q175" s="79"/>
      <c r="R175" s="620">
        <v>-2.9408313851882788</v>
      </c>
      <c r="S175" s="449">
        <f t="shared" si="21"/>
        <v>23879.635133492291</v>
      </c>
      <c r="T175" s="449">
        <f t="shared" si="22"/>
        <v>0</v>
      </c>
      <c r="U175" s="449">
        <f t="shared" si="25"/>
        <v>1723.7977392235023</v>
      </c>
      <c r="V175" s="449">
        <f t="shared" si="23"/>
        <v>19954.422327061624</v>
      </c>
      <c r="W175" s="621">
        <f t="shared" si="24"/>
        <v>45557.855199777419</v>
      </c>
      <c r="Y175" s="452">
        <f>VLOOKUP($C175,'WB Population Data'!$C$6:$D$269,2,FALSE)</f>
        <v>17501000</v>
      </c>
      <c r="Z175" s="453">
        <f t="shared" si="18"/>
        <v>0</v>
      </c>
      <c r="AA175" s="622" t="str">
        <f>INDEX('HCW + Staff Summary'!$E$7:$E$270,MATCH($C175,'HCW + Staff Summary'!$C$7:$C$270,0))</f>
        <v>Low income</v>
      </c>
      <c r="AB175" s="620">
        <f t="shared" si="26"/>
        <v>9.849709954994014E-2</v>
      </c>
    </row>
    <row r="176" spans="2:28" x14ac:dyDescent="0.75">
      <c r="B176" s="610" t="s">
        <v>238</v>
      </c>
      <c r="C176" s="610" t="s">
        <v>163</v>
      </c>
      <c r="D176" s="611"/>
      <c r="E176" s="612">
        <v>2014</v>
      </c>
      <c r="F176" s="617">
        <v>47.533999999999999</v>
      </c>
      <c r="G176" s="618">
        <v>39229</v>
      </c>
      <c r="H176" s="618">
        <v>34696</v>
      </c>
      <c r="I176" s="618">
        <v>4533</v>
      </c>
      <c r="J176" s="79"/>
      <c r="K176" s="618"/>
      <c r="L176" s="619"/>
      <c r="M176" s="619"/>
      <c r="N176" s="79"/>
      <c r="O176" s="618">
        <v>2014</v>
      </c>
      <c r="P176" s="618">
        <v>17352</v>
      </c>
      <c r="Q176" s="79"/>
      <c r="R176" s="620">
        <v>2.4296298251372259</v>
      </c>
      <c r="S176" s="449">
        <f t="shared" si="21"/>
        <v>40071.262746895816</v>
      </c>
      <c r="T176" s="449">
        <f t="shared" si="22"/>
        <v>0</v>
      </c>
      <c r="U176" s="449">
        <f t="shared" si="25"/>
        <v>939.46533550732909</v>
      </c>
      <c r="V176" s="449">
        <f t="shared" si="23"/>
        <v>20040.251071712479</v>
      </c>
      <c r="W176" s="621">
        <f t="shared" si="24"/>
        <v>61050.97915411563</v>
      </c>
      <c r="Y176" s="452">
        <f>VLOOKUP($C176,'WB Population Data'!$C$6:$D$269,2,FALSE)</f>
        <v>9538000</v>
      </c>
      <c r="Z176" s="453">
        <f t="shared" si="18"/>
        <v>0</v>
      </c>
      <c r="AA176" s="622" t="str">
        <f>INDEX('HCW + Staff Summary'!$E$7:$E$270,MATCH($C176,'HCW + Staff Summary'!$C$7:$C$270,0))</f>
        <v>Low income</v>
      </c>
      <c r="AB176" s="620">
        <f t="shared" si="26"/>
        <v>9.849709954994014E-2</v>
      </c>
    </row>
    <row r="177" spans="2:28" x14ac:dyDescent="0.75">
      <c r="B177" s="610" t="s">
        <v>548</v>
      </c>
      <c r="C177" s="610" t="s">
        <v>138</v>
      </c>
      <c r="D177" s="611"/>
      <c r="E177" s="612">
        <v>2018</v>
      </c>
      <c r="F177" s="617">
        <v>27.593</v>
      </c>
      <c r="G177" s="618">
        <v>191575</v>
      </c>
      <c r="H177" s="618">
        <v>191575</v>
      </c>
      <c r="I177" s="618" t="s">
        <v>761</v>
      </c>
      <c r="J177" s="79"/>
      <c r="K177" s="618">
        <v>2016</v>
      </c>
      <c r="L177" s="619"/>
      <c r="M177" s="619">
        <v>2442</v>
      </c>
      <c r="N177" s="79"/>
      <c r="O177" s="618">
        <v>2018</v>
      </c>
      <c r="P177" s="618">
        <v>55890</v>
      </c>
      <c r="Q177" s="79"/>
      <c r="R177" s="620">
        <v>0.37334652971182702</v>
      </c>
      <c r="S177" s="449">
        <f t="shared" si="21"/>
        <v>193008.14754713656</v>
      </c>
      <c r="T177" s="449">
        <f t="shared" si="22"/>
        <v>2478.6732285796411</v>
      </c>
      <c r="U177" s="449">
        <f t="shared" si="25"/>
        <v>2478.6732285796411</v>
      </c>
      <c r="V177" s="449">
        <f t="shared" si="23"/>
        <v>56308.105788382942</v>
      </c>
      <c r="W177" s="621">
        <f t="shared" si="24"/>
        <v>254273.59979267875</v>
      </c>
      <c r="Y177" s="452">
        <f>VLOOKUP($C177,'WB Population Data'!$C$6:$D$269,2,FALSE)</f>
        <v>69800000</v>
      </c>
      <c r="Z177" s="453">
        <f t="shared" si="18"/>
        <v>3.5511077773347291E-2</v>
      </c>
      <c r="AA177" s="622" t="str">
        <f>INDEX('HCW + Staff Summary'!$E$7:$E$270,MATCH($C177,'HCW + Staff Summary'!$C$7:$C$270,0))</f>
        <v>Upper middle income</v>
      </c>
      <c r="AB177" s="620">
        <f t="shared" si="26"/>
        <v>3.5511077773347291E-2</v>
      </c>
    </row>
    <row r="178" spans="2:28" x14ac:dyDescent="0.75">
      <c r="B178" s="610" t="s">
        <v>1180</v>
      </c>
      <c r="C178" s="610" t="s">
        <v>485</v>
      </c>
      <c r="D178" s="611"/>
      <c r="E178" s="612">
        <v>2015</v>
      </c>
      <c r="F178" s="617">
        <v>37.917000000000002</v>
      </c>
      <c r="G178" s="618">
        <v>7884</v>
      </c>
      <c r="H178" s="618">
        <v>7884</v>
      </c>
      <c r="I178" s="618" t="s">
        <v>761</v>
      </c>
      <c r="J178" s="79"/>
      <c r="K178" s="618"/>
      <c r="L178" s="619"/>
      <c r="M178" s="619"/>
      <c r="N178" s="79"/>
      <c r="O178" s="618">
        <v>2015</v>
      </c>
      <c r="P178" s="618">
        <v>5975</v>
      </c>
      <c r="Q178" s="79"/>
      <c r="R178" s="620">
        <v>6.6275209269891375E-2</v>
      </c>
      <c r="S178" s="449">
        <f t="shared" si="21"/>
        <v>7910.1603401608299</v>
      </c>
      <c r="T178" s="449">
        <f t="shared" si="22"/>
        <v>0</v>
      </c>
      <c r="U178" s="449">
        <f t="shared" si="25"/>
        <v>457.85223087226996</v>
      </c>
      <c r="V178" s="449">
        <f t="shared" si="23"/>
        <v>5994.8259807789136</v>
      </c>
      <c r="W178" s="621">
        <f t="shared" si="24"/>
        <v>14362.838551812012</v>
      </c>
      <c r="Y178" s="452">
        <f>VLOOKUP($C178,'WB Population Data'!$C$6:$D$269,2,FALSE)</f>
        <v>2083000</v>
      </c>
      <c r="Z178" s="453">
        <f t="shared" si="18"/>
        <v>0</v>
      </c>
      <c r="AA178" s="622" t="str">
        <f>INDEX('HCW + Staff Summary'!$E$7:$E$270,MATCH($C178,'HCW + Staff Summary'!$C$7:$C$270,0))</f>
        <v>Upper middle income</v>
      </c>
      <c r="AB178" s="620">
        <f t="shared" si="26"/>
        <v>0.21980423949700909</v>
      </c>
    </row>
    <row r="179" spans="2:28" x14ac:dyDescent="0.75">
      <c r="B179" s="610" t="s">
        <v>246</v>
      </c>
      <c r="C179" s="610" t="s">
        <v>140</v>
      </c>
      <c r="D179" s="611"/>
      <c r="E179" s="612">
        <v>2018</v>
      </c>
      <c r="F179" s="617">
        <v>16.68</v>
      </c>
      <c r="G179" s="618">
        <v>2115</v>
      </c>
      <c r="H179" s="618">
        <v>1497</v>
      </c>
      <c r="I179" s="618">
        <v>618</v>
      </c>
      <c r="J179" s="79"/>
      <c r="K179" s="618">
        <v>2011</v>
      </c>
      <c r="L179" s="619"/>
      <c r="M179" s="619">
        <v>132</v>
      </c>
      <c r="N179" s="79"/>
      <c r="O179" s="618">
        <v>2018</v>
      </c>
      <c r="P179" s="618">
        <v>916</v>
      </c>
      <c r="Q179" s="79"/>
      <c r="R179" s="620">
        <v>1.8959142179470601</v>
      </c>
      <c r="S179" s="449">
        <f t="shared" si="21"/>
        <v>1554.3017669463907</v>
      </c>
      <c r="T179" s="449">
        <f t="shared" si="22"/>
        <v>156.30931608899652</v>
      </c>
      <c r="U179" s="449">
        <f t="shared" si="25"/>
        <v>156.30931608899652</v>
      </c>
      <c r="V179" s="449">
        <f t="shared" si="23"/>
        <v>951.06240382290832</v>
      </c>
      <c r="W179" s="621">
        <f t="shared" si="24"/>
        <v>2817.9828029472924</v>
      </c>
      <c r="Y179" s="452">
        <f>VLOOKUP($C179,'WB Population Data'!$C$6:$D$269,2,FALSE)</f>
        <v>1318000</v>
      </c>
      <c r="Z179" s="453">
        <f t="shared" si="18"/>
        <v>0.11859583921775153</v>
      </c>
      <c r="AA179" s="622" t="str">
        <f>INDEX('HCW + Staff Summary'!$E$7:$E$270,MATCH($C179,'HCW + Staff Summary'!$C$7:$C$270,0))</f>
        <v>Lower middle income</v>
      </c>
      <c r="AB179" s="620">
        <f t="shared" si="26"/>
        <v>0.11859583921775153</v>
      </c>
    </row>
    <row r="180" spans="2:28" x14ac:dyDescent="0.75">
      <c r="B180" s="610" t="s">
        <v>215</v>
      </c>
      <c r="C180" s="610" t="s">
        <v>137</v>
      </c>
      <c r="D180" s="611"/>
      <c r="E180" s="612">
        <v>2018</v>
      </c>
      <c r="F180" s="617">
        <v>4.1020000000000003</v>
      </c>
      <c r="G180" s="618">
        <v>3236</v>
      </c>
      <c r="H180" s="618">
        <v>1951</v>
      </c>
      <c r="I180" s="618">
        <v>1285</v>
      </c>
      <c r="J180" s="79"/>
      <c r="K180" s="618">
        <v>2018</v>
      </c>
      <c r="L180" s="619">
        <v>460</v>
      </c>
      <c r="M180" s="619">
        <v>183</v>
      </c>
      <c r="N180" s="79"/>
      <c r="O180" s="618">
        <v>2018</v>
      </c>
      <c r="P180" s="618">
        <v>611</v>
      </c>
      <c r="Q180" s="79"/>
      <c r="R180" s="620">
        <v>2.5212117964297356</v>
      </c>
      <c r="S180" s="449">
        <f t="shared" si="21"/>
        <v>2050.61783918746</v>
      </c>
      <c r="T180" s="449">
        <f t="shared" si="22"/>
        <v>675.83150722580046</v>
      </c>
      <c r="U180" s="449">
        <f t="shared" si="25"/>
        <v>675.83150722580046</v>
      </c>
      <c r="V180" s="449">
        <f t="shared" si="23"/>
        <v>642.19759084753355</v>
      </c>
      <c r="W180" s="621">
        <f t="shared" si="24"/>
        <v>4044.4784444865945</v>
      </c>
      <c r="Y180" s="452">
        <f>VLOOKUP($C180,'WB Population Data'!$C$6:$D$269,2,FALSE)</f>
        <v>8279000</v>
      </c>
      <c r="Z180" s="453">
        <f t="shared" si="18"/>
        <v>8.1632021648242598E-2</v>
      </c>
      <c r="AA180" s="622" t="str">
        <f>INDEX('HCW + Staff Summary'!$E$7:$E$270,MATCH($C180,'HCW + Staff Summary'!$C$7:$C$270,0))</f>
        <v>Low income</v>
      </c>
      <c r="AB180" s="620">
        <f t="shared" si="26"/>
        <v>8.1632021648242598E-2</v>
      </c>
    </row>
    <row r="181" spans="2:28" x14ac:dyDescent="0.75">
      <c r="B181" s="610" t="s">
        <v>256</v>
      </c>
      <c r="C181" s="610" t="s">
        <v>141</v>
      </c>
      <c r="D181" s="611"/>
      <c r="E181" s="612">
        <v>2018</v>
      </c>
      <c r="F181" s="617">
        <v>41.57</v>
      </c>
      <c r="G181" s="618">
        <v>429</v>
      </c>
      <c r="H181" s="618">
        <v>429</v>
      </c>
      <c r="I181" s="618" t="s">
        <v>761</v>
      </c>
      <c r="J181" s="79"/>
      <c r="K181" s="618">
        <v>2013</v>
      </c>
      <c r="L181" s="619"/>
      <c r="M181" s="619">
        <v>25</v>
      </c>
      <c r="N181" s="79"/>
      <c r="O181" s="618">
        <v>2013</v>
      </c>
      <c r="P181" s="618">
        <v>55</v>
      </c>
      <c r="Q181" s="79"/>
      <c r="R181" s="620">
        <v>0.27888140007153883</v>
      </c>
      <c r="S181" s="449">
        <f t="shared" si="21"/>
        <v>431.39613895304831</v>
      </c>
      <c r="T181" s="449">
        <f t="shared" si="22"/>
        <v>25.492144660706067</v>
      </c>
      <c r="U181" s="449">
        <f t="shared" si="25"/>
        <v>25.492144660706067</v>
      </c>
      <c r="V181" s="449">
        <f t="shared" si="23"/>
        <v>56.082718253553345</v>
      </c>
      <c r="W181" s="621">
        <f t="shared" si="24"/>
        <v>538.46314652801379</v>
      </c>
      <c r="Y181" s="452">
        <f>VLOOKUP($C181,'WB Population Data'!$C$6:$D$269,2,FALSE)</f>
        <v>106000</v>
      </c>
      <c r="Z181" s="453">
        <f t="shared" si="18"/>
        <v>0.24049193076137801</v>
      </c>
      <c r="AA181" s="622" t="str">
        <f>INDEX('HCW + Staff Summary'!$E$7:$E$270,MATCH($C181,'HCW + Staff Summary'!$C$7:$C$270,0))</f>
        <v>Upper middle income</v>
      </c>
      <c r="AB181" s="620">
        <f t="shared" si="26"/>
        <v>0.24049193076137801</v>
      </c>
    </row>
    <row r="182" spans="2:28" x14ac:dyDescent="0.75">
      <c r="B182" s="610" t="s">
        <v>549</v>
      </c>
      <c r="C182" s="610" t="s">
        <v>142</v>
      </c>
      <c r="D182" s="611"/>
      <c r="E182" s="612">
        <v>2018</v>
      </c>
      <c r="F182" s="617">
        <v>40.933999999999997</v>
      </c>
      <c r="G182" s="618">
        <v>5689</v>
      </c>
      <c r="H182" s="618">
        <v>5689</v>
      </c>
      <c r="I182" s="618" t="s">
        <v>761</v>
      </c>
      <c r="J182" s="79"/>
      <c r="K182" s="618">
        <v>2018</v>
      </c>
      <c r="L182" s="619">
        <v>348</v>
      </c>
      <c r="M182" s="619"/>
      <c r="N182" s="79"/>
      <c r="O182" s="618">
        <v>2018</v>
      </c>
      <c r="P182" s="618">
        <v>5792</v>
      </c>
      <c r="Q182" s="79"/>
      <c r="R182" s="620">
        <v>0.52719998882207442</v>
      </c>
      <c r="S182" s="449">
        <f t="shared" si="21"/>
        <v>5749.1429346964469</v>
      </c>
      <c r="T182" s="449">
        <f t="shared" si="22"/>
        <v>351.6789842282235</v>
      </c>
      <c r="U182" s="449">
        <f t="shared" si="25"/>
        <v>351.6789842282235</v>
      </c>
      <c r="V182" s="449">
        <f t="shared" si="23"/>
        <v>5853.2318294536508</v>
      </c>
      <c r="W182" s="621">
        <f t="shared" si="24"/>
        <v>12305.732732606544</v>
      </c>
      <c r="Y182" s="452">
        <f>VLOOKUP($C182,'WB Population Data'!$C$6:$D$269,2,FALSE)</f>
        <v>1399000</v>
      </c>
      <c r="Z182" s="453">
        <f t="shared" si="18"/>
        <v>0.25137883075641421</v>
      </c>
      <c r="AA182" s="622" t="str">
        <f>INDEX('HCW + Staff Summary'!$E$7:$E$270,MATCH($C182,'HCW + Staff Summary'!$C$7:$C$270,0))</f>
        <v>High income</v>
      </c>
      <c r="AB182" s="620">
        <f t="shared" si="26"/>
        <v>0.25137883075641421</v>
      </c>
    </row>
    <row r="183" spans="2:28" x14ac:dyDescent="0.75">
      <c r="B183" s="610" t="s">
        <v>550</v>
      </c>
      <c r="C183" s="610" t="s">
        <v>143</v>
      </c>
      <c r="D183" s="611"/>
      <c r="E183" s="612">
        <v>2017</v>
      </c>
      <c r="F183" s="617">
        <v>25.135999999999999</v>
      </c>
      <c r="G183" s="618">
        <v>28739</v>
      </c>
      <c r="H183" s="618">
        <v>28739</v>
      </c>
      <c r="I183" s="618" t="s">
        <v>761</v>
      </c>
      <c r="J183" s="79"/>
      <c r="K183" s="618">
        <v>2004</v>
      </c>
      <c r="L183" s="619">
        <v>358</v>
      </c>
      <c r="M183" s="619">
        <v>1942</v>
      </c>
      <c r="N183" s="79"/>
      <c r="O183" s="618">
        <v>2017</v>
      </c>
      <c r="P183" s="618">
        <v>14892</v>
      </c>
      <c r="Q183" s="79"/>
      <c r="R183" s="620">
        <v>1.0878403457144781</v>
      </c>
      <c r="S183" s="449">
        <f t="shared" si="21"/>
        <v>29687.143198537553</v>
      </c>
      <c r="T183" s="449">
        <f t="shared" si="22"/>
        <v>2734.7052796878475</v>
      </c>
      <c r="U183" s="449">
        <f t="shared" si="25"/>
        <v>2734.7052796878475</v>
      </c>
      <c r="V183" s="449">
        <f t="shared" si="23"/>
        <v>15383.309666746276</v>
      </c>
      <c r="W183" s="621">
        <f t="shared" si="24"/>
        <v>50539.863424659525</v>
      </c>
      <c r="Y183" s="452">
        <f>VLOOKUP($C183,'WB Population Data'!$C$6:$D$269,2,FALSE)</f>
        <v>11819000</v>
      </c>
      <c r="Z183" s="453">
        <f t="shared" si="18"/>
        <v>0.23138212028833638</v>
      </c>
      <c r="AA183" s="622" t="str">
        <f>INDEX('HCW + Staff Summary'!$E$7:$E$270,MATCH($C183,'HCW + Staff Summary'!$C$7:$C$270,0))</f>
        <v>Lower middle income</v>
      </c>
      <c r="AB183" s="620">
        <f t="shared" si="26"/>
        <v>0.23138212028833638</v>
      </c>
    </row>
    <row r="184" spans="2:28" x14ac:dyDescent="0.75">
      <c r="B184" s="610" t="s">
        <v>551</v>
      </c>
      <c r="C184" s="610" t="s">
        <v>144</v>
      </c>
      <c r="D184" s="611"/>
      <c r="E184" s="612">
        <v>2017</v>
      </c>
      <c r="F184" s="617">
        <v>27.106999999999999</v>
      </c>
      <c r="G184" s="618">
        <v>219883</v>
      </c>
      <c r="H184" s="618">
        <v>166142</v>
      </c>
      <c r="I184" s="618">
        <v>53741</v>
      </c>
      <c r="J184" s="79"/>
      <c r="K184" s="618"/>
      <c r="L184" s="619"/>
      <c r="M184" s="619"/>
      <c r="N184" s="79"/>
      <c r="O184" s="618">
        <v>2017</v>
      </c>
      <c r="P184" s="618">
        <v>149997</v>
      </c>
      <c r="Q184" s="79"/>
      <c r="R184" s="620">
        <v>1.6163557572024421</v>
      </c>
      <c r="S184" s="449">
        <f t="shared" si="21"/>
        <v>174329.2580200705</v>
      </c>
      <c r="T184" s="449">
        <f t="shared" si="22"/>
        <v>0</v>
      </c>
      <c r="U184" s="449">
        <f t="shared" si="25"/>
        <v>18538.069754938249</v>
      </c>
      <c r="V184" s="449">
        <f t="shared" si="23"/>
        <v>157388.65377349805</v>
      </c>
      <c r="W184" s="621">
        <f t="shared" si="24"/>
        <v>350255.98154850677</v>
      </c>
      <c r="Y184" s="452">
        <f>VLOOKUP($C184,'WB Population Data'!$C$6:$D$269,2,FALSE)</f>
        <v>84339000</v>
      </c>
      <c r="Z184" s="453">
        <f t="shared" si="18"/>
        <v>0</v>
      </c>
      <c r="AA184" s="622" t="str">
        <f>INDEX('HCW + Staff Summary'!$E$7:$E$270,MATCH($C184,'HCW + Staff Summary'!$C$7:$C$270,0))</f>
        <v>Upper middle income</v>
      </c>
      <c r="AB184" s="620">
        <f t="shared" si="26"/>
        <v>0.21980423949700909</v>
      </c>
    </row>
    <row r="185" spans="2:28" ht="15.75" customHeight="1" x14ac:dyDescent="0.75">
      <c r="B185" s="610" t="s">
        <v>552</v>
      </c>
      <c r="C185" s="610" t="s">
        <v>139</v>
      </c>
      <c r="D185" s="611"/>
      <c r="E185" s="612">
        <v>2014</v>
      </c>
      <c r="F185" s="617">
        <v>44.273000000000003</v>
      </c>
      <c r="G185" s="618">
        <v>24201</v>
      </c>
      <c r="H185" s="618">
        <v>23090</v>
      </c>
      <c r="I185" s="618">
        <v>1111</v>
      </c>
      <c r="J185" s="79"/>
      <c r="K185" s="618"/>
      <c r="L185" s="619"/>
      <c r="M185" s="619"/>
      <c r="N185" s="79"/>
      <c r="O185" s="618">
        <v>2014</v>
      </c>
      <c r="P185" s="618">
        <v>12161</v>
      </c>
      <c r="Q185" s="79"/>
      <c r="R185" s="620">
        <v>1.728884577105174</v>
      </c>
      <c r="S185" s="449">
        <f t="shared" si="21"/>
        <v>25591.139765218868</v>
      </c>
      <c r="T185" s="449">
        <f t="shared" si="22"/>
        <v>0</v>
      </c>
      <c r="U185" s="449">
        <f t="shared" si="25"/>
        <v>1325.6393684064617</v>
      </c>
      <c r="V185" s="449">
        <f t="shared" si="23"/>
        <v>13478.295828706221</v>
      </c>
      <c r="W185" s="621">
        <f t="shared" si="24"/>
        <v>40395.07496233155</v>
      </c>
      <c r="Y185" s="452">
        <f>VLOOKUP($C185,'WB Population Data'!$C$6:$D$269,2,FALSE)</f>
        <v>6031000</v>
      </c>
      <c r="Z185" s="453">
        <f t="shared" si="18"/>
        <v>0</v>
      </c>
      <c r="AA185" s="622" t="str">
        <f>INDEX('HCW + Staff Summary'!$E$7:$E$270,MATCH($C185,'HCW + Staff Summary'!$C$7:$C$270,0))</f>
        <v>Upper middle income</v>
      </c>
      <c r="AB185" s="620">
        <f t="shared" si="26"/>
        <v>0.21980423949700909</v>
      </c>
    </row>
    <row r="186" spans="2:28" x14ac:dyDescent="0.75">
      <c r="B186" s="610" t="s">
        <v>257</v>
      </c>
      <c r="C186" s="610" t="s">
        <v>145</v>
      </c>
      <c r="D186" s="611"/>
      <c r="E186" s="612">
        <v>2018</v>
      </c>
      <c r="F186" s="617">
        <v>42.609000000000002</v>
      </c>
      <c r="G186" s="618">
        <v>49</v>
      </c>
      <c r="H186" s="618">
        <v>49</v>
      </c>
      <c r="I186" s="618" t="s">
        <v>761</v>
      </c>
      <c r="J186" s="79"/>
      <c r="K186" s="618"/>
      <c r="L186" s="619"/>
      <c r="M186" s="619"/>
      <c r="N186" s="79"/>
      <c r="O186" s="618" t="s">
        <v>761</v>
      </c>
      <c r="P186" s="618" t="s">
        <v>761</v>
      </c>
      <c r="Q186" s="79"/>
      <c r="R186" s="620">
        <v>1.1646482487917298</v>
      </c>
      <c r="S186" s="449">
        <f t="shared" si="21"/>
        <v>50.148001670978616</v>
      </c>
      <c r="T186" s="449">
        <f t="shared" si="22"/>
        <v>0</v>
      </c>
      <c r="U186" s="449">
        <f t="shared" si="25"/>
        <v>2.6376508739641089</v>
      </c>
      <c r="V186" s="449" t="str">
        <f t="shared" si="23"/>
        <v/>
      </c>
      <c r="W186" s="621">
        <f t="shared" si="24"/>
        <v>52.785652544942721</v>
      </c>
      <c r="Y186" s="452">
        <f>VLOOKUP($C186,'WB Population Data'!$C$6:$D$269,2,FALSE)</f>
        <v>12000</v>
      </c>
      <c r="Z186" s="453">
        <f t="shared" si="18"/>
        <v>0</v>
      </c>
      <c r="AA186" s="622" t="str">
        <f>INDEX('HCW + Staff Summary'!$E$7:$E$270,MATCH($C186,'HCW + Staff Summary'!$C$7:$C$270,0))</f>
        <v>Upper middle income</v>
      </c>
      <c r="AB186" s="620">
        <f t="shared" si="26"/>
        <v>0.21980423949700909</v>
      </c>
    </row>
    <row r="187" spans="2:28" x14ac:dyDescent="0.75">
      <c r="B187" s="610" t="s">
        <v>216</v>
      </c>
      <c r="C187" s="610" t="s">
        <v>147</v>
      </c>
      <c r="D187" s="611"/>
      <c r="E187" s="612">
        <v>2018</v>
      </c>
      <c r="F187" s="617">
        <v>12.382</v>
      </c>
      <c r="G187" s="618">
        <v>52907</v>
      </c>
      <c r="H187" s="618">
        <v>52907</v>
      </c>
      <c r="I187" s="618" t="s">
        <v>761</v>
      </c>
      <c r="J187" s="79"/>
      <c r="K187" s="618">
        <v>2015</v>
      </c>
      <c r="L187" s="619"/>
      <c r="M187" s="619">
        <v>2447</v>
      </c>
      <c r="N187" s="79"/>
      <c r="O187" s="618">
        <v>2017</v>
      </c>
      <c r="P187" s="618">
        <v>6918</v>
      </c>
      <c r="Q187" s="79"/>
      <c r="R187" s="620">
        <v>3.5944631152948636</v>
      </c>
      <c r="S187" s="449">
        <f t="shared" si="21"/>
        <v>56778.80191824503</v>
      </c>
      <c r="T187" s="449">
        <f t="shared" si="22"/>
        <v>2919.5551895792114</v>
      </c>
      <c r="U187" s="449">
        <f t="shared" si="25"/>
        <v>2919.5551895792114</v>
      </c>
      <c r="V187" s="449">
        <f t="shared" si="23"/>
        <v>7691.1306648015861</v>
      </c>
      <c r="W187" s="621">
        <f t="shared" si="24"/>
        <v>70309.042962205029</v>
      </c>
      <c r="Y187" s="452">
        <f>VLOOKUP($C187,'WB Population Data'!$C$6:$D$269,2,FALSE)</f>
        <v>45741000</v>
      </c>
      <c r="Z187" s="453">
        <f t="shared" si="18"/>
        <v>6.3827970301900072E-2</v>
      </c>
      <c r="AA187" s="622" t="str">
        <f>INDEX('HCW + Staff Summary'!$E$7:$E$270,MATCH($C187,'HCW + Staff Summary'!$C$7:$C$270,0))</f>
        <v>Low income</v>
      </c>
      <c r="AB187" s="620">
        <f t="shared" si="26"/>
        <v>6.3827970301900072E-2</v>
      </c>
    </row>
    <row r="188" spans="2:28" x14ac:dyDescent="0.75">
      <c r="B188" s="610" t="s">
        <v>239</v>
      </c>
      <c r="C188" s="610" t="s">
        <v>148</v>
      </c>
      <c r="D188" s="611"/>
      <c r="E188" s="612">
        <v>2014</v>
      </c>
      <c r="F188" s="617">
        <v>66.61</v>
      </c>
      <c r="G188" s="618">
        <v>300489</v>
      </c>
      <c r="H188" s="618">
        <v>284207</v>
      </c>
      <c r="I188" s="618">
        <v>16282</v>
      </c>
      <c r="J188" s="79"/>
      <c r="K188" s="618"/>
      <c r="L188" s="619"/>
      <c r="M188" s="619"/>
      <c r="N188" s="79"/>
      <c r="O188" s="618">
        <v>2014</v>
      </c>
      <c r="P188" s="618">
        <v>134986</v>
      </c>
      <c r="Q188" s="79"/>
      <c r="R188" s="620">
        <v>-0.38490307433873061</v>
      </c>
      <c r="S188" s="449">
        <f t="shared" si="21"/>
        <v>277706.30598271411</v>
      </c>
      <c r="T188" s="449">
        <f t="shared" si="22"/>
        <v>0</v>
      </c>
      <c r="U188" s="449">
        <f t="shared" si="25"/>
        <v>12176.076952271065</v>
      </c>
      <c r="V188" s="449">
        <f t="shared" si="23"/>
        <v>131898.45225269839</v>
      </c>
      <c r="W188" s="621">
        <f t="shared" si="24"/>
        <v>421780.83518768358</v>
      </c>
      <c r="Y188" s="452">
        <f>VLOOKUP($C188,'WB Population Data'!$C$6:$D$269,2,FALSE)</f>
        <v>44158000</v>
      </c>
      <c r="Z188" s="453">
        <f t="shared" si="18"/>
        <v>0</v>
      </c>
      <c r="AA188" s="622" t="str">
        <f>INDEX('HCW + Staff Summary'!$E$7:$E$270,MATCH($C188,'HCW + Staff Summary'!$C$7:$C$270,0))</f>
        <v>Lower middle income</v>
      </c>
      <c r="AB188" s="620">
        <f t="shared" si="26"/>
        <v>0.2757388684331506</v>
      </c>
    </row>
    <row r="189" spans="2:28" x14ac:dyDescent="0.75">
      <c r="B189" s="610" t="s">
        <v>555</v>
      </c>
      <c r="C189" s="610" t="s">
        <v>2</v>
      </c>
      <c r="D189" s="611"/>
      <c r="E189" s="612">
        <v>2018</v>
      </c>
      <c r="F189" s="617">
        <v>57.271000000000001</v>
      </c>
      <c r="G189" s="618">
        <v>55158</v>
      </c>
      <c r="H189" s="618">
        <v>55158</v>
      </c>
      <c r="I189" s="618" t="s">
        <v>761</v>
      </c>
      <c r="J189" s="79"/>
      <c r="K189" s="618"/>
      <c r="L189" s="619"/>
      <c r="M189" s="619"/>
      <c r="N189" s="79"/>
      <c r="O189" s="618">
        <v>2018</v>
      </c>
      <c r="P189" s="618">
        <v>24345</v>
      </c>
      <c r="Q189" s="79"/>
      <c r="R189" s="620">
        <v>0.92013042298250036</v>
      </c>
      <c r="S189" s="449">
        <f t="shared" si="21"/>
        <v>56177.720974303425</v>
      </c>
      <c r="T189" s="449">
        <f t="shared" si="22"/>
        <v>0</v>
      </c>
      <c r="U189" s="449">
        <f t="shared" si="25"/>
        <v>5404.8854478672711</v>
      </c>
      <c r="V189" s="449">
        <f t="shared" si="23"/>
        <v>24795.072648018726</v>
      </c>
      <c r="W189" s="621">
        <f t="shared" si="24"/>
        <v>86377.679070189421</v>
      </c>
      <c r="Y189" s="452">
        <f>VLOOKUP($C189,'WB Population Data'!$C$6:$D$269,2,FALSE)</f>
        <v>9890000</v>
      </c>
      <c r="Z189" s="453">
        <f t="shared" si="18"/>
        <v>0</v>
      </c>
      <c r="AA189" s="622" t="str">
        <f>INDEX('HCW + Staff Summary'!$E$7:$E$270,MATCH($C189,'HCW + Staff Summary'!$C$7:$C$270,0))</f>
        <v>High income</v>
      </c>
      <c r="AB189" s="620">
        <f t="shared" si="26"/>
        <v>0.54650004528486062</v>
      </c>
    </row>
    <row r="190" spans="2:28" ht="29.5" x14ac:dyDescent="0.75">
      <c r="B190" s="610" t="s">
        <v>1181</v>
      </c>
      <c r="C190" s="610" t="s">
        <v>47</v>
      </c>
      <c r="D190" s="611"/>
      <c r="E190" s="612">
        <v>2018</v>
      </c>
      <c r="F190" s="628">
        <v>81.722999999999999</v>
      </c>
      <c r="G190" s="618">
        <v>548700</v>
      </c>
      <c r="H190" s="618">
        <v>517200</v>
      </c>
      <c r="I190" s="618">
        <v>31500</v>
      </c>
      <c r="J190" s="79"/>
      <c r="K190" s="618"/>
      <c r="L190" s="619"/>
      <c r="M190" s="619"/>
      <c r="N190" s="79"/>
      <c r="O190" s="618">
        <v>2018</v>
      </c>
      <c r="P190" s="618">
        <v>188783</v>
      </c>
      <c r="Q190" s="79"/>
      <c r="R190" s="620">
        <v>0.72303549734338191</v>
      </c>
      <c r="S190" s="449">
        <f t="shared" si="21"/>
        <v>524706.11738320917</v>
      </c>
      <c r="T190" s="449">
        <f t="shared" si="22"/>
        <v>0</v>
      </c>
      <c r="U190" s="449">
        <f t="shared" si="25"/>
        <v>36737.919044229471</v>
      </c>
      <c r="V190" s="449">
        <f t="shared" si="23"/>
        <v>191522.80540981126</v>
      </c>
      <c r="W190" s="621">
        <f t="shared" si="24"/>
        <v>752966.84183724993</v>
      </c>
      <c r="Y190" s="452">
        <f>VLOOKUP($C190,'WB Population Data'!$C$6:$D$269,2,FALSE)</f>
        <v>67224000</v>
      </c>
      <c r="Z190" s="453">
        <f t="shared" si="18"/>
        <v>0</v>
      </c>
      <c r="AA190" s="622" t="str">
        <f>INDEX('HCW + Staff Summary'!$E$7:$E$270,MATCH($C190,'HCW + Staff Summary'!$C$7:$C$270,0))</f>
        <v>High income</v>
      </c>
      <c r="AB190" s="620">
        <f t="shared" si="26"/>
        <v>0.54650004528486062</v>
      </c>
    </row>
    <row r="191" spans="2:28" x14ac:dyDescent="0.75">
      <c r="B191" s="610" t="s">
        <v>1182</v>
      </c>
      <c r="C191" s="610" t="s">
        <v>146</v>
      </c>
      <c r="D191" s="611"/>
      <c r="E191" s="612">
        <v>2017</v>
      </c>
      <c r="F191" s="628">
        <v>5.843</v>
      </c>
      <c r="G191" s="618">
        <v>31940</v>
      </c>
      <c r="H191" s="618">
        <v>31940</v>
      </c>
      <c r="I191" s="618" t="s">
        <v>761</v>
      </c>
      <c r="J191" s="79"/>
      <c r="K191" s="618">
        <v>2014</v>
      </c>
      <c r="L191" s="619">
        <v>93</v>
      </c>
      <c r="M191" s="619">
        <v>2508</v>
      </c>
      <c r="N191" s="79"/>
      <c r="O191" s="618">
        <v>2016</v>
      </c>
      <c r="P191" s="618">
        <v>742</v>
      </c>
      <c r="Q191" s="79"/>
      <c r="R191" s="620">
        <v>2.9964459488078479</v>
      </c>
      <c r="S191" s="449">
        <f t="shared" si="21"/>
        <v>34898.08761835636</v>
      </c>
      <c r="T191" s="449">
        <f t="shared" si="22"/>
        <v>3105.0870929010403</v>
      </c>
      <c r="U191" s="449">
        <f t="shared" si="25"/>
        <v>3105.0870929010403</v>
      </c>
      <c r="V191" s="449">
        <f t="shared" si="23"/>
        <v>835.01227750932833</v>
      </c>
      <c r="W191" s="621">
        <f t="shared" si="24"/>
        <v>41943.274081667769</v>
      </c>
      <c r="Y191" s="452">
        <f>VLOOKUP($C191,'WB Population Data'!$C$6:$D$269,2,FALSE)</f>
        <v>59734000</v>
      </c>
      <c r="Z191" s="453">
        <f t="shared" si="18"/>
        <v>5.1981904659005596E-2</v>
      </c>
      <c r="AA191" s="622" t="str">
        <f>INDEX('HCW + Staff Summary'!$E$7:$E$270,MATCH($C191,'HCW + Staff Summary'!$C$7:$C$270,0))</f>
        <v>Low income</v>
      </c>
      <c r="AB191" s="620">
        <f t="shared" si="26"/>
        <v>5.1981904659005596E-2</v>
      </c>
    </row>
    <row r="192" spans="2:28" x14ac:dyDescent="0.75">
      <c r="B192" s="610" t="s">
        <v>1183</v>
      </c>
      <c r="C192" s="610" t="s">
        <v>149</v>
      </c>
      <c r="D192" s="611"/>
      <c r="E192" s="612">
        <v>2017</v>
      </c>
      <c r="F192" s="617">
        <v>145.47999999999999</v>
      </c>
      <c r="G192" s="618">
        <v>4729338</v>
      </c>
      <c r="H192" s="618">
        <v>4729338</v>
      </c>
      <c r="I192" s="618" t="s">
        <v>761</v>
      </c>
      <c r="J192" s="79"/>
      <c r="K192" s="618">
        <v>2010</v>
      </c>
      <c r="L192" s="619">
        <v>552276</v>
      </c>
      <c r="M192" s="619"/>
      <c r="N192" s="79"/>
      <c r="O192" s="618">
        <v>2017</v>
      </c>
      <c r="P192" s="618">
        <v>849126</v>
      </c>
      <c r="Q192" s="79"/>
      <c r="R192" s="620">
        <v>0.69094386305470512</v>
      </c>
      <c r="S192" s="449">
        <f t="shared" si="21"/>
        <v>4828048.1126802238</v>
      </c>
      <c r="T192" s="449">
        <f t="shared" si="22"/>
        <v>591643.76164336829</v>
      </c>
      <c r="U192" s="449">
        <f t="shared" si="25"/>
        <v>591643.76164336829</v>
      </c>
      <c r="V192" s="449">
        <f t="shared" si="23"/>
        <v>866848.84474903415</v>
      </c>
      <c r="W192" s="621">
        <f t="shared" si="24"/>
        <v>6878184.4807159947</v>
      </c>
      <c r="Y192" s="452">
        <f>VLOOKUP($C192,'WB Population Data'!$C$6:$D$269,2,FALSE)</f>
        <v>331915000</v>
      </c>
      <c r="Z192" s="453">
        <f t="shared" ref="Z192:Z201" si="27">IFERROR(T192/Y192*1000,0)</f>
        <v>1.7825158900422344</v>
      </c>
      <c r="AA192" s="622" t="str">
        <f>INDEX('HCW + Staff Summary'!$E$7:$E$270,MATCH($C192,'HCW + Staff Summary'!$C$7:$C$270,0))</f>
        <v>High income</v>
      </c>
      <c r="AB192" s="620">
        <f t="shared" si="26"/>
        <v>1.7825158900422344</v>
      </c>
    </row>
    <row r="193" spans="2:28" x14ac:dyDescent="0.75">
      <c r="B193" s="610" t="s">
        <v>560</v>
      </c>
      <c r="C193" s="610" t="s">
        <v>561</v>
      </c>
      <c r="D193" s="611"/>
      <c r="E193" s="612">
        <v>2017</v>
      </c>
      <c r="F193" s="617">
        <v>19.411999999999999</v>
      </c>
      <c r="G193" s="618">
        <v>6671</v>
      </c>
      <c r="H193" s="618">
        <v>6671</v>
      </c>
      <c r="I193" s="618" t="s">
        <v>761</v>
      </c>
      <c r="J193" s="79"/>
      <c r="K193" s="618">
        <v>2016</v>
      </c>
      <c r="L193" s="619"/>
      <c r="M193" s="619">
        <v>1420</v>
      </c>
      <c r="N193" s="79"/>
      <c r="O193" s="618">
        <v>2017</v>
      </c>
      <c r="P193" s="618">
        <v>17456</v>
      </c>
      <c r="Q193" s="79"/>
      <c r="R193" s="620">
        <v>0.35013202039308777</v>
      </c>
      <c r="S193" s="449">
        <f t="shared" si="21"/>
        <v>6741.3175518177459</v>
      </c>
      <c r="T193" s="449">
        <f t="shared" si="22"/>
        <v>1439.9921915292334</v>
      </c>
      <c r="U193" s="449">
        <f t="shared" si="25"/>
        <v>1439.9921915292334</v>
      </c>
      <c r="V193" s="449">
        <f t="shared" si="23"/>
        <v>17639.999877759041</v>
      </c>
      <c r="W193" s="621">
        <f t="shared" si="24"/>
        <v>27261.301812635254</v>
      </c>
      <c r="Y193" s="452">
        <f>VLOOKUP($C193,'WB Population Data'!$C$6:$D$269,2,FALSE)</f>
        <v>3474000</v>
      </c>
      <c r="Z193" s="453">
        <f t="shared" si="27"/>
        <v>0.41450552433196125</v>
      </c>
      <c r="AA193" s="622" t="str">
        <f>INDEX('HCW + Staff Summary'!$E$7:$E$270,MATCH($C193,'HCW + Staff Summary'!$C$7:$C$270,0))</f>
        <v>High income</v>
      </c>
      <c r="AB193" s="620">
        <f t="shared" si="26"/>
        <v>0.41450552433196125</v>
      </c>
    </row>
    <row r="194" spans="2:28" x14ac:dyDescent="0.75">
      <c r="B194" s="610" t="s">
        <v>562</v>
      </c>
      <c r="C194" s="610" t="s">
        <v>150</v>
      </c>
      <c r="D194" s="611"/>
      <c r="E194" s="612">
        <v>2014</v>
      </c>
      <c r="F194" s="617">
        <v>112.804</v>
      </c>
      <c r="G194" s="618">
        <v>343223</v>
      </c>
      <c r="H194" s="618">
        <v>318196</v>
      </c>
      <c r="I194" s="618">
        <v>25027</v>
      </c>
      <c r="J194" s="79"/>
      <c r="K194" s="618"/>
      <c r="L194" s="619"/>
      <c r="M194" s="619"/>
      <c r="N194" s="79"/>
      <c r="O194" s="618">
        <v>2014</v>
      </c>
      <c r="P194" s="618">
        <v>72237</v>
      </c>
      <c r="Q194" s="79"/>
      <c r="R194" s="620">
        <v>1.7176753275207659</v>
      </c>
      <c r="S194" s="449">
        <f t="shared" si="21"/>
        <v>352430.32709660509</v>
      </c>
      <c r="T194" s="449">
        <f t="shared" si="22"/>
        <v>0</v>
      </c>
      <c r="U194" s="449">
        <f t="shared" si="25"/>
        <v>9305.9110707503987</v>
      </c>
      <c r="V194" s="449">
        <f t="shared" si="23"/>
        <v>80008.892438866169</v>
      </c>
      <c r="W194" s="621">
        <f t="shared" si="24"/>
        <v>441745.13060622162</v>
      </c>
      <c r="Y194" s="452">
        <f>VLOOKUP($C194,'WB Population Data'!$C$6:$D$269,2,FALSE)</f>
        <v>33749000</v>
      </c>
      <c r="Z194" s="453">
        <f t="shared" si="27"/>
        <v>0</v>
      </c>
      <c r="AA194" s="622" t="str">
        <f>INDEX('HCW + Staff Summary'!$E$7:$E$270,MATCH($C194,'HCW + Staff Summary'!$C$7:$C$270,0))</f>
        <v>Lower middle income</v>
      </c>
      <c r="AB194" s="620">
        <f t="shared" si="26"/>
        <v>0.2757388684331506</v>
      </c>
    </row>
    <row r="195" spans="2:28" x14ac:dyDescent="0.75">
      <c r="B195" s="610" t="s">
        <v>258</v>
      </c>
      <c r="C195" s="610" t="s">
        <v>151</v>
      </c>
      <c r="D195" s="611"/>
      <c r="E195" s="612">
        <v>2018</v>
      </c>
      <c r="F195" s="617">
        <v>14.247</v>
      </c>
      <c r="G195" s="618">
        <v>417</v>
      </c>
      <c r="H195" s="618">
        <v>417</v>
      </c>
      <c r="I195" s="618" t="s">
        <v>761</v>
      </c>
      <c r="J195" s="79"/>
      <c r="K195" s="618">
        <v>2012</v>
      </c>
      <c r="L195" s="619">
        <v>59</v>
      </c>
      <c r="M195" s="619"/>
      <c r="N195" s="79"/>
      <c r="O195" s="618">
        <v>2016</v>
      </c>
      <c r="P195" s="618">
        <v>46</v>
      </c>
      <c r="Q195" s="79"/>
      <c r="R195" s="620">
        <v>2.6285004014221522</v>
      </c>
      <c r="S195" s="449">
        <f t="shared" si="21"/>
        <v>439.20979924668427</v>
      </c>
      <c r="T195" s="449">
        <f t="shared" si="22"/>
        <v>72.609906291835074</v>
      </c>
      <c r="U195" s="449">
        <f t="shared" si="25"/>
        <v>72.609906291835074</v>
      </c>
      <c r="V195" s="449">
        <f t="shared" si="23"/>
        <v>51.0304929966725</v>
      </c>
      <c r="W195" s="621">
        <f t="shared" si="24"/>
        <v>635.46010482702684</v>
      </c>
      <c r="Y195" s="452">
        <f>VLOOKUP($C195,'WB Population Data'!$C$6:$D$269,2,FALSE)</f>
        <v>307000</v>
      </c>
      <c r="Z195" s="453">
        <f t="shared" si="27"/>
        <v>0.23651435274213378</v>
      </c>
      <c r="AA195" s="622" t="str">
        <f>INDEX('HCW + Staff Summary'!$E$7:$E$270,MATCH($C195,'HCW + Staff Summary'!$C$7:$C$270,0))</f>
        <v>Lower middle income</v>
      </c>
      <c r="AB195" s="620">
        <f t="shared" si="26"/>
        <v>0.23651435274213378</v>
      </c>
    </row>
    <row r="196" spans="2:28" ht="29.5" x14ac:dyDescent="0.75">
      <c r="B196" s="610" t="s">
        <v>1184</v>
      </c>
      <c r="C196" s="610" t="s">
        <v>564</v>
      </c>
      <c r="D196" s="611"/>
      <c r="E196" s="612">
        <v>2018</v>
      </c>
      <c r="F196" s="617">
        <v>9.4160000000000004</v>
      </c>
      <c r="G196" s="618">
        <v>27200</v>
      </c>
      <c r="H196" s="618">
        <v>27200</v>
      </c>
      <c r="I196" s="618" t="s">
        <v>761</v>
      </c>
      <c r="J196" s="79"/>
      <c r="K196" s="618"/>
      <c r="L196" s="619"/>
      <c r="M196" s="619"/>
      <c r="N196" s="79"/>
      <c r="O196" s="618">
        <v>2001</v>
      </c>
      <c r="P196" s="618">
        <v>48000</v>
      </c>
      <c r="Q196" s="79"/>
      <c r="R196" s="620">
        <v>-0.62294369383222858</v>
      </c>
      <c r="S196" s="449">
        <f t="shared" si="21"/>
        <v>26862.174150615534</v>
      </c>
      <c r="T196" s="449">
        <f t="shared" si="22"/>
        <v>0</v>
      </c>
      <c r="U196" s="449">
        <f t="shared" si="25"/>
        <v>6250.3533543369504</v>
      </c>
      <c r="V196" s="449">
        <f t="shared" si="23"/>
        <v>42626.303465634366</v>
      </c>
      <c r="W196" s="621">
        <f t="shared" si="24"/>
        <v>75738.83097058686</v>
      </c>
      <c r="Y196" s="452">
        <f>VLOOKUP($C196,'WB Population Data'!$C$6:$D$269,2,FALSE)</f>
        <v>28436000</v>
      </c>
      <c r="Z196" s="453">
        <f t="shared" si="27"/>
        <v>0</v>
      </c>
      <c r="AA196" s="622" t="str">
        <f>INDEX('HCW + Staff Summary'!$E$7:$E$270,MATCH($C196,'HCW + Staff Summary'!$C$7:$C$270,0))</f>
        <v>Upper middle income</v>
      </c>
      <c r="AB196" s="620">
        <f t="shared" si="26"/>
        <v>0.21980423949700909</v>
      </c>
    </row>
    <row r="197" spans="2:28" x14ac:dyDescent="0.75">
      <c r="B197" s="610" t="s">
        <v>1185</v>
      </c>
      <c r="C197" s="610" t="s">
        <v>160</v>
      </c>
      <c r="D197" s="611"/>
      <c r="E197" s="612">
        <v>2016</v>
      </c>
      <c r="F197" s="617">
        <v>14.462999999999999</v>
      </c>
      <c r="G197" s="618">
        <v>135432</v>
      </c>
      <c r="H197" s="618">
        <v>106654</v>
      </c>
      <c r="I197" s="618">
        <v>28778</v>
      </c>
      <c r="J197" s="79"/>
      <c r="K197" s="618"/>
      <c r="L197" s="619"/>
      <c r="M197" s="619"/>
      <c r="N197" s="79"/>
      <c r="O197" s="618">
        <v>2016</v>
      </c>
      <c r="P197" s="618">
        <v>77539</v>
      </c>
      <c r="Q197" s="79"/>
      <c r="R197" s="620">
        <v>1.0280482196193419</v>
      </c>
      <c r="S197" s="449">
        <f t="shared" si="21"/>
        <v>111107.91540243701</v>
      </c>
      <c r="T197" s="449">
        <f t="shared" si="22"/>
        <v>0</v>
      </c>
      <c r="U197" s="449">
        <f t="shared" si="25"/>
        <v>26840.145714414448</v>
      </c>
      <c r="V197" s="449">
        <f t="shared" si="23"/>
        <v>80777.0608921331</v>
      </c>
      <c r="W197" s="621">
        <f t="shared" si="24"/>
        <v>218725.12200898456</v>
      </c>
      <c r="Y197" s="452">
        <f>VLOOKUP($C197,'WB Population Data'!$C$6:$D$269,2,FALSE)</f>
        <v>97339000</v>
      </c>
      <c r="Z197" s="453">
        <f t="shared" si="27"/>
        <v>0</v>
      </c>
      <c r="AA197" s="622" t="str">
        <f>INDEX('HCW + Staff Summary'!$E$7:$E$270,MATCH($C197,'HCW + Staff Summary'!$C$7:$C$270,0))</f>
        <v>Lower middle income</v>
      </c>
      <c r="AB197" s="620">
        <f t="shared" si="26"/>
        <v>0.2757388684331506</v>
      </c>
    </row>
    <row r="198" spans="2:28" x14ac:dyDescent="0.75">
      <c r="B198" s="610" t="s">
        <v>1186</v>
      </c>
      <c r="C198" s="610" t="s">
        <v>569</v>
      </c>
      <c r="D198" s="611"/>
      <c r="E198" s="612">
        <v>2018</v>
      </c>
      <c r="F198" s="628" t="s">
        <v>761</v>
      </c>
      <c r="G198" s="618">
        <v>9385</v>
      </c>
      <c r="H198" s="618">
        <v>8286</v>
      </c>
      <c r="I198" s="618">
        <v>1099</v>
      </c>
      <c r="J198" s="79"/>
      <c r="K198" s="618"/>
      <c r="L198" s="619"/>
      <c r="M198" s="619"/>
      <c r="N198" s="79"/>
      <c r="O198" s="618">
        <v>2018</v>
      </c>
      <c r="P198" s="618">
        <v>10417</v>
      </c>
      <c r="Q198" s="79"/>
      <c r="R198" s="620">
        <v>2.2804720756710095</v>
      </c>
      <c r="S198" s="449">
        <f t="shared" si="21"/>
        <v>8668.2290105031279</v>
      </c>
      <c r="T198" s="449">
        <f t="shared" si="22"/>
        <v>0</v>
      </c>
      <c r="U198" s="449">
        <f t="shared" si="25"/>
        <v>1327.1311737687538</v>
      </c>
      <c r="V198" s="449">
        <f t="shared" si="23"/>
        <v>10897.530968188641</v>
      </c>
      <c r="W198" s="621">
        <f t="shared" si="24"/>
        <v>20892.891152460521</v>
      </c>
      <c r="Y198" s="452">
        <f>VLOOKUP($C198,'WB Population Data'!$C$6:$D$269,2,FALSE)</f>
        <v>4813000</v>
      </c>
      <c r="Z198" s="453">
        <f t="shared" si="27"/>
        <v>0</v>
      </c>
      <c r="AA198" s="622" t="str">
        <f>INDEX('HCW + Staff Summary'!$E$7:$E$270,MATCH($C198,'HCW + Staff Summary'!$C$7:$C$270,0))</f>
        <v>Lower middle income</v>
      </c>
      <c r="AB198" s="620">
        <f t="shared" si="26"/>
        <v>0.2757388684331506</v>
      </c>
    </row>
    <row r="199" spans="2:28" x14ac:dyDescent="0.75">
      <c r="B199" s="610" t="s">
        <v>1133</v>
      </c>
      <c r="C199" s="610" t="s">
        <v>153</v>
      </c>
      <c r="D199" s="611"/>
      <c r="E199" s="612">
        <v>2018</v>
      </c>
      <c r="F199" s="617">
        <v>7.8520000000000003</v>
      </c>
      <c r="G199" s="618">
        <v>22377</v>
      </c>
      <c r="H199" s="618">
        <v>22377</v>
      </c>
      <c r="I199" s="618" t="s">
        <v>761</v>
      </c>
      <c r="J199" s="79"/>
      <c r="K199" s="618">
        <v>2010</v>
      </c>
      <c r="L199" s="619">
        <v>1113</v>
      </c>
      <c r="M199" s="619">
        <v>1809</v>
      </c>
      <c r="N199" s="79"/>
      <c r="O199" s="618">
        <v>2014</v>
      </c>
      <c r="P199" s="618">
        <v>13560</v>
      </c>
      <c r="Q199" s="79"/>
      <c r="R199" s="620">
        <v>2.502301527953148</v>
      </c>
      <c r="S199" s="449">
        <f t="shared" si="21"/>
        <v>23510.891413318819</v>
      </c>
      <c r="T199" s="449">
        <f t="shared" si="22"/>
        <v>3741.2469914342246</v>
      </c>
      <c r="U199" s="449">
        <f t="shared" si="25"/>
        <v>3741.2469914342246</v>
      </c>
      <c r="V199" s="449">
        <f t="shared" si="23"/>
        <v>15727.561457959382</v>
      </c>
      <c r="W199" s="621">
        <f t="shared" si="24"/>
        <v>46720.946854146649</v>
      </c>
      <c r="Y199" s="452">
        <f>VLOOKUP($C199,'WB Population Data'!$C$6:$D$269,2,FALSE)</f>
        <v>29826000</v>
      </c>
      <c r="Z199" s="453">
        <f t="shared" si="27"/>
        <v>0.12543576045846658</v>
      </c>
      <c r="AA199" s="622" t="str">
        <f>INDEX('HCW + Staff Summary'!$E$7:$E$270,MATCH($C199,'HCW + Staff Summary'!$C$7:$C$270,0))</f>
        <v>Low income</v>
      </c>
      <c r="AB199" s="620">
        <f t="shared" si="26"/>
        <v>0.12543576045846658</v>
      </c>
    </row>
    <row r="200" spans="2:28" x14ac:dyDescent="0.75">
      <c r="B200" s="610" t="s">
        <v>217</v>
      </c>
      <c r="C200" s="610" t="s">
        <v>155</v>
      </c>
      <c r="D200" s="611"/>
      <c r="E200" s="612">
        <v>2018</v>
      </c>
      <c r="F200" s="617">
        <v>13.375999999999999</v>
      </c>
      <c r="G200" s="618">
        <v>23210</v>
      </c>
      <c r="H200" s="618">
        <v>22722</v>
      </c>
      <c r="I200" s="618">
        <v>488</v>
      </c>
      <c r="J200" s="79"/>
      <c r="K200" s="618">
        <v>2018</v>
      </c>
      <c r="L200" s="619">
        <v>441</v>
      </c>
      <c r="M200" s="619"/>
      <c r="N200" s="79"/>
      <c r="O200" s="618">
        <v>2018</v>
      </c>
      <c r="P200" s="618">
        <v>20591</v>
      </c>
      <c r="Q200" s="79"/>
      <c r="R200" s="620">
        <v>3.0111818113508337</v>
      </c>
      <c r="S200" s="449">
        <f t="shared" si="21"/>
        <v>24111.003990320547</v>
      </c>
      <c r="T200" s="449">
        <f t="shared" si="22"/>
        <v>467.95848779734888</v>
      </c>
      <c r="U200" s="449">
        <f t="shared" ref="U200:U201" si="28">IF(T200=0,INDEX($AE$9:$AE$13,MATCH($AA200,$AD$9:$AD$13,0))*$Y200/1000,T200)</f>
        <v>467.95848779734888</v>
      </c>
      <c r="V200" s="449">
        <f t="shared" si="23"/>
        <v>21849.735197812268</v>
      </c>
      <c r="W200" s="621">
        <f t="shared" si="24"/>
        <v>46896.656163727515</v>
      </c>
      <c r="Y200" s="452">
        <f>VLOOKUP($C200,'WB Population Data'!$C$6:$D$269,2,FALSE)</f>
        <v>18384000</v>
      </c>
      <c r="Z200" s="453">
        <f t="shared" si="27"/>
        <v>2.5454660998550309E-2</v>
      </c>
      <c r="AA200" s="622" t="str">
        <f>INDEX('HCW + Staff Summary'!$E$7:$E$270,MATCH($C200,'HCW + Staff Summary'!$C$7:$C$270,0))</f>
        <v>Lower middle income</v>
      </c>
      <c r="AB200" s="620">
        <f t="shared" si="26"/>
        <v>2.5454660998550309E-2</v>
      </c>
    </row>
    <row r="201" spans="2:28" x14ac:dyDescent="0.75">
      <c r="B201" s="610" t="s">
        <v>218</v>
      </c>
      <c r="C201" s="610" t="s">
        <v>156</v>
      </c>
      <c r="D201" s="611"/>
      <c r="E201" s="612">
        <v>2018</v>
      </c>
      <c r="F201" s="617">
        <v>19.346</v>
      </c>
      <c r="G201" s="618">
        <v>27934</v>
      </c>
      <c r="H201" s="618">
        <v>27934</v>
      </c>
      <c r="I201" s="618" t="s">
        <v>761</v>
      </c>
      <c r="J201" s="79"/>
      <c r="K201" s="618">
        <v>2018</v>
      </c>
      <c r="L201" s="619">
        <v>644</v>
      </c>
      <c r="M201" s="619">
        <v>1126</v>
      </c>
      <c r="N201" s="79"/>
      <c r="O201" s="618">
        <v>2018</v>
      </c>
      <c r="P201" s="618">
        <v>3026</v>
      </c>
      <c r="Q201" s="79"/>
      <c r="R201" s="620">
        <v>1.5678214890931277</v>
      </c>
      <c r="S201" s="449">
        <f t="shared" ref="S201" si="29">IFERROR(H201*(1+R201/100)^(2020-E201),H201)</f>
        <v>28816.776866123342</v>
      </c>
      <c r="T201" s="449">
        <f t="shared" ref="T201" si="30">IFERROR(SUM(L201:M201)*(1+$R201/100)^(2020-$K201),SUM(L201:M201))</f>
        <v>1825.9359580811313</v>
      </c>
      <c r="U201" s="449">
        <f t="shared" si="28"/>
        <v>1825.9359580811313</v>
      </c>
      <c r="V201" s="449">
        <f t="shared" ref="V201" si="31">IFERROR(P201*(1+$R201/100)^(2020-$O201),P201)</f>
        <v>3121.6283667533917</v>
      </c>
      <c r="W201" s="621">
        <f t="shared" ref="W201" si="32">SUM(S201:V201)</f>
        <v>35590.277149039001</v>
      </c>
      <c r="Y201" s="452">
        <f>VLOOKUP($C201,'WB Population Data'!$C$6:$D$269,2,FALSE)</f>
        <v>14863000</v>
      </c>
      <c r="Z201" s="453">
        <f t="shared" si="27"/>
        <v>0.12285110395486315</v>
      </c>
      <c r="AA201" s="622" t="str">
        <f>INDEX('HCW + Staff Summary'!$E$7:$E$270,MATCH($C201,'HCW + Staff Summary'!$C$7:$C$270,0))</f>
        <v>Lower middle income</v>
      </c>
      <c r="AB201" s="620">
        <f t="shared" si="26"/>
        <v>0.12285110395486315</v>
      </c>
    </row>
    <row r="204" spans="2:28" ht="15.75" customHeight="1" x14ac:dyDescent="0.75">
      <c r="B204" s="609" t="s">
        <v>1430</v>
      </c>
    </row>
    <row r="205" spans="2:28" x14ac:dyDescent="0.75">
      <c r="B205" s="609" t="s">
        <v>1429</v>
      </c>
    </row>
  </sheetData>
  <sheetProtection algorithmName="SHA-512" hashValue="hJVRtoljr+ijfcla141OwSOVaYiZ8xkneuqwlD4pLbRWk/R20qN3hBk9gUTwl90ISbhn5A/TOPGa0ovtl4g1Yg==" saltValue="GrcdoV+RR7gdMBuKHYH07g==" spinCount="100000" sheet="1" objects="1" scenarios="1"/>
  <autoFilter ref="R7:T201" xr:uid="{00000000-0009-0000-0000-000010000000}"/>
  <mergeCells count="7">
    <mergeCell ref="O5:P5"/>
    <mergeCell ref="Y6:AB6"/>
    <mergeCell ref="B6:C6"/>
    <mergeCell ref="E6:I6"/>
    <mergeCell ref="K6:M6"/>
    <mergeCell ref="O6:P6"/>
    <mergeCell ref="R6:W6"/>
  </mergeCells>
  <hyperlinks>
    <hyperlink ref="G7" r:id="rId1" display="http://apps.who.int/gho/data/node.wrapper.imr?x-id=5320" xr:uid="{00000000-0004-0000-1000-000000000000}"/>
    <hyperlink ref="H7" r:id="rId2" display="http://apps.who.int/gho/data/node.wrapper.imr?x-id=5321" xr:uid="{00000000-0004-0000-1000-000001000000}"/>
    <hyperlink ref="I7" r:id="rId3" display="http://apps.who.int/gho/data/node.wrapper.imr?x-id=5322" xr:uid="{00000000-0004-0000-1000-000002000000}"/>
    <hyperlink ref="F7" r:id="rId4" display="http://apps.who.int/gho/data/node.wrapper.imr?x-id=5319" xr:uid="{00000000-0004-0000-1000-000003000000}"/>
    <hyperlink ref="P7" r:id="rId5" display="http://apps.who.int/gho/data/node.wrapper.imr?x-id=5315" xr:uid="{00000000-0004-0000-1000-000004000000}"/>
    <hyperlink ref="L7" r:id="rId6" xr:uid="{00000000-0004-0000-1000-000005000000}"/>
    <hyperlink ref="M7" r:id="rId7" xr:uid="{00000000-0004-0000-1000-000006000000}"/>
  </hyperlink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2" tint="-0.499984740745262"/>
  </sheetPr>
  <dimension ref="A2:BV1092"/>
  <sheetViews>
    <sheetView showGridLines="0" zoomScale="80" zoomScaleNormal="80" workbookViewId="0"/>
  </sheetViews>
  <sheetFormatPr defaultColWidth="9.40625" defaultRowHeight="14.75" x14ac:dyDescent="0.75"/>
  <cols>
    <col min="1" max="1" width="3.40625" style="80" customWidth="1"/>
    <col min="2" max="2" width="44" style="80" bestFit="1" customWidth="1"/>
    <col min="3" max="3" width="25.40625" style="80" bestFit="1" customWidth="1"/>
    <col min="4" max="4" width="33.40625" style="80" bestFit="1" customWidth="1"/>
    <col min="5" max="5" width="16.40625" style="80" bestFit="1" customWidth="1"/>
    <col min="6" max="65" width="5.40625" style="80" customWidth="1"/>
    <col min="66" max="66" width="18" style="80" bestFit="1" customWidth="1"/>
    <col min="67" max="71" width="9.40625" style="80" customWidth="1"/>
    <col min="72" max="72" width="11.40625" style="80" customWidth="1"/>
    <col min="73" max="78" width="9.40625" style="80" customWidth="1"/>
    <col min="79" max="16384" width="9.40625" style="80"/>
  </cols>
  <sheetData>
    <row r="2" spans="1:67" s="24" customFormat="1" ht="18.5" x14ac:dyDescent="0.9">
      <c r="B2" s="24" t="s">
        <v>1802</v>
      </c>
      <c r="E2" s="25"/>
      <c r="F2" s="25"/>
      <c r="G2" s="25"/>
    </row>
    <row r="3" spans="1:67" ht="15.5" thickBot="1" x14ac:dyDescent="0.9"/>
    <row r="4" spans="1:67" ht="15.5" thickBot="1" x14ac:dyDescent="0.9">
      <c r="B4" s="1549" t="s">
        <v>1801</v>
      </c>
      <c r="D4" s="170" t="s">
        <v>862</v>
      </c>
    </row>
    <row r="5" spans="1:67" x14ac:dyDescent="0.75">
      <c r="B5" s="1550"/>
      <c r="D5" s="169" t="s">
        <v>796</v>
      </c>
    </row>
    <row r="6" spans="1:67" ht="15.5" thickBot="1" x14ac:dyDescent="0.9">
      <c r="B6" s="1550"/>
      <c r="D6" s="196" t="s">
        <v>791</v>
      </c>
    </row>
    <row r="7" spans="1:67" x14ac:dyDescent="0.75">
      <c r="B7" s="1550"/>
    </row>
    <row r="8" spans="1:67" ht="15.5" thickBot="1" x14ac:dyDescent="0.9">
      <c r="B8" s="1551"/>
    </row>
    <row r="10" spans="1:67" s="185" customFormat="1" ht="16.399999999999999" hidden="1" customHeight="1" x14ac:dyDescent="0.75">
      <c r="A10" s="193" t="s">
        <v>884</v>
      </c>
      <c r="B10" s="186" t="s">
        <v>882</v>
      </c>
    </row>
    <row r="11" spans="1:67" s="26" customFormat="1" hidden="1" x14ac:dyDescent="0.75">
      <c r="B11" s="26" t="s">
        <v>780</v>
      </c>
      <c r="E11" s="27"/>
      <c r="F11" s="27"/>
      <c r="G11" s="27"/>
    </row>
    <row r="12" spans="1:67" s="14" customFormat="1" hidden="1" x14ac:dyDescent="0.75">
      <c r="B12" s="14" t="s">
        <v>779</v>
      </c>
      <c r="E12" s="77"/>
      <c r="F12" s="77"/>
      <c r="G12" s="77"/>
    </row>
    <row r="13" spans="1:67" hidden="1" x14ac:dyDescent="0.75"/>
    <row r="14" spans="1:67" hidden="1" x14ac:dyDescent="0.75">
      <c r="B14" s="187" t="s">
        <v>573</v>
      </c>
      <c r="C14" s="187" t="s">
        <v>574</v>
      </c>
      <c r="D14" s="187" t="s">
        <v>629</v>
      </c>
      <c r="E14" s="187" t="s">
        <v>630</v>
      </c>
      <c r="F14" s="187">
        <v>1960</v>
      </c>
      <c r="G14" s="187">
        <v>1961</v>
      </c>
      <c r="H14" s="187">
        <v>1962</v>
      </c>
      <c r="I14" s="187">
        <v>1963</v>
      </c>
      <c r="J14" s="187">
        <v>1964</v>
      </c>
      <c r="K14" s="187">
        <v>1965</v>
      </c>
      <c r="L14" s="187">
        <v>1966</v>
      </c>
      <c r="M14" s="187">
        <v>1967</v>
      </c>
      <c r="N14" s="187">
        <v>1968</v>
      </c>
      <c r="O14" s="187">
        <v>1969</v>
      </c>
      <c r="P14" s="187">
        <v>1970</v>
      </c>
      <c r="Q14" s="187">
        <v>1971</v>
      </c>
      <c r="R14" s="187">
        <v>1972</v>
      </c>
      <c r="S14" s="187">
        <v>1973</v>
      </c>
      <c r="T14" s="187">
        <v>1974</v>
      </c>
      <c r="U14" s="187">
        <v>1975</v>
      </c>
      <c r="V14" s="187">
        <v>1976</v>
      </c>
      <c r="W14" s="187">
        <v>1977</v>
      </c>
      <c r="X14" s="187">
        <v>1978</v>
      </c>
      <c r="Y14" s="187">
        <v>1979</v>
      </c>
      <c r="Z14" s="187">
        <v>1980</v>
      </c>
      <c r="AA14" s="187">
        <v>1981</v>
      </c>
      <c r="AB14" s="187">
        <v>1982</v>
      </c>
      <c r="AC14" s="187">
        <v>1983</v>
      </c>
      <c r="AD14" s="187">
        <v>1984</v>
      </c>
      <c r="AE14" s="187">
        <v>1985</v>
      </c>
      <c r="AF14" s="187">
        <v>1986</v>
      </c>
      <c r="AG14" s="187">
        <v>1987</v>
      </c>
      <c r="AH14" s="187">
        <v>1988</v>
      </c>
      <c r="AI14" s="187">
        <v>1989</v>
      </c>
      <c r="AJ14" s="187">
        <v>1990</v>
      </c>
      <c r="AK14" s="187">
        <v>1991</v>
      </c>
      <c r="AL14" s="187">
        <v>1992</v>
      </c>
      <c r="AM14" s="187">
        <v>1993</v>
      </c>
      <c r="AN14" s="187">
        <v>1994</v>
      </c>
      <c r="AO14" s="187">
        <v>1995</v>
      </c>
      <c r="AP14" s="187">
        <v>1996</v>
      </c>
      <c r="AQ14" s="187">
        <v>1997</v>
      </c>
      <c r="AR14" s="187">
        <v>1998</v>
      </c>
      <c r="AS14" s="187">
        <v>1999</v>
      </c>
      <c r="AT14" s="187">
        <v>2000</v>
      </c>
      <c r="AU14" s="187">
        <v>2001</v>
      </c>
      <c r="AV14" s="187">
        <v>2002</v>
      </c>
      <c r="AW14" s="187">
        <v>2003</v>
      </c>
      <c r="AX14" s="187">
        <v>2004</v>
      </c>
      <c r="AY14" s="187">
        <v>2005</v>
      </c>
      <c r="AZ14" s="187">
        <v>2006</v>
      </c>
      <c r="BA14" s="187">
        <v>2007</v>
      </c>
      <c r="BB14" s="187">
        <v>2008</v>
      </c>
      <c r="BC14" s="187">
        <v>2009</v>
      </c>
      <c r="BD14" s="187">
        <v>2010</v>
      </c>
      <c r="BE14" s="187">
        <v>2011</v>
      </c>
      <c r="BF14" s="187">
        <v>2012</v>
      </c>
      <c r="BG14" s="187">
        <v>2013</v>
      </c>
      <c r="BH14" s="187">
        <v>2014</v>
      </c>
      <c r="BI14" s="187">
        <v>2015</v>
      </c>
      <c r="BJ14" s="187">
        <v>2016</v>
      </c>
      <c r="BK14" s="187">
        <v>2017</v>
      </c>
      <c r="BL14" s="187">
        <v>2018</v>
      </c>
      <c r="BM14" s="187">
        <v>2019</v>
      </c>
      <c r="BN14" s="188" t="s">
        <v>773</v>
      </c>
      <c r="BO14" s="188" t="s">
        <v>759</v>
      </c>
    </row>
    <row r="15" spans="1:67" hidden="1" x14ac:dyDescent="0.75">
      <c r="B15" s="80" t="s">
        <v>323</v>
      </c>
      <c r="C15" s="80" t="s">
        <v>324</v>
      </c>
      <c r="D15" s="80" t="s">
        <v>778</v>
      </c>
      <c r="E15" s="80" t="s">
        <v>777</v>
      </c>
      <c r="BN15" s="81" t="str">
        <f t="shared" ref="BN15:BN78" si="0">IFERROR(LOOKUP(2,1/(ISNUMBER(F15:BM15)),F15:BM15),"No reported value")</f>
        <v>No reported value</v>
      </c>
      <c r="BO15" s="80" t="str">
        <f t="shared" ref="BO15:BO78" si="1">IFERROR(INDEX($F$14:$BM$14,1,MATCH($BN15,$F15:$BM15,0)),"No reported value")</f>
        <v>No reported value</v>
      </c>
    </row>
    <row r="16" spans="1:67" hidden="1" x14ac:dyDescent="0.75">
      <c r="B16" s="80" t="s">
        <v>230</v>
      </c>
      <c r="C16" s="80" t="s">
        <v>0</v>
      </c>
      <c r="D16" s="80" t="s">
        <v>778</v>
      </c>
      <c r="E16" s="80" t="s">
        <v>777</v>
      </c>
      <c r="AY16" s="80">
        <v>0.59550000000000003</v>
      </c>
      <c r="AZ16" s="80">
        <v>0.44919999999999999</v>
      </c>
      <c r="BA16" s="80">
        <v>0.50460000000000005</v>
      </c>
      <c r="BB16" s="80">
        <v>0.50490000000000002</v>
      </c>
      <c r="BC16" s="80">
        <v>0.61619999999999997</v>
      </c>
      <c r="BH16" s="80">
        <v>0.32</v>
      </c>
      <c r="BN16" s="81">
        <f t="shared" si="0"/>
        <v>0.32</v>
      </c>
      <c r="BO16" s="80">
        <f t="shared" si="1"/>
        <v>2014</v>
      </c>
    </row>
    <row r="17" spans="2:67" hidden="1" x14ac:dyDescent="0.75">
      <c r="B17" s="80" t="s">
        <v>182</v>
      </c>
      <c r="C17" s="80" t="s">
        <v>165</v>
      </c>
      <c r="D17" s="80" t="s">
        <v>778</v>
      </c>
      <c r="E17" s="80" t="s">
        <v>777</v>
      </c>
      <c r="AQ17" s="80">
        <v>0.90310000000000001</v>
      </c>
      <c r="AX17" s="80">
        <v>0.9798</v>
      </c>
      <c r="BC17" s="80">
        <v>1.3123</v>
      </c>
      <c r="BN17" s="81">
        <f t="shared" si="0"/>
        <v>1.3123</v>
      </c>
      <c r="BO17" s="80">
        <f t="shared" si="1"/>
        <v>2009</v>
      </c>
    </row>
    <row r="18" spans="2:67" hidden="1" x14ac:dyDescent="0.75">
      <c r="B18" s="80" t="s">
        <v>312</v>
      </c>
      <c r="C18" s="80" t="s">
        <v>313</v>
      </c>
      <c r="D18" s="80" t="s">
        <v>778</v>
      </c>
      <c r="E18" s="80" t="s">
        <v>777</v>
      </c>
      <c r="AN18" s="80">
        <v>5.1609999999999996</v>
      </c>
      <c r="BA18" s="80">
        <v>4.03</v>
      </c>
      <c r="BC18" s="80">
        <v>3.8959999999999999</v>
      </c>
      <c r="BG18" s="80">
        <v>4.5679999999999996</v>
      </c>
      <c r="BJ18" s="80">
        <v>3.5998000000000001</v>
      </c>
      <c r="BN18" s="81">
        <f t="shared" si="0"/>
        <v>3.5998000000000001</v>
      </c>
      <c r="BO18" s="80">
        <f t="shared" si="1"/>
        <v>2016</v>
      </c>
    </row>
    <row r="19" spans="2:67" hidden="1" x14ac:dyDescent="0.75">
      <c r="B19" s="80" t="s">
        <v>316</v>
      </c>
      <c r="C19" s="80" t="s">
        <v>1</v>
      </c>
      <c r="D19" s="80" t="s">
        <v>778</v>
      </c>
      <c r="E19" s="80" t="s">
        <v>777</v>
      </c>
      <c r="AZ19" s="80">
        <v>3.87</v>
      </c>
      <c r="BA19" s="80">
        <v>4.18</v>
      </c>
      <c r="BC19" s="80">
        <v>3.6389999999999998</v>
      </c>
      <c r="BD19" s="80">
        <v>4.7649999999999997</v>
      </c>
      <c r="BI19" s="80">
        <v>4.0128000000000004</v>
      </c>
      <c r="BN19" s="81">
        <f t="shared" si="0"/>
        <v>4.0128000000000004</v>
      </c>
      <c r="BO19" s="80">
        <f t="shared" si="1"/>
        <v>2015</v>
      </c>
    </row>
    <row r="20" spans="2:67" hidden="1" x14ac:dyDescent="0.75">
      <c r="B20" s="80" t="s">
        <v>319</v>
      </c>
      <c r="C20" s="80" t="s">
        <v>320</v>
      </c>
      <c r="D20" s="80" t="s">
        <v>778</v>
      </c>
      <c r="E20" s="80" t="s">
        <v>777</v>
      </c>
      <c r="BI20" s="80">
        <v>2.0922347500097929</v>
      </c>
      <c r="BN20" s="81">
        <f t="shared" si="0"/>
        <v>2.0922347500097929</v>
      </c>
      <c r="BO20" s="80">
        <f t="shared" si="1"/>
        <v>2015</v>
      </c>
    </row>
    <row r="21" spans="2:67" hidden="1" x14ac:dyDescent="0.75">
      <c r="B21" s="80" t="s">
        <v>555</v>
      </c>
      <c r="C21" s="80" t="s">
        <v>2</v>
      </c>
      <c r="D21" s="80" t="s">
        <v>778</v>
      </c>
      <c r="E21" s="80" t="s">
        <v>777</v>
      </c>
      <c r="AJ21" s="80">
        <v>2.7835999999999999</v>
      </c>
      <c r="AK21" s="80">
        <v>3.7679999999999998</v>
      </c>
      <c r="AL21" s="80">
        <v>3.9369999999999998</v>
      </c>
      <c r="AM21" s="80">
        <v>3.7505999999999999</v>
      </c>
      <c r="AN21" s="80">
        <v>3.6526999999999998</v>
      </c>
      <c r="AO21" s="80">
        <v>3.5314999999999999</v>
      </c>
      <c r="AP21" s="80">
        <v>3.52</v>
      </c>
      <c r="AQ21" s="80">
        <v>3.5133000000000001</v>
      </c>
      <c r="AR21" s="80">
        <v>4.3296999999999999</v>
      </c>
      <c r="AS21" s="80">
        <v>3.6139000000000001</v>
      </c>
      <c r="AT21" s="80">
        <v>3.3786</v>
      </c>
      <c r="AU21" s="80">
        <v>3.6920999999999999</v>
      </c>
      <c r="AV21" s="80">
        <v>3.7667999999999999</v>
      </c>
      <c r="AW21" s="80">
        <v>3.9230999999999998</v>
      </c>
      <c r="AX21" s="80">
        <v>3.3357000000000001</v>
      </c>
      <c r="AY21" s="80">
        <v>3.0055000000000001</v>
      </c>
      <c r="AZ21" s="80">
        <v>2.831</v>
      </c>
      <c r="BA21" s="80">
        <v>3.0415999999999999</v>
      </c>
      <c r="BB21" s="80">
        <v>2.8978999999999999</v>
      </c>
      <c r="BC21" s="80">
        <v>3.0200999999999998</v>
      </c>
      <c r="BD21" s="80">
        <v>2.7425000000000002</v>
      </c>
      <c r="BE21" s="80">
        <v>2.9460999999999999</v>
      </c>
      <c r="BF21" s="80">
        <v>3.0914000000000001</v>
      </c>
      <c r="BG21" s="80">
        <v>3.4113000000000002</v>
      </c>
      <c r="BH21" s="80">
        <v>4.0213999999999999</v>
      </c>
      <c r="BI21" s="80">
        <v>5.0419</v>
      </c>
      <c r="BJ21" s="80">
        <v>5.5857000000000001</v>
      </c>
      <c r="BN21" s="81">
        <f t="shared" si="0"/>
        <v>5.5857000000000001</v>
      </c>
      <c r="BO21" s="80">
        <f t="shared" si="1"/>
        <v>2016</v>
      </c>
    </row>
    <row r="22" spans="2:67" hidden="1" x14ac:dyDescent="0.75">
      <c r="B22" s="80" t="s">
        <v>321</v>
      </c>
      <c r="C22" s="80" t="s">
        <v>322</v>
      </c>
      <c r="D22" s="80" t="s">
        <v>778</v>
      </c>
      <c r="E22" s="80" t="s">
        <v>777</v>
      </c>
      <c r="AL22" s="80">
        <v>2.0501999999999998</v>
      </c>
      <c r="AN22" s="80">
        <v>2.1413000000000002</v>
      </c>
      <c r="AR22" s="80">
        <v>0.80020000000000002</v>
      </c>
      <c r="AU22" s="80">
        <v>0.443</v>
      </c>
      <c r="AX22" s="80">
        <v>0.48249999999999998</v>
      </c>
      <c r="BG22" s="80">
        <v>4.2119</v>
      </c>
      <c r="BK22" s="80">
        <v>2.58</v>
      </c>
      <c r="BN22" s="81">
        <f t="shared" si="0"/>
        <v>2.58</v>
      </c>
      <c r="BO22" s="80">
        <f t="shared" si="1"/>
        <v>2017</v>
      </c>
    </row>
    <row r="23" spans="2:67" hidden="1" x14ac:dyDescent="0.75">
      <c r="B23" s="80" t="s">
        <v>234</v>
      </c>
      <c r="C23" s="80" t="s">
        <v>3</v>
      </c>
      <c r="D23" s="80" t="s">
        <v>778</v>
      </c>
      <c r="E23" s="80" t="s">
        <v>777</v>
      </c>
      <c r="AZ23" s="80">
        <v>4.92</v>
      </c>
      <c r="BA23" s="80">
        <v>4.87</v>
      </c>
      <c r="BC23" s="80">
        <v>5.01</v>
      </c>
      <c r="BD23" s="80">
        <v>5.6948999999999996</v>
      </c>
      <c r="BE23" s="80">
        <v>5.7577999999999996</v>
      </c>
      <c r="BF23" s="80">
        <v>5.7434000000000003</v>
      </c>
      <c r="BG23" s="80">
        <v>5.6513</v>
      </c>
      <c r="BH23" s="80">
        <v>5.6093999999999999</v>
      </c>
      <c r="BN23" s="81">
        <f t="shared" si="0"/>
        <v>5.6093999999999999</v>
      </c>
      <c r="BO23" s="80">
        <f t="shared" si="1"/>
        <v>2014</v>
      </c>
    </row>
    <row r="24" spans="2:67" hidden="1" x14ac:dyDescent="0.75">
      <c r="B24" s="80" t="s">
        <v>315</v>
      </c>
      <c r="C24" s="80" t="s">
        <v>193</v>
      </c>
      <c r="D24" s="80" t="s">
        <v>778</v>
      </c>
      <c r="E24" s="80" t="s">
        <v>777</v>
      </c>
      <c r="BN24" s="81" t="str">
        <f t="shared" si="0"/>
        <v>No reported value</v>
      </c>
      <c r="BO24" s="80" t="str">
        <f t="shared" si="1"/>
        <v>No reported value</v>
      </c>
    </row>
    <row r="25" spans="2:67" hidden="1" x14ac:dyDescent="0.75">
      <c r="B25" s="80" t="s">
        <v>317</v>
      </c>
      <c r="C25" s="80" t="s">
        <v>318</v>
      </c>
      <c r="D25" s="80" t="s">
        <v>778</v>
      </c>
      <c r="E25" s="80" t="s">
        <v>777</v>
      </c>
      <c r="AS25" s="80">
        <v>2.8483999999999998</v>
      </c>
      <c r="BA25" s="80">
        <v>3.0306000000000002</v>
      </c>
      <c r="BK25" s="80">
        <v>3.1175999999999999</v>
      </c>
      <c r="BN25" s="81">
        <f t="shared" si="0"/>
        <v>3.1175999999999999</v>
      </c>
      <c r="BO25" s="80">
        <f t="shared" si="1"/>
        <v>2017</v>
      </c>
    </row>
    <row r="26" spans="2:67" hidden="1" x14ac:dyDescent="0.75">
      <c r="B26" s="80" t="s">
        <v>325</v>
      </c>
      <c r="C26" s="80" t="s">
        <v>4</v>
      </c>
      <c r="D26" s="80" t="s">
        <v>778</v>
      </c>
      <c r="E26" s="80" t="s">
        <v>777</v>
      </c>
      <c r="AP26" s="80">
        <v>10.3597</v>
      </c>
      <c r="AU26" s="80">
        <v>9.7484000000000002</v>
      </c>
      <c r="AZ26" s="80">
        <v>10.797000000000001</v>
      </c>
      <c r="BC26" s="80">
        <v>9.2599</v>
      </c>
      <c r="BD26" s="80">
        <v>10.417899999999999</v>
      </c>
      <c r="BE26" s="80">
        <v>10.3775</v>
      </c>
      <c r="BF26" s="80">
        <v>10.1797</v>
      </c>
      <c r="BG26" s="80">
        <v>12.374700000000001</v>
      </c>
      <c r="BH26" s="80">
        <v>12.374700000000001</v>
      </c>
      <c r="BI26" s="80">
        <v>12.466699999999999</v>
      </c>
      <c r="BJ26" s="80">
        <v>12.661199999999999</v>
      </c>
      <c r="BN26" s="81">
        <f t="shared" si="0"/>
        <v>12.661199999999999</v>
      </c>
      <c r="BO26" s="80">
        <f t="shared" si="1"/>
        <v>2016</v>
      </c>
    </row>
    <row r="27" spans="2:67" hidden="1" x14ac:dyDescent="0.75">
      <c r="B27" s="80" t="s">
        <v>326</v>
      </c>
      <c r="C27" s="80" t="s">
        <v>5</v>
      </c>
      <c r="D27" s="80" t="s">
        <v>778</v>
      </c>
      <c r="E27" s="80" t="s">
        <v>777</v>
      </c>
      <c r="AW27" s="80">
        <v>9.3840000000000003</v>
      </c>
      <c r="AZ27" s="80">
        <v>6.55</v>
      </c>
      <c r="BA27" s="80">
        <v>6.6420000000000003</v>
      </c>
      <c r="BB27" s="80">
        <v>7.84</v>
      </c>
      <c r="BD27" s="80">
        <v>7.8120000000000003</v>
      </c>
      <c r="BE27" s="80">
        <v>7.8708</v>
      </c>
      <c r="BF27" s="80">
        <v>8.0608000000000004</v>
      </c>
      <c r="BG27" s="80">
        <v>8.0975000000000001</v>
      </c>
      <c r="BH27" s="80">
        <v>8.2478999999999996</v>
      </c>
      <c r="BI27" s="80">
        <v>8.1758000000000006</v>
      </c>
      <c r="BJ27" s="80">
        <v>8.1777999999999995</v>
      </c>
      <c r="BN27" s="81">
        <f t="shared" si="0"/>
        <v>8.1777999999999995</v>
      </c>
      <c r="BO27" s="80">
        <f t="shared" si="1"/>
        <v>2016</v>
      </c>
    </row>
    <row r="28" spans="2:67" hidden="1" x14ac:dyDescent="0.75">
      <c r="B28" s="80" t="s">
        <v>235</v>
      </c>
      <c r="C28" s="80" t="s">
        <v>6</v>
      </c>
      <c r="D28" s="80" t="s">
        <v>778</v>
      </c>
      <c r="E28" s="80" t="s">
        <v>777</v>
      </c>
      <c r="AZ28" s="80">
        <v>8.41</v>
      </c>
      <c r="BA28" s="80">
        <v>8.42</v>
      </c>
      <c r="BC28" s="80">
        <v>8.3439999999999994</v>
      </c>
      <c r="BD28" s="80">
        <v>8.0505999999999993</v>
      </c>
      <c r="BE28" s="80">
        <v>7.5968999999999998</v>
      </c>
      <c r="BF28" s="80">
        <v>7.3933</v>
      </c>
      <c r="BG28" s="80">
        <v>7.2167000000000003</v>
      </c>
      <c r="BH28" s="80">
        <v>6.9621000000000004</v>
      </c>
      <c r="BN28" s="81">
        <f t="shared" si="0"/>
        <v>6.9621000000000004</v>
      </c>
      <c r="BO28" s="80">
        <f t="shared" si="1"/>
        <v>2014</v>
      </c>
    </row>
    <row r="29" spans="2:67" hidden="1" x14ac:dyDescent="0.75">
      <c r="B29" s="80" t="s">
        <v>186</v>
      </c>
      <c r="C29" s="80" t="s">
        <v>7</v>
      </c>
      <c r="D29" s="80" t="s">
        <v>778</v>
      </c>
      <c r="E29" s="80" t="s">
        <v>777</v>
      </c>
      <c r="AX29" s="80">
        <v>0.18770000000000001</v>
      </c>
      <c r="BD29" s="80">
        <v>0.68130000000000002</v>
      </c>
      <c r="BJ29" s="80">
        <v>0.68</v>
      </c>
      <c r="BN29" s="81">
        <f t="shared" si="0"/>
        <v>0.68</v>
      </c>
      <c r="BO29" s="80">
        <f t="shared" si="1"/>
        <v>2016</v>
      </c>
    </row>
    <row r="30" spans="2:67" hidden="1" x14ac:dyDescent="0.75">
      <c r="B30" s="80" t="s">
        <v>332</v>
      </c>
      <c r="C30" s="80" t="s">
        <v>8</v>
      </c>
      <c r="D30" s="80" t="s">
        <v>778</v>
      </c>
      <c r="E30" s="80" t="s">
        <v>777</v>
      </c>
      <c r="AW30" s="80">
        <v>5.8289999999999997</v>
      </c>
      <c r="AX30" s="80">
        <v>14.2</v>
      </c>
      <c r="BC30" s="80">
        <v>14.1082</v>
      </c>
      <c r="BD30" s="80">
        <v>10.585100000000001</v>
      </c>
      <c r="BE30" s="80">
        <v>10.257</v>
      </c>
      <c r="BF30" s="80">
        <v>10.627700000000001</v>
      </c>
      <c r="BG30" s="80">
        <v>10.910600000000001</v>
      </c>
      <c r="BH30" s="80">
        <v>11.014900000000001</v>
      </c>
      <c r="BI30" s="80">
        <v>10.8193</v>
      </c>
      <c r="BJ30" s="80">
        <v>11.101100000000001</v>
      </c>
      <c r="BN30" s="81">
        <f t="shared" si="0"/>
        <v>11.101100000000001</v>
      </c>
      <c r="BO30" s="80">
        <f t="shared" si="1"/>
        <v>2016</v>
      </c>
    </row>
    <row r="31" spans="2:67" hidden="1" x14ac:dyDescent="0.75">
      <c r="B31" s="80" t="s">
        <v>183</v>
      </c>
      <c r="C31" s="80" t="s">
        <v>9</v>
      </c>
      <c r="D31" s="80" t="s">
        <v>778</v>
      </c>
      <c r="E31" s="80" t="s">
        <v>777</v>
      </c>
      <c r="AX31" s="80">
        <v>0.747</v>
      </c>
      <c r="BB31" s="80">
        <v>0.81969999999999998</v>
      </c>
      <c r="BD31" s="80">
        <v>0.77100000000000002</v>
      </c>
      <c r="BF31" s="80">
        <v>0.68020000000000003</v>
      </c>
      <c r="BG31" s="80">
        <v>0.63170000000000004</v>
      </c>
      <c r="BJ31" s="80">
        <v>0.61450000000000005</v>
      </c>
      <c r="BN31" s="81">
        <f t="shared" si="0"/>
        <v>0.61450000000000005</v>
      </c>
      <c r="BO31" s="80">
        <f t="shared" si="1"/>
        <v>2016</v>
      </c>
    </row>
    <row r="32" spans="2:67" hidden="1" x14ac:dyDescent="0.75">
      <c r="B32" s="80" t="s">
        <v>185</v>
      </c>
      <c r="C32" s="80" t="s">
        <v>10</v>
      </c>
      <c r="D32" s="80" t="s">
        <v>778</v>
      </c>
      <c r="E32" s="80" t="s">
        <v>777</v>
      </c>
      <c r="AX32" s="80">
        <v>0.50319999999999998</v>
      </c>
      <c r="AZ32" s="80">
        <v>0.42399999999999999</v>
      </c>
      <c r="BB32" s="80">
        <v>0.3705</v>
      </c>
      <c r="BC32" s="80">
        <v>0.40450000000000003</v>
      </c>
      <c r="BD32" s="80">
        <v>0.55400000000000005</v>
      </c>
      <c r="BE32" s="80">
        <v>0.45639999999999997</v>
      </c>
      <c r="BF32" s="80">
        <v>0.63119999999999998</v>
      </c>
      <c r="BI32" s="80">
        <v>0.24</v>
      </c>
      <c r="BJ32" s="80">
        <v>0.5696</v>
      </c>
      <c r="BN32" s="81">
        <f t="shared" si="0"/>
        <v>0.5696</v>
      </c>
      <c r="BO32" s="80">
        <f t="shared" si="1"/>
        <v>2016</v>
      </c>
    </row>
    <row r="33" spans="2:67" hidden="1" x14ac:dyDescent="0.75">
      <c r="B33" s="80" t="s">
        <v>240</v>
      </c>
      <c r="C33" s="80" t="s">
        <v>11</v>
      </c>
      <c r="D33" s="80" t="s">
        <v>778</v>
      </c>
      <c r="E33" s="80" t="s">
        <v>777</v>
      </c>
      <c r="AW33" s="80">
        <v>0.26700000000000002</v>
      </c>
      <c r="AY33" s="80">
        <v>0.2752</v>
      </c>
      <c r="AZ33" s="80">
        <v>0.27539999999999998</v>
      </c>
      <c r="BA33" s="80">
        <v>0.15759999999999999</v>
      </c>
      <c r="BB33" s="80">
        <v>0.15740000000000001</v>
      </c>
      <c r="BC33" s="80">
        <v>0.16619999999999999</v>
      </c>
      <c r="BD33" s="80">
        <v>0.17749999999999999</v>
      </c>
      <c r="BE33" s="80">
        <v>0.18740000000000001</v>
      </c>
      <c r="BF33" s="80">
        <v>0.20050000000000001</v>
      </c>
      <c r="BG33" s="80">
        <v>0.19370000000000001</v>
      </c>
      <c r="BH33" s="80">
        <v>0.24809999999999999</v>
      </c>
      <c r="BI33" s="80">
        <v>0.26650000000000001</v>
      </c>
      <c r="BJ33" s="80">
        <v>0.25590000000000002</v>
      </c>
      <c r="BK33" s="80">
        <v>0.30669999999999997</v>
      </c>
      <c r="BN33" s="81">
        <f t="shared" si="0"/>
        <v>0.30669999999999997</v>
      </c>
      <c r="BO33" s="80">
        <f t="shared" si="1"/>
        <v>2017</v>
      </c>
    </row>
    <row r="34" spans="2:67" hidden="1" x14ac:dyDescent="0.75">
      <c r="B34" s="80" t="s">
        <v>341</v>
      </c>
      <c r="C34" s="80" t="s">
        <v>12</v>
      </c>
      <c r="D34" s="80" t="s">
        <v>778</v>
      </c>
      <c r="E34" s="80" t="s">
        <v>777</v>
      </c>
      <c r="AZ34" s="80">
        <v>4.57</v>
      </c>
      <c r="BA34" s="80">
        <v>4.68</v>
      </c>
      <c r="BB34" s="80">
        <v>4.72</v>
      </c>
      <c r="BD34" s="80">
        <v>5.1698000000000004</v>
      </c>
      <c r="BE34" s="80">
        <v>5.1859999999999999</v>
      </c>
      <c r="BF34" s="80">
        <v>5.2858000000000001</v>
      </c>
      <c r="BG34" s="80">
        <v>5.3684000000000003</v>
      </c>
      <c r="BH34" s="80">
        <v>5.3029000000000002</v>
      </c>
      <c r="BN34" s="81">
        <f t="shared" si="0"/>
        <v>5.3029000000000002</v>
      </c>
      <c r="BO34" s="80">
        <f t="shared" si="1"/>
        <v>2014</v>
      </c>
    </row>
    <row r="35" spans="2:67" hidden="1" x14ac:dyDescent="0.75">
      <c r="B35" s="80" t="s">
        <v>328</v>
      </c>
      <c r="C35" s="80" t="s">
        <v>13</v>
      </c>
      <c r="D35" s="80" t="s">
        <v>778</v>
      </c>
      <c r="E35" s="80" t="s">
        <v>777</v>
      </c>
      <c r="AT35" s="80">
        <v>2.9807000000000001</v>
      </c>
      <c r="AU35" s="80">
        <v>3.1049000000000002</v>
      </c>
      <c r="AV35" s="80">
        <v>2.8717000000000001</v>
      </c>
      <c r="AW35" s="80">
        <v>2.8252000000000002</v>
      </c>
      <c r="AY35" s="80">
        <v>2.6867000000000001</v>
      </c>
      <c r="AZ35" s="80">
        <v>2.7181000000000002</v>
      </c>
      <c r="BB35" s="80">
        <v>2.5623999999999998</v>
      </c>
      <c r="BC35" s="80">
        <v>2.5232000000000001</v>
      </c>
      <c r="BD35" s="80">
        <v>2.4594999999999998</v>
      </c>
      <c r="BE35" s="80">
        <v>2.4971000000000001</v>
      </c>
      <c r="BF35" s="80">
        <v>2.4796</v>
      </c>
      <c r="BG35" s="80">
        <v>2.5034000000000001</v>
      </c>
      <c r="BH35" s="80">
        <v>2.4918</v>
      </c>
      <c r="BI35" s="80">
        <v>2.4944000000000002</v>
      </c>
      <c r="BN35" s="81">
        <f t="shared" si="0"/>
        <v>2.4944000000000002</v>
      </c>
      <c r="BO35" s="80">
        <f t="shared" si="1"/>
        <v>2015</v>
      </c>
    </row>
    <row r="36" spans="2:67" hidden="1" x14ac:dyDescent="0.75">
      <c r="B36" s="80" t="s">
        <v>327</v>
      </c>
      <c r="C36" s="80" t="s">
        <v>14</v>
      </c>
      <c r="D36" s="80" t="s">
        <v>778</v>
      </c>
      <c r="E36" s="80" t="s">
        <v>777</v>
      </c>
      <c r="AR36" s="80">
        <v>4.5605000000000002</v>
      </c>
      <c r="BB36" s="80">
        <v>3.9891000000000001</v>
      </c>
      <c r="BE36" s="80">
        <v>3.9771000000000001</v>
      </c>
      <c r="BK36" s="80">
        <v>3.1385999999999998</v>
      </c>
      <c r="BN36" s="81">
        <f t="shared" si="0"/>
        <v>3.1385999999999998</v>
      </c>
      <c r="BO36" s="80">
        <f t="shared" si="1"/>
        <v>2017</v>
      </c>
    </row>
    <row r="37" spans="2:67" hidden="1" x14ac:dyDescent="0.75">
      <c r="B37" s="80" t="s">
        <v>336</v>
      </c>
      <c r="C37" s="80" t="s">
        <v>15</v>
      </c>
      <c r="D37" s="80" t="s">
        <v>778</v>
      </c>
      <c r="E37" s="80" t="s">
        <v>777</v>
      </c>
      <c r="AY37" s="80">
        <v>4.6900000000000004</v>
      </c>
      <c r="BC37" s="80">
        <v>5.0419999999999998</v>
      </c>
      <c r="BD37" s="80">
        <v>5.7923999999999998</v>
      </c>
      <c r="BE37" s="80">
        <v>5.8996000000000004</v>
      </c>
      <c r="BF37" s="80">
        <v>6.1680000000000001</v>
      </c>
      <c r="BG37" s="80">
        <v>6.1170999999999998</v>
      </c>
      <c r="BH37" s="80">
        <v>6.2998000000000003</v>
      </c>
      <c r="BN37" s="81">
        <f t="shared" si="0"/>
        <v>6.2998000000000003</v>
      </c>
      <c r="BO37" s="80">
        <f t="shared" si="1"/>
        <v>2014</v>
      </c>
    </row>
    <row r="38" spans="2:67" hidden="1" x14ac:dyDescent="0.75">
      <c r="B38" s="80" t="s">
        <v>331</v>
      </c>
      <c r="C38" s="80" t="s">
        <v>16</v>
      </c>
      <c r="D38" s="80" t="s">
        <v>778</v>
      </c>
      <c r="E38" s="80" t="s">
        <v>777</v>
      </c>
      <c r="AZ38" s="80">
        <v>12.51</v>
      </c>
      <c r="BA38" s="80">
        <v>12.56</v>
      </c>
      <c r="BC38" s="80">
        <v>9.1006</v>
      </c>
      <c r="BD38" s="80">
        <v>11.070499999999999</v>
      </c>
      <c r="BE38" s="80">
        <v>11.061999999999999</v>
      </c>
      <c r="BF38" s="80">
        <v>11.371700000000001</v>
      </c>
      <c r="BG38" s="80">
        <v>11.305</v>
      </c>
      <c r="BH38" s="80">
        <v>11.4383</v>
      </c>
      <c r="BN38" s="81">
        <f t="shared" si="0"/>
        <v>11.4383</v>
      </c>
      <c r="BO38" s="80">
        <f t="shared" si="1"/>
        <v>2014</v>
      </c>
    </row>
    <row r="39" spans="2:67" hidden="1" x14ac:dyDescent="0.75">
      <c r="B39" s="80" t="s">
        <v>333</v>
      </c>
      <c r="C39" s="80" t="s">
        <v>17</v>
      </c>
      <c r="D39" s="80" t="s">
        <v>778</v>
      </c>
      <c r="E39" s="80" t="s">
        <v>777</v>
      </c>
      <c r="AT39" s="80">
        <v>1.2252000000000001</v>
      </c>
      <c r="BC39" s="80">
        <v>1.8159000000000001</v>
      </c>
      <c r="BD39" s="80">
        <v>1.9590000000000001</v>
      </c>
      <c r="BF39" s="80">
        <v>1.1077999999999999</v>
      </c>
      <c r="BK39" s="80">
        <v>1.6947000000000001</v>
      </c>
      <c r="BN39" s="81">
        <f t="shared" si="0"/>
        <v>1.6947000000000001</v>
      </c>
      <c r="BO39" s="80">
        <f t="shared" si="1"/>
        <v>2017</v>
      </c>
    </row>
    <row r="40" spans="2:67" hidden="1" x14ac:dyDescent="0.75">
      <c r="B40" s="80" t="s">
        <v>334</v>
      </c>
      <c r="C40" s="80" t="s">
        <v>335</v>
      </c>
      <c r="D40" s="80" t="s">
        <v>778</v>
      </c>
      <c r="E40" s="80" t="s">
        <v>777</v>
      </c>
      <c r="BN40" s="81" t="str">
        <f t="shared" si="0"/>
        <v>No reported value</v>
      </c>
      <c r="BO40" s="80" t="str">
        <f t="shared" si="1"/>
        <v>No reported value</v>
      </c>
    </row>
    <row r="41" spans="2:67" hidden="1" x14ac:dyDescent="0.75">
      <c r="B41" s="80" t="s">
        <v>219</v>
      </c>
      <c r="C41" s="80" t="s">
        <v>18</v>
      </c>
      <c r="D41" s="80" t="s">
        <v>778</v>
      </c>
      <c r="E41" s="80" t="s">
        <v>777</v>
      </c>
      <c r="AU41" s="80">
        <v>2.1293000000000002</v>
      </c>
      <c r="BA41" s="80">
        <v>0.6159</v>
      </c>
      <c r="BD41" s="80">
        <v>0.84350000000000003</v>
      </c>
      <c r="BE41" s="80">
        <v>1.006</v>
      </c>
      <c r="BJ41" s="80">
        <v>0.73570000000000002</v>
      </c>
      <c r="BN41" s="81">
        <f t="shared" si="0"/>
        <v>0.73570000000000002</v>
      </c>
      <c r="BO41" s="80">
        <f t="shared" si="1"/>
        <v>2016</v>
      </c>
    </row>
    <row r="42" spans="2:67" hidden="1" x14ac:dyDescent="0.75">
      <c r="B42" s="80" t="s">
        <v>337</v>
      </c>
      <c r="C42" s="80" t="s">
        <v>19</v>
      </c>
      <c r="D42" s="80" t="s">
        <v>778</v>
      </c>
      <c r="E42" s="80" t="s">
        <v>777</v>
      </c>
      <c r="AJ42" s="80">
        <v>0.94730000000000003</v>
      </c>
      <c r="AK42" s="80">
        <v>3.1850000000000001</v>
      </c>
      <c r="AL42" s="80">
        <v>1.1429</v>
      </c>
      <c r="AM42" s="80">
        <v>1.2619</v>
      </c>
      <c r="AN42" s="80">
        <v>1.4141999999999999</v>
      </c>
      <c r="AO42" s="80">
        <v>1.5734999999999999</v>
      </c>
      <c r="AP42" s="80">
        <v>1.8411</v>
      </c>
      <c r="AQ42" s="80">
        <v>2.0512999999999999</v>
      </c>
      <c r="AR42" s="80">
        <v>2.2692000000000001</v>
      </c>
      <c r="AS42" s="80">
        <v>2.5352999999999999</v>
      </c>
      <c r="AT42" s="80">
        <v>3.7602000000000002</v>
      </c>
      <c r="AU42" s="80">
        <v>2.9803999999999999</v>
      </c>
      <c r="AV42" s="80">
        <v>3.3654999999999999</v>
      </c>
      <c r="AW42" s="80">
        <v>3.6461000000000001</v>
      </c>
      <c r="AX42" s="80">
        <v>3.7138</v>
      </c>
      <c r="AY42" s="80">
        <v>3.7654000000000001</v>
      </c>
      <c r="AZ42" s="80">
        <v>3.7603</v>
      </c>
      <c r="BA42" s="80">
        <v>6.5111999999999997</v>
      </c>
      <c r="BB42" s="80">
        <v>6.4452999999999996</v>
      </c>
      <c r="BD42" s="80">
        <v>7.3497000000000003</v>
      </c>
      <c r="BG42" s="80">
        <v>7.5122</v>
      </c>
      <c r="BK42" s="80">
        <v>5.9551999999999996</v>
      </c>
      <c r="BL42" s="80">
        <v>9.7082999999999995</v>
      </c>
      <c r="BN42" s="81">
        <f t="shared" si="0"/>
        <v>9.7082999999999995</v>
      </c>
      <c r="BO42" s="80">
        <f t="shared" si="1"/>
        <v>2018</v>
      </c>
    </row>
    <row r="43" spans="2:67" hidden="1" x14ac:dyDescent="0.75">
      <c r="B43" s="80" t="s">
        <v>329</v>
      </c>
      <c r="C43" s="80" t="s">
        <v>330</v>
      </c>
      <c r="D43" s="80" t="s">
        <v>778</v>
      </c>
      <c r="E43" s="80" t="s">
        <v>777</v>
      </c>
      <c r="AO43" s="80">
        <v>5.1321000000000003</v>
      </c>
      <c r="AS43" s="80">
        <v>3.7</v>
      </c>
      <c r="AT43" s="80">
        <v>5.8635999999999999</v>
      </c>
      <c r="AU43" s="80">
        <v>5.8367000000000004</v>
      </c>
      <c r="AY43" s="80">
        <v>4.7847</v>
      </c>
      <c r="BD43" s="80">
        <v>4.8559999999999999</v>
      </c>
      <c r="BK43" s="80">
        <v>6.0273000000000003</v>
      </c>
      <c r="BN43" s="81">
        <f t="shared" si="0"/>
        <v>6.0273000000000003</v>
      </c>
      <c r="BO43" s="80">
        <f t="shared" si="1"/>
        <v>2017</v>
      </c>
    </row>
    <row r="44" spans="2:67" hidden="1" x14ac:dyDescent="0.75">
      <c r="B44" s="80" t="s">
        <v>340</v>
      </c>
      <c r="C44" s="80" t="s">
        <v>20</v>
      </c>
      <c r="D44" s="80" t="s">
        <v>778</v>
      </c>
      <c r="E44" s="80" t="s">
        <v>777</v>
      </c>
      <c r="AT44" s="80">
        <v>3.8896000000000002</v>
      </c>
      <c r="AV44" s="80">
        <v>6.1113</v>
      </c>
      <c r="AX44" s="80">
        <v>5.3547000000000002</v>
      </c>
      <c r="AY44" s="80">
        <v>5.4928999999999997</v>
      </c>
      <c r="AZ44" s="80">
        <v>5.32</v>
      </c>
      <c r="BA44" s="80">
        <v>5.1079999999999997</v>
      </c>
      <c r="BB44" s="80">
        <v>5.1173000000000002</v>
      </c>
      <c r="BC44" s="80">
        <v>5.1224999999999996</v>
      </c>
      <c r="BD44" s="80">
        <v>7.4787999999999997</v>
      </c>
      <c r="BE44" s="80">
        <v>7.9645000000000001</v>
      </c>
      <c r="BF44" s="80">
        <v>8.2887000000000004</v>
      </c>
      <c r="BG44" s="80">
        <v>7.508</v>
      </c>
      <c r="BH44" s="80">
        <v>6.4852999999999996</v>
      </c>
      <c r="BI44" s="80">
        <v>6.6012000000000004</v>
      </c>
      <c r="BN44" s="81">
        <f t="shared" si="0"/>
        <v>6.6012000000000004</v>
      </c>
      <c r="BO44" s="80">
        <f t="shared" si="1"/>
        <v>2015</v>
      </c>
    </row>
    <row r="45" spans="2:67" hidden="1" x14ac:dyDescent="0.75">
      <c r="B45" s="80" t="s">
        <v>241</v>
      </c>
      <c r="C45" s="80" t="s">
        <v>21</v>
      </c>
      <c r="D45" s="80" t="s">
        <v>778</v>
      </c>
      <c r="E45" s="80" t="s">
        <v>777</v>
      </c>
      <c r="AX45" s="80">
        <v>0.80430000000000001</v>
      </c>
      <c r="BA45" s="80">
        <v>0.79330000000000001</v>
      </c>
      <c r="BB45" s="80">
        <v>0.95009999999999994</v>
      </c>
      <c r="BD45" s="80">
        <v>0.24099999999999999</v>
      </c>
      <c r="BF45" s="80">
        <v>0.97740000000000005</v>
      </c>
      <c r="BG45" s="80">
        <v>1.0444</v>
      </c>
      <c r="BH45" s="80">
        <v>1.2324999999999999</v>
      </c>
      <c r="BI45" s="80">
        <v>1.3589</v>
      </c>
      <c r="BJ45" s="80">
        <v>1.4151</v>
      </c>
      <c r="BK45" s="80">
        <v>1.5094000000000001</v>
      </c>
      <c r="BN45" s="81">
        <f t="shared" si="0"/>
        <v>1.5094000000000001</v>
      </c>
      <c r="BO45" s="80">
        <f t="shared" si="1"/>
        <v>2017</v>
      </c>
    </row>
    <row r="46" spans="2:67" hidden="1" x14ac:dyDescent="0.75">
      <c r="B46" s="80" t="s">
        <v>184</v>
      </c>
      <c r="C46" s="80" t="s">
        <v>22</v>
      </c>
      <c r="D46" s="80" t="s">
        <v>778</v>
      </c>
      <c r="E46" s="80" t="s">
        <v>777</v>
      </c>
      <c r="AR46" s="80">
        <v>2.5545</v>
      </c>
      <c r="AS46" s="80">
        <v>2.9365999999999999</v>
      </c>
      <c r="AT46" s="80">
        <v>2.4990000000000001</v>
      </c>
      <c r="AU46" s="80">
        <v>2.2759</v>
      </c>
      <c r="AV46" s="80">
        <v>2.3292000000000002</v>
      </c>
      <c r="AW46" s="80">
        <v>2.4662999999999999</v>
      </c>
      <c r="AX46" s="80">
        <v>2.5983000000000001</v>
      </c>
      <c r="AY46" s="80">
        <v>2.4076</v>
      </c>
      <c r="AZ46" s="80">
        <v>2.6568000000000001</v>
      </c>
      <c r="BA46" s="80">
        <v>3.0114000000000001</v>
      </c>
      <c r="BB46" s="80">
        <v>2.8853</v>
      </c>
      <c r="BC46" s="80">
        <v>2.9375</v>
      </c>
      <c r="BD46" s="80">
        <v>2.8864999999999998</v>
      </c>
      <c r="BE46" s="80">
        <v>2.8353000000000002</v>
      </c>
      <c r="BF46" s="80">
        <v>2.7837000000000001</v>
      </c>
      <c r="BJ46" s="80">
        <v>3.3003999999999998</v>
      </c>
      <c r="BN46" s="81">
        <f t="shared" si="0"/>
        <v>3.3003999999999998</v>
      </c>
      <c r="BO46" s="80">
        <f t="shared" si="1"/>
        <v>2016</v>
      </c>
    </row>
    <row r="47" spans="2:67" hidden="1" x14ac:dyDescent="0.75">
      <c r="B47" s="80" t="s">
        <v>188</v>
      </c>
      <c r="C47" s="80" t="s">
        <v>173</v>
      </c>
      <c r="D47" s="80" t="s">
        <v>778</v>
      </c>
      <c r="E47" s="80" t="s">
        <v>777</v>
      </c>
      <c r="AX47" s="80">
        <v>0.39779999999999999</v>
      </c>
      <c r="BB47" s="80">
        <v>0.19220000000000001</v>
      </c>
      <c r="BC47" s="80">
        <v>0.24909999999999999</v>
      </c>
      <c r="BI47" s="80">
        <v>0.2039</v>
      </c>
      <c r="BN47" s="81">
        <f t="shared" si="0"/>
        <v>0.2039</v>
      </c>
      <c r="BO47" s="80">
        <f t="shared" si="1"/>
        <v>2015</v>
      </c>
    </row>
    <row r="48" spans="2:67" hidden="1" x14ac:dyDescent="0.75">
      <c r="B48" s="80" t="s">
        <v>343</v>
      </c>
      <c r="C48" s="80" t="s">
        <v>159</v>
      </c>
      <c r="D48" s="80" t="s">
        <v>778</v>
      </c>
      <c r="E48" s="80" t="s">
        <v>777</v>
      </c>
      <c r="AR48" s="80">
        <v>10.1846</v>
      </c>
      <c r="AU48" s="80">
        <v>10.0115</v>
      </c>
      <c r="AV48" s="80">
        <v>9.4707000000000008</v>
      </c>
      <c r="AX48" s="80">
        <v>9.9067000000000007</v>
      </c>
      <c r="AY48" s="80">
        <v>9.9466999999999999</v>
      </c>
      <c r="AZ48" s="80">
        <v>10.0236</v>
      </c>
      <c r="BA48" s="80">
        <v>10.120799999999999</v>
      </c>
      <c r="BB48" s="80">
        <v>10.289</v>
      </c>
      <c r="BC48" s="80">
        <v>10.3743</v>
      </c>
      <c r="BD48" s="80">
        <v>9.3232999999999997</v>
      </c>
      <c r="BE48" s="80">
        <v>9.2368000000000006</v>
      </c>
      <c r="BF48" s="80">
        <v>9.3473000000000006</v>
      </c>
      <c r="BG48" s="80">
        <v>9.4899000000000004</v>
      </c>
      <c r="BH48" s="80">
        <v>9.7637999999999998</v>
      </c>
      <c r="BI48" s="80">
        <v>9.8398000000000003</v>
      </c>
      <c r="BJ48" s="80">
        <v>9.9055999999999997</v>
      </c>
      <c r="BN48" s="81">
        <f t="shared" si="0"/>
        <v>9.9055999999999997</v>
      </c>
      <c r="BO48" s="80">
        <f t="shared" si="1"/>
        <v>2016</v>
      </c>
    </row>
    <row r="49" spans="2:67" hidden="1" x14ac:dyDescent="0.75">
      <c r="B49" s="80" t="s">
        <v>348</v>
      </c>
      <c r="C49" s="80" t="s">
        <v>349</v>
      </c>
      <c r="D49" s="80" t="s">
        <v>778</v>
      </c>
      <c r="E49" s="80" t="s">
        <v>777</v>
      </c>
      <c r="BI49" s="80">
        <v>6.538384862419675</v>
      </c>
      <c r="BN49" s="81">
        <f t="shared" si="0"/>
        <v>6.538384862419675</v>
      </c>
      <c r="BO49" s="80">
        <f t="shared" si="1"/>
        <v>2015</v>
      </c>
    </row>
    <row r="50" spans="2:67" hidden="1" x14ac:dyDescent="0.75">
      <c r="B50" s="80" t="s">
        <v>545</v>
      </c>
      <c r="C50" s="80" t="s">
        <v>23</v>
      </c>
      <c r="D50" s="80" t="s">
        <v>778</v>
      </c>
      <c r="E50" s="80" t="s">
        <v>777</v>
      </c>
      <c r="BB50" s="80">
        <v>15.96</v>
      </c>
      <c r="BD50" s="80">
        <v>16.584700000000002</v>
      </c>
      <c r="BE50" s="80">
        <v>17.151700000000002</v>
      </c>
      <c r="BF50" s="80">
        <v>17.1995</v>
      </c>
      <c r="BG50" s="80">
        <v>16.131499999999999</v>
      </c>
      <c r="BH50" s="80">
        <v>16.373899999999999</v>
      </c>
      <c r="BI50" s="80">
        <v>16.815200000000001</v>
      </c>
      <c r="BJ50" s="80">
        <v>17.282800000000002</v>
      </c>
      <c r="BN50" s="81">
        <f t="shared" si="0"/>
        <v>17.282800000000002</v>
      </c>
      <c r="BO50" s="80">
        <f t="shared" si="1"/>
        <v>2016</v>
      </c>
    </row>
    <row r="51" spans="2:67" hidden="1" x14ac:dyDescent="0.75">
      <c r="B51" s="80" t="s">
        <v>350</v>
      </c>
      <c r="C51" s="80" t="s">
        <v>351</v>
      </c>
      <c r="D51" s="80" t="s">
        <v>778</v>
      </c>
      <c r="E51" s="80" t="s">
        <v>777</v>
      </c>
      <c r="BN51" s="81" t="str">
        <f t="shared" si="0"/>
        <v>No reported value</v>
      </c>
      <c r="BO51" s="80" t="str">
        <f t="shared" si="1"/>
        <v>No reported value</v>
      </c>
    </row>
    <row r="52" spans="2:67" hidden="1" x14ac:dyDescent="0.75">
      <c r="B52" s="80" t="s">
        <v>220</v>
      </c>
      <c r="C52" s="80" t="s">
        <v>24</v>
      </c>
      <c r="D52" s="80" t="s">
        <v>778</v>
      </c>
      <c r="E52" s="80" t="s">
        <v>777</v>
      </c>
      <c r="AL52" s="80">
        <v>4.5419999999999998</v>
      </c>
      <c r="AV52" s="80">
        <v>0.1142</v>
      </c>
      <c r="AW52" s="80">
        <v>0.13020000000000001</v>
      </c>
      <c r="AX52" s="80">
        <v>0.13070000000000001</v>
      </c>
      <c r="AY52" s="80">
        <v>0.13020000000000001</v>
      </c>
      <c r="AZ52" s="80">
        <v>0.14280000000000001</v>
      </c>
      <c r="BA52" s="80">
        <v>0.14119999999999999</v>
      </c>
      <c r="BB52" s="80">
        <v>0.1467</v>
      </c>
      <c r="BC52" s="80">
        <v>0.1452</v>
      </c>
      <c r="BJ52" s="80">
        <v>0.86</v>
      </c>
      <c r="BN52" s="81">
        <f t="shared" si="0"/>
        <v>0.86</v>
      </c>
      <c r="BO52" s="80">
        <f t="shared" si="1"/>
        <v>2016</v>
      </c>
    </row>
    <row r="53" spans="2:67" hidden="1" x14ac:dyDescent="0.75">
      <c r="B53" s="80" t="s">
        <v>352</v>
      </c>
      <c r="C53" s="80" t="s">
        <v>25</v>
      </c>
      <c r="D53" s="80" t="s">
        <v>778</v>
      </c>
      <c r="E53" s="80" t="s">
        <v>777</v>
      </c>
      <c r="AJ53" s="80">
        <v>0.82689999999999997</v>
      </c>
      <c r="AO53" s="80">
        <v>0.90310000000000001</v>
      </c>
      <c r="AP53" s="80">
        <v>0.92520000000000002</v>
      </c>
      <c r="AQ53" s="80">
        <v>0.9466</v>
      </c>
      <c r="AR53" s="80">
        <v>0.95650000000000002</v>
      </c>
      <c r="AS53" s="80">
        <v>0.97070000000000001</v>
      </c>
      <c r="AT53" s="80">
        <v>0.98180000000000001</v>
      </c>
      <c r="AU53" s="80">
        <v>1.083</v>
      </c>
      <c r="AV53" s="80">
        <v>0.9546</v>
      </c>
      <c r="AW53" s="80">
        <v>0.9637</v>
      </c>
      <c r="AX53" s="80">
        <v>0.99029999999999996</v>
      </c>
      <c r="AY53" s="80">
        <v>1.0155000000000001</v>
      </c>
      <c r="AZ53" s="80">
        <v>1.0671999999999999</v>
      </c>
      <c r="BA53" s="80">
        <v>1.1597</v>
      </c>
      <c r="BB53" s="80">
        <v>1.2413000000000001</v>
      </c>
      <c r="BC53" s="80">
        <v>1.3643000000000001</v>
      </c>
      <c r="BD53" s="80">
        <v>1.4979</v>
      </c>
      <c r="BE53" s="80">
        <v>1.6318999999999999</v>
      </c>
      <c r="BF53" s="80">
        <v>1.8053999999999999</v>
      </c>
      <c r="BG53" s="80">
        <v>2.0015000000000001</v>
      </c>
      <c r="BH53" s="80">
        <v>2.1490999999999998</v>
      </c>
      <c r="BI53" s="80">
        <v>2.3073000000000001</v>
      </c>
      <c r="BN53" s="81">
        <f t="shared" si="0"/>
        <v>2.3073000000000001</v>
      </c>
      <c r="BO53" s="80">
        <f t="shared" si="1"/>
        <v>2015</v>
      </c>
    </row>
    <row r="54" spans="2:67" hidden="1" x14ac:dyDescent="0.75">
      <c r="B54" s="80" t="s">
        <v>358</v>
      </c>
      <c r="C54" s="80" t="s">
        <v>26</v>
      </c>
      <c r="D54" s="80" t="s">
        <v>778</v>
      </c>
      <c r="E54" s="80" t="s">
        <v>777</v>
      </c>
      <c r="AX54" s="80">
        <v>0.56559999999999999</v>
      </c>
      <c r="AY54" s="80">
        <v>0.49020000000000002</v>
      </c>
      <c r="BB54" s="80">
        <v>0.47339999999999999</v>
      </c>
      <c r="BD54" s="80">
        <v>0.48299999999999998</v>
      </c>
      <c r="BE54" s="80">
        <v>0.46489999999999998</v>
      </c>
      <c r="BH54" s="80">
        <v>0.85170000000000001</v>
      </c>
      <c r="BN54" s="81">
        <f t="shared" si="0"/>
        <v>0.85170000000000001</v>
      </c>
      <c r="BO54" s="80">
        <f t="shared" si="1"/>
        <v>2014</v>
      </c>
    </row>
    <row r="55" spans="2:67" hidden="1" x14ac:dyDescent="0.75">
      <c r="B55" s="80" t="s">
        <v>187</v>
      </c>
      <c r="C55" s="80" t="s">
        <v>27</v>
      </c>
      <c r="D55" s="80" t="s">
        <v>778</v>
      </c>
      <c r="E55" s="80" t="s">
        <v>777</v>
      </c>
      <c r="AX55" s="80">
        <v>1.5356000000000001</v>
      </c>
      <c r="AY55" s="80">
        <v>0.38490000000000002</v>
      </c>
      <c r="BA55" s="80">
        <v>0.44719999999999999</v>
      </c>
      <c r="BC55" s="80">
        <v>0.39240000000000003</v>
      </c>
      <c r="BD55" s="80">
        <v>0.53649999999999998</v>
      </c>
      <c r="BE55" s="80">
        <v>0.93369999999999997</v>
      </c>
      <c r="BN55" s="81">
        <f t="shared" si="0"/>
        <v>0.93369999999999997</v>
      </c>
      <c r="BO55" s="80">
        <f t="shared" si="1"/>
        <v>2011</v>
      </c>
    </row>
    <row r="56" spans="2:67" hidden="1" x14ac:dyDescent="0.75">
      <c r="B56" s="80" t="s">
        <v>355</v>
      </c>
      <c r="C56" s="80" t="s">
        <v>28</v>
      </c>
      <c r="D56" s="80" t="s">
        <v>778</v>
      </c>
      <c r="E56" s="80" t="s">
        <v>777</v>
      </c>
      <c r="AX56" s="80">
        <v>0.52900000000000003</v>
      </c>
      <c r="BC56" s="80">
        <v>0.41</v>
      </c>
      <c r="BG56" s="80">
        <v>0.47</v>
      </c>
      <c r="BN56" s="81">
        <f t="shared" si="0"/>
        <v>0.47</v>
      </c>
      <c r="BO56" s="80">
        <f t="shared" si="1"/>
        <v>2013</v>
      </c>
    </row>
    <row r="57" spans="2:67" hidden="1" x14ac:dyDescent="0.75">
      <c r="B57" s="80" t="s">
        <v>356</v>
      </c>
      <c r="C57" s="80" t="s">
        <v>29</v>
      </c>
      <c r="D57" s="80" t="s">
        <v>778</v>
      </c>
      <c r="E57" s="80" t="s">
        <v>777</v>
      </c>
      <c r="AX57" s="80">
        <v>1.0185</v>
      </c>
      <c r="AZ57" s="80">
        <v>1.3666</v>
      </c>
      <c r="BA57" s="80">
        <v>0.87819999999999998</v>
      </c>
      <c r="BD57" s="80">
        <v>0.82399999999999995</v>
      </c>
      <c r="BE57" s="80">
        <v>1.7431000000000001</v>
      </c>
      <c r="BN57" s="81">
        <f t="shared" si="0"/>
        <v>1.7431000000000001</v>
      </c>
      <c r="BO57" s="80">
        <f t="shared" si="1"/>
        <v>2011</v>
      </c>
    </row>
    <row r="58" spans="2:67" hidden="1" x14ac:dyDescent="0.75">
      <c r="B58" s="80" t="s">
        <v>353</v>
      </c>
      <c r="C58" s="80" t="s">
        <v>354</v>
      </c>
      <c r="D58" s="80" t="s">
        <v>778</v>
      </c>
      <c r="E58" s="80" t="s">
        <v>777</v>
      </c>
      <c r="AJ58" s="80">
        <v>0.40910000000000002</v>
      </c>
      <c r="AK58" s="80">
        <v>0.42080000000000001</v>
      </c>
      <c r="AL58" s="80">
        <v>0.43149999999999999</v>
      </c>
      <c r="AM58" s="80">
        <v>0.44219999999999998</v>
      </c>
      <c r="AN58" s="80">
        <v>0.45450000000000002</v>
      </c>
      <c r="AO58" s="80">
        <v>0.46629999999999999</v>
      </c>
      <c r="AP58" s="80">
        <v>0.4778</v>
      </c>
      <c r="AQ58" s="80">
        <v>0.48649999999999999</v>
      </c>
      <c r="AR58" s="80">
        <v>0.50960000000000005</v>
      </c>
      <c r="AS58" s="80">
        <v>0.52600000000000002</v>
      </c>
      <c r="AU58" s="80">
        <v>0.55130000000000001</v>
      </c>
      <c r="AV58" s="80">
        <v>0.57589999999999997</v>
      </c>
      <c r="AW58" s="80">
        <v>0.57420000000000004</v>
      </c>
      <c r="AX58" s="80">
        <v>0.58560000000000001</v>
      </c>
      <c r="AY58" s="80">
        <v>0.59709999999999996</v>
      </c>
      <c r="AZ58" s="80">
        <v>0.60870000000000002</v>
      </c>
      <c r="BA58" s="80">
        <v>0.62029999999999996</v>
      </c>
      <c r="BB58" s="80">
        <v>0.6321</v>
      </c>
      <c r="BC58" s="80">
        <v>0.64400000000000002</v>
      </c>
      <c r="BD58" s="80">
        <v>0.65590000000000004</v>
      </c>
      <c r="BE58" s="80">
        <v>0.91139999999999999</v>
      </c>
      <c r="BF58" s="80">
        <v>0.96709999999999996</v>
      </c>
      <c r="BG58" s="80">
        <v>1.0239</v>
      </c>
      <c r="BH58" s="80">
        <v>1.0794999999999999</v>
      </c>
      <c r="BI58" s="80">
        <v>1.1399999999999999</v>
      </c>
      <c r="BJ58" s="80">
        <v>1.2018</v>
      </c>
      <c r="BK58" s="80">
        <v>1.2626999999999999</v>
      </c>
      <c r="BN58" s="81">
        <f t="shared" si="0"/>
        <v>1.2626999999999999</v>
      </c>
      <c r="BO58" s="80">
        <f t="shared" si="1"/>
        <v>2017</v>
      </c>
    </row>
    <row r="59" spans="2:67" hidden="1" x14ac:dyDescent="0.75">
      <c r="B59" s="80" t="s">
        <v>190</v>
      </c>
      <c r="C59" s="80" t="s">
        <v>157</v>
      </c>
      <c r="D59" s="80" t="s">
        <v>778</v>
      </c>
      <c r="E59" s="80" t="s">
        <v>777</v>
      </c>
      <c r="AX59" s="80">
        <v>0.98460000000000003</v>
      </c>
      <c r="AY59" s="80">
        <v>0.5625</v>
      </c>
      <c r="BC59" s="80">
        <v>0.70250000000000001</v>
      </c>
      <c r="BF59" s="80">
        <v>0.9214</v>
      </c>
      <c r="BN59" s="81">
        <f t="shared" si="0"/>
        <v>0.9214</v>
      </c>
      <c r="BO59" s="80">
        <f t="shared" si="1"/>
        <v>2012</v>
      </c>
    </row>
    <row r="60" spans="2:67" hidden="1" x14ac:dyDescent="0.75">
      <c r="B60" s="80" t="s">
        <v>342</v>
      </c>
      <c r="C60" s="80" t="s">
        <v>30</v>
      </c>
      <c r="D60" s="80" t="s">
        <v>778</v>
      </c>
      <c r="E60" s="80" t="s">
        <v>777</v>
      </c>
      <c r="AX60" s="80">
        <v>0.874</v>
      </c>
      <c r="BC60" s="80">
        <v>0.998</v>
      </c>
      <c r="BD60" s="80">
        <v>1.0808</v>
      </c>
      <c r="BE60" s="80">
        <v>1.0687</v>
      </c>
      <c r="BF60" s="80">
        <v>1.0720000000000001</v>
      </c>
      <c r="BG60" s="80">
        <v>1.1420999999999999</v>
      </c>
      <c r="BI60" s="80">
        <v>1.2272000000000001</v>
      </c>
      <c r="BN60" s="81">
        <f t="shared" si="0"/>
        <v>1.2272000000000001</v>
      </c>
      <c r="BO60" s="80">
        <f t="shared" si="1"/>
        <v>2015</v>
      </c>
    </row>
    <row r="61" spans="2:67" hidden="1" x14ac:dyDescent="0.75">
      <c r="B61" s="80" t="s">
        <v>357</v>
      </c>
      <c r="C61" s="80" t="s">
        <v>31</v>
      </c>
      <c r="D61" s="80" t="s">
        <v>778</v>
      </c>
      <c r="E61" s="80" t="s">
        <v>777</v>
      </c>
      <c r="AT61" s="80">
        <v>0.93059999999999998</v>
      </c>
      <c r="BG61" s="80">
        <v>0.79569999999999996</v>
      </c>
      <c r="BN61" s="81">
        <f t="shared" si="0"/>
        <v>0.79569999999999996</v>
      </c>
      <c r="BO61" s="80">
        <f t="shared" si="1"/>
        <v>2013</v>
      </c>
    </row>
    <row r="62" spans="2:67" hidden="1" x14ac:dyDescent="0.75">
      <c r="B62" s="80" t="s">
        <v>344</v>
      </c>
      <c r="C62" s="80" t="s">
        <v>345</v>
      </c>
      <c r="D62" s="80" t="s">
        <v>778</v>
      </c>
      <c r="E62" s="80" t="s">
        <v>777</v>
      </c>
      <c r="BI62" s="80">
        <v>2.3199774630542551</v>
      </c>
      <c r="BN62" s="81">
        <f t="shared" si="0"/>
        <v>2.3199774630542551</v>
      </c>
      <c r="BO62" s="80">
        <f t="shared" si="1"/>
        <v>2015</v>
      </c>
    </row>
    <row r="63" spans="2:67" hidden="1" x14ac:dyDescent="0.75">
      <c r="B63" s="80" t="s">
        <v>221</v>
      </c>
      <c r="C63" s="80" t="s">
        <v>161</v>
      </c>
      <c r="D63" s="80" t="s">
        <v>778</v>
      </c>
      <c r="E63" s="80" t="s">
        <v>777</v>
      </c>
      <c r="AV63" s="80">
        <v>7.4772999999999996</v>
      </c>
      <c r="BA63" s="80">
        <v>8.6519999999999992</v>
      </c>
      <c r="BD63" s="80">
        <v>9.0897000000000006</v>
      </c>
      <c r="BF63" s="80">
        <v>8.0943000000000005</v>
      </c>
      <c r="BG63" s="80">
        <v>7.7428999999999997</v>
      </c>
      <c r="BH63" s="80">
        <v>7.9340999999999999</v>
      </c>
      <c r="BK63" s="80">
        <v>7.79</v>
      </c>
      <c r="BN63" s="81">
        <f t="shared" si="0"/>
        <v>7.79</v>
      </c>
      <c r="BO63" s="80">
        <f t="shared" si="1"/>
        <v>2017</v>
      </c>
    </row>
    <row r="64" spans="2:67" hidden="1" x14ac:dyDescent="0.75">
      <c r="B64" s="80" t="s">
        <v>360</v>
      </c>
      <c r="C64" s="80" t="s">
        <v>361</v>
      </c>
      <c r="D64" s="80" t="s">
        <v>778</v>
      </c>
      <c r="E64" s="80" t="s">
        <v>777</v>
      </c>
      <c r="BN64" s="81" t="str">
        <f t="shared" si="0"/>
        <v>No reported value</v>
      </c>
      <c r="BO64" s="80" t="str">
        <f t="shared" si="1"/>
        <v>No reported value</v>
      </c>
    </row>
    <row r="65" spans="2:67" hidden="1" x14ac:dyDescent="0.75">
      <c r="B65" s="80" t="s">
        <v>346</v>
      </c>
      <c r="C65" s="80" t="s">
        <v>347</v>
      </c>
      <c r="D65" s="80" t="s">
        <v>778</v>
      </c>
      <c r="E65" s="80" t="s">
        <v>777</v>
      </c>
      <c r="BN65" s="81" t="str">
        <f t="shared" si="0"/>
        <v>No reported value</v>
      </c>
      <c r="BO65" s="80" t="str">
        <f t="shared" si="1"/>
        <v>No reported value</v>
      </c>
    </row>
    <row r="66" spans="2:67" hidden="1" x14ac:dyDescent="0.75">
      <c r="B66" s="80" t="s">
        <v>362</v>
      </c>
      <c r="C66" s="80" t="s">
        <v>32</v>
      </c>
      <c r="D66" s="80" t="s">
        <v>778</v>
      </c>
      <c r="E66" s="80" t="s">
        <v>777</v>
      </c>
      <c r="AJ66" s="80">
        <v>3.2324999999999999</v>
      </c>
      <c r="AO66" s="80">
        <v>3.2978999999999998</v>
      </c>
      <c r="AV66" s="80">
        <v>3.0644999999999998</v>
      </c>
      <c r="BA66" s="80">
        <v>3.3957000000000002</v>
      </c>
      <c r="BB66" s="80">
        <v>3.4300999999999999</v>
      </c>
      <c r="BC66" s="80">
        <v>3.4660000000000002</v>
      </c>
      <c r="BG66" s="80">
        <v>4.0773000000000001</v>
      </c>
      <c r="BH66" s="80">
        <v>4.1222000000000003</v>
      </c>
      <c r="BJ66" s="80">
        <v>5.2516999999999996</v>
      </c>
      <c r="BN66" s="81">
        <f t="shared" si="0"/>
        <v>5.2516999999999996</v>
      </c>
      <c r="BO66" s="80">
        <f t="shared" si="1"/>
        <v>2016</v>
      </c>
    </row>
    <row r="67" spans="2:67" hidden="1" x14ac:dyDescent="0.75">
      <c r="B67" s="80" t="s">
        <v>363</v>
      </c>
      <c r="C67" s="80" t="s">
        <v>33</v>
      </c>
      <c r="D67" s="80" t="s">
        <v>778</v>
      </c>
      <c r="E67" s="80" t="s">
        <v>777</v>
      </c>
      <c r="AZ67" s="80">
        <v>8.93</v>
      </c>
      <c r="BA67" s="80">
        <v>8.9540000000000006</v>
      </c>
      <c r="BB67" s="80">
        <v>8.5500000000000007</v>
      </c>
      <c r="BD67" s="80">
        <v>8.4690999999999992</v>
      </c>
      <c r="BE67" s="80">
        <v>8.4027999999999992</v>
      </c>
      <c r="BF67" s="80">
        <v>8.4220000000000006</v>
      </c>
      <c r="BG67" s="80">
        <v>8.3462999999999994</v>
      </c>
      <c r="BH67" s="80">
        <v>8.6873000000000005</v>
      </c>
      <c r="BI67" s="80">
        <v>8.3690999999999995</v>
      </c>
      <c r="BJ67" s="80">
        <v>8.4070999999999998</v>
      </c>
      <c r="BN67" s="81">
        <f t="shared" si="0"/>
        <v>8.4070999999999998</v>
      </c>
      <c r="BO67" s="80">
        <f t="shared" si="1"/>
        <v>2016</v>
      </c>
    </row>
    <row r="68" spans="2:67" hidden="1" x14ac:dyDescent="0.75">
      <c r="B68" s="80" t="s">
        <v>400</v>
      </c>
      <c r="C68" s="80" t="s">
        <v>34</v>
      </c>
      <c r="D68" s="80" t="s">
        <v>778</v>
      </c>
      <c r="E68" s="80" t="s">
        <v>777</v>
      </c>
      <c r="AW68" s="80">
        <v>9.7200000000000006</v>
      </c>
      <c r="AY68" s="80">
        <v>8.01</v>
      </c>
      <c r="AZ68" s="80">
        <v>7.9909999999999997</v>
      </c>
      <c r="BB68" s="80">
        <v>10.82</v>
      </c>
      <c r="BD68" s="80">
        <v>12.534800000000001</v>
      </c>
      <c r="BE68" s="80">
        <v>12.689399999999999</v>
      </c>
      <c r="BF68" s="80">
        <v>12.7797</v>
      </c>
      <c r="BG68" s="80">
        <v>13.1914</v>
      </c>
      <c r="BH68" s="80">
        <v>13.4373</v>
      </c>
      <c r="BI68" s="80">
        <v>12.924099999999999</v>
      </c>
      <c r="BJ68" s="80">
        <v>13.1967</v>
      </c>
      <c r="BN68" s="81">
        <f t="shared" si="0"/>
        <v>13.1967</v>
      </c>
      <c r="BO68" s="80">
        <f t="shared" si="1"/>
        <v>2016</v>
      </c>
    </row>
    <row r="69" spans="2:67" hidden="1" x14ac:dyDescent="0.75">
      <c r="B69" s="80" t="s">
        <v>231</v>
      </c>
      <c r="C69" s="80" t="s">
        <v>35</v>
      </c>
      <c r="D69" s="80" t="s">
        <v>778</v>
      </c>
      <c r="E69" s="80" t="s">
        <v>777</v>
      </c>
      <c r="AS69" s="80">
        <v>0.70420000000000005</v>
      </c>
      <c r="AV69" s="80">
        <v>0.73709999999999998</v>
      </c>
      <c r="AX69" s="80">
        <v>0.3841</v>
      </c>
      <c r="AY69" s="80">
        <v>0.5746</v>
      </c>
      <c r="BD69" s="80">
        <v>0.8</v>
      </c>
      <c r="BH69" s="80">
        <v>0.53500000000000003</v>
      </c>
      <c r="BN69" s="81">
        <f t="shared" si="0"/>
        <v>0.53500000000000003</v>
      </c>
      <c r="BO69" s="80">
        <f t="shared" si="1"/>
        <v>2014</v>
      </c>
    </row>
    <row r="70" spans="2:67" hidden="1" x14ac:dyDescent="0.75">
      <c r="B70" s="80" t="s">
        <v>365</v>
      </c>
      <c r="C70" s="80" t="s">
        <v>366</v>
      </c>
      <c r="D70" s="80" t="s">
        <v>778</v>
      </c>
      <c r="E70" s="80" t="s">
        <v>777</v>
      </c>
      <c r="AQ70" s="80">
        <v>4.4774000000000003</v>
      </c>
      <c r="AU70" s="80">
        <v>6.2840999999999996</v>
      </c>
      <c r="BK70" s="80">
        <v>5.8998999999999997</v>
      </c>
      <c r="BN70" s="81">
        <f t="shared" si="0"/>
        <v>5.8998999999999997</v>
      </c>
      <c r="BO70" s="80">
        <f t="shared" si="1"/>
        <v>2017</v>
      </c>
    </row>
    <row r="71" spans="2:67" hidden="1" x14ac:dyDescent="0.75">
      <c r="B71" s="80" t="s">
        <v>364</v>
      </c>
      <c r="C71" s="80" t="s">
        <v>36</v>
      </c>
      <c r="D71" s="80" t="s">
        <v>778</v>
      </c>
      <c r="E71" s="80" t="s">
        <v>777</v>
      </c>
      <c r="AN71" s="80">
        <v>14.3329</v>
      </c>
      <c r="AP71" s="80">
        <v>7.2279999999999998</v>
      </c>
      <c r="AQ71" s="80">
        <v>14.188800000000001</v>
      </c>
      <c r="AR71" s="80">
        <v>7.9829999999999997</v>
      </c>
      <c r="AS71" s="80">
        <v>14.2662</v>
      </c>
      <c r="AU71" s="80">
        <v>17.188600000000001</v>
      </c>
      <c r="AW71" s="80">
        <v>14.8559</v>
      </c>
      <c r="AX71" s="80">
        <v>14.5016</v>
      </c>
      <c r="AY71" s="80">
        <v>14.980399999999999</v>
      </c>
      <c r="AZ71" s="80">
        <v>9.7560000000000002</v>
      </c>
      <c r="BA71" s="80">
        <v>14.54</v>
      </c>
      <c r="BB71" s="80">
        <v>15.468400000000001</v>
      </c>
      <c r="BC71" s="80">
        <v>15.9842</v>
      </c>
      <c r="BD71" s="80">
        <v>16.099799999999998</v>
      </c>
      <c r="BE71" s="80">
        <v>16.269500000000001</v>
      </c>
      <c r="BF71" s="80">
        <v>16.560099999999998</v>
      </c>
      <c r="BG71" s="80">
        <v>16.7698</v>
      </c>
      <c r="BH71" s="80">
        <v>16.963200000000001</v>
      </c>
      <c r="BI71" s="80">
        <v>17.213799999999999</v>
      </c>
      <c r="BJ71" s="80">
        <v>10.3004</v>
      </c>
      <c r="BN71" s="81">
        <f t="shared" si="0"/>
        <v>10.3004</v>
      </c>
      <c r="BO71" s="80">
        <f t="shared" si="1"/>
        <v>2016</v>
      </c>
    </row>
    <row r="72" spans="2:67" hidden="1" x14ac:dyDescent="0.75">
      <c r="B72" s="80" t="s">
        <v>367</v>
      </c>
      <c r="C72" s="80" t="s">
        <v>368</v>
      </c>
      <c r="D72" s="80" t="s">
        <v>778</v>
      </c>
      <c r="E72" s="80" t="s">
        <v>777</v>
      </c>
      <c r="AT72" s="80">
        <v>1.7928999999999999</v>
      </c>
      <c r="BC72" s="80">
        <v>1.2988</v>
      </c>
      <c r="BE72" s="80">
        <v>1.3338000000000001</v>
      </c>
      <c r="BK72" s="80">
        <v>0.30990000000000001</v>
      </c>
      <c r="BN72" s="81">
        <f t="shared" si="0"/>
        <v>0.30990000000000001</v>
      </c>
      <c r="BO72" s="80">
        <f t="shared" si="1"/>
        <v>2017</v>
      </c>
    </row>
    <row r="73" spans="2:67" hidden="1" x14ac:dyDescent="0.75">
      <c r="B73" s="80" t="s">
        <v>314</v>
      </c>
      <c r="C73" s="80" t="s">
        <v>37</v>
      </c>
      <c r="D73" s="80" t="s">
        <v>778</v>
      </c>
      <c r="E73" s="80" t="s">
        <v>777</v>
      </c>
      <c r="AV73" s="80">
        <v>2.1800000000000002</v>
      </c>
      <c r="BA73" s="80">
        <v>1.9218</v>
      </c>
      <c r="BD73" s="80">
        <v>1.9470000000000001</v>
      </c>
      <c r="BJ73" s="80">
        <v>2.2400000000000002</v>
      </c>
      <c r="BN73" s="81">
        <f t="shared" si="0"/>
        <v>2.2400000000000002</v>
      </c>
      <c r="BO73" s="80">
        <f t="shared" si="1"/>
        <v>2016</v>
      </c>
    </row>
    <row r="74" spans="2:67" hidden="1" x14ac:dyDescent="0.75">
      <c r="B74" s="80" t="s">
        <v>373</v>
      </c>
      <c r="C74" s="80" t="s">
        <v>374</v>
      </c>
      <c r="D74" s="80" t="s">
        <v>778</v>
      </c>
      <c r="E74" s="80" t="s">
        <v>777</v>
      </c>
      <c r="AJ74" s="80">
        <v>0.79562089861553364</v>
      </c>
      <c r="AT74" s="80">
        <v>1.2276099795450628</v>
      </c>
      <c r="BI74" s="80">
        <v>2.1533786853858357</v>
      </c>
      <c r="BN74" s="81">
        <f t="shared" si="0"/>
        <v>2.1533786853858357</v>
      </c>
      <c r="BO74" s="80">
        <f t="shared" si="1"/>
        <v>2015</v>
      </c>
    </row>
    <row r="75" spans="2:67" hidden="1" x14ac:dyDescent="0.75">
      <c r="B75" s="80" t="s">
        <v>369</v>
      </c>
      <c r="C75" s="80" t="s">
        <v>370</v>
      </c>
      <c r="D75" s="80" t="s">
        <v>778</v>
      </c>
      <c r="E75" s="80" t="s">
        <v>777</v>
      </c>
      <c r="AT75" s="80">
        <v>1.3660961216617917</v>
      </c>
      <c r="BI75" s="80">
        <v>1.9290074393430101</v>
      </c>
      <c r="BN75" s="81">
        <f t="shared" si="0"/>
        <v>1.9290074393430101</v>
      </c>
      <c r="BO75" s="80">
        <f t="shared" si="1"/>
        <v>2015</v>
      </c>
    </row>
    <row r="76" spans="2:67" hidden="1" x14ac:dyDescent="0.75">
      <c r="B76" s="80" t="s">
        <v>371</v>
      </c>
      <c r="C76" s="80" t="s">
        <v>372</v>
      </c>
      <c r="D76" s="80" t="s">
        <v>778</v>
      </c>
      <c r="E76" s="80" t="s">
        <v>777</v>
      </c>
      <c r="AJ76" s="80">
        <v>1.2559691849126837</v>
      </c>
      <c r="AT76" s="80">
        <v>1.905664504172645</v>
      </c>
      <c r="BI76" s="80">
        <v>2.9341161379957588</v>
      </c>
      <c r="BN76" s="81">
        <f t="shared" si="0"/>
        <v>2.9341161379957588</v>
      </c>
      <c r="BO76" s="80">
        <f t="shared" si="1"/>
        <v>2015</v>
      </c>
    </row>
    <row r="77" spans="2:67" hidden="1" x14ac:dyDescent="0.75">
      <c r="B77" s="80" t="s">
        <v>385</v>
      </c>
      <c r="C77" s="80" t="s">
        <v>386</v>
      </c>
      <c r="D77" s="80" t="s">
        <v>778</v>
      </c>
      <c r="E77" s="80" t="s">
        <v>777</v>
      </c>
      <c r="BI77" s="80">
        <v>7.0208190546653384</v>
      </c>
      <c r="BN77" s="81">
        <f t="shared" si="0"/>
        <v>7.0208190546653384</v>
      </c>
      <c r="BO77" s="80">
        <f t="shared" si="1"/>
        <v>2015</v>
      </c>
    </row>
    <row r="78" spans="2:67" hidden="1" x14ac:dyDescent="0.75">
      <c r="B78" s="80" t="s">
        <v>383</v>
      </c>
      <c r="C78" s="80" t="s">
        <v>384</v>
      </c>
      <c r="D78" s="80" t="s">
        <v>778</v>
      </c>
      <c r="E78" s="80" t="s">
        <v>777</v>
      </c>
      <c r="BI78" s="80">
        <v>8.0933931210326051</v>
      </c>
      <c r="BN78" s="81">
        <f t="shared" si="0"/>
        <v>8.0933931210326051</v>
      </c>
      <c r="BO78" s="80">
        <f t="shared" si="1"/>
        <v>2015</v>
      </c>
    </row>
    <row r="79" spans="2:67" hidden="1" x14ac:dyDescent="0.75">
      <c r="B79" s="80" t="s">
        <v>377</v>
      </c>
      <c r="C79" s="80" t="s">
        <v>38</v>
      </c>
      <c r="D79" s="80" t="s">
        <v>778</v>
      </c>
      <c r="E79" s="80" t="s">
        <v>777</v>
      </c>
      <c r="AJ79" s="80">
        <v>1.6004</v>
      </c>
      <c r="AK79" s="80">
        <v>1.667</v>
      </c>
      <c r="AL79" s="80">
        <v>1.6895</v>
      </c>
      <c r="AM79" s="80">
        <v>1.444</v>
      </c>
      <c r="AN79" s="80">
        <v>1.6406000000000001</v>
      </c>
      <c r="AO79" s="80">
        <v>1.6055999999999999</v>
      </c>
      <c r="AP79" s="80">
        <v>1.7022999999999999</v>
      </c>
      <c r="AQ79" s="80">
        <v>1.7107000000000001</v>
      </c>
      <c r="AR79" s="80">
        <v>1.6375999999999999</v>
      </c>
      <c r="AS79" s="80">
        <v>1.6588000000000001</v>
      </c>
      <c r="AT79" s="80">
        <v>1.6301000000000001</v>
      </c>
      <c r="AU79" s="80">
        <v>1.5909</v>
      </c>
      <c r="AV79" s="80">
        <v>1.6362000000000001</v>
      </c>
      <c r="AW79" s="80">
        <v>1.5328999999999999</v>
      </c>
      <c r="BC79" s="80">
        <v>1.8897999999999999</v>
      </c>
      <c r="BD79" s="80">
        <v>1.6678999999999999</v>
      </c>
      <c r="BE79" s="80">
        <v>2.0842999999999998</v>
      </c>
      <c r="BI79" s="80">
        <v>2.4882</v>
      </c>
      <c r="BJ79" s="80">
        <v>1.2</v>
      </c>
      <c r="BN79" s="81">
        <f t="shared" ref="BN79:BN142" si="2">IFERROR(LOOKUP(2,1/(ISNUMBER(F79:BM79)),F79:BM79),"No reported value")</f>
        <v>1.2</v>
      </c>
      <c r="BO79" s="80">
        <f t="shared" ref="BO79:BO142" si="3">IFERROR(INDEX($F$14:$BM$14,1,MATCH($BN79,$F79:$BM79,0)),"No reported value")</f>
        <v>2016</v>
      </c>
    </row>
    <row r="80" spans="2:67" hidden="1" x14ac:dyDescent="0.75">
      <c r="B80" s="80" t="s">
        <v>378</v>
      </c>
      <c r="C80" s="80" t="s">
        <v>39</v>
      </c>
      <c r="D80" s="80" t="s">
        <v>778</v>
      </c>
      <c r="E80" s="80" t="s">
        <v>777</v>
      </c>
      <c r="AX80" s="80">
        <v>1.9469000000000001</v>
      </c>
      <c r="AZ80" s="80">
        <v>2.2978000000000001</v>
      </c>
      <c r="BD80" s="80">
        <v>3.52</v>
      </c>
      <c r="BG80" s="80">
        <v>1.4741</v>
      </c>
      <c r="BH80" s="80">
        <v>1.399</v>
      </c>
      <c r="BI80" s="80">
        <v>1.5</v>
      </c>
      <c r="BJ80" s="80">
        <v>1.3835</v>
      </c>
      <c r="BK80" s="80">
        <v>1.3989</v>
      </c>
      <c r="BN80" s="81">
        <f t="shared" si="2"/>
        <v>1.3989</v>
      </c>
      <c r="BO80" s="80">
        <f t="shared" si="3"/>
        <v>2017</v>
      </c>
    </row>
    <row r="81" spans="2:67" hidden="1" x14ac:dyDescent="0.75">
      <c r="B81" s="80" t="s">
        <v>381</v>
      </c>
      <c r="C81" s="80" t="s">
        <v>382</v>
      </c>
      <c r="D81" s="80" t="s">
        <v>778</v>
      </c>
      <c r="E81" s="80" t="s">
        <v>777</v>
      </c>
      <c r="BI81" s="80">
        <v>9.1263260403644342</v>
      </c>
      <c r="BN81" s="81">
        <f t="shared" si="2"/>
        <v>9.1263260403644342</v>
      </c>
      <c r="BO81" s="80">
        <f t="shared" si="3"/>
        <v>2015</v>
      </c>
    </row>
    <row r="82" spans="2:67" hidden="1" x14ac:dyDescent="0.75">
      <c r="B82" s="80" t="s">
        <v>192</v>
      </c>
      <c r="C82" s="80" t="s">
        <v>168</v>
      </c>
      <c r="D82" s="80" t="s">
        <v>778</v>
      </c>
      <c r="E82" s="80" t="s">
        <v>777</v>
      </c>
      <c r="AX82" s="80">
        <v>0.6492</v>
      </c>
      <c r="BN82" s="81">
        <f t="shared" si="2"/>
        <v>0.6492</v>
      </c>
      <c r="BO82" s="80">
        <f t="shared" si="3"/>
        <v>2004</v>
      </c>
    </row>
    <row r="83" spans="2:67" hidden="1" x14ac:dyDescent="0.75">
      <c r="B83" s="80" t="s">
        <v>530</v>
      </c>
      <c r="C83" s="80" t="s">
        <v>40</v>
      </c>
      <c r="D83" s="80" t="s">
        <v>778</v>
      </c>
      <c r="E83" s="80" t="s">
        <v>777</v>
      </c>
      <c r="AJ83" s="80">
        <v>4.0324</v>
      </c>
      <c r="AK83" s="80">
        <v>4.0932000000000004</v>
      </c>
      <c r="AL83" s="80">
        <v>4.1727999999999996</v>
      </c>
      <c r="AM83" s="80">
        <v>4.2355999999999998</v>
      </c>
      <c r="AN83" s="80">
        <v>4.2237999999999998</v>
      </c>
      <c r="AO83" s="80">
        <v>4.3151000000000002</v>
      </c>
      <c r="AP83" s="80">
        <v>4.4248000000000003</v>
      </c>
      <c r="AQ83" s="80">
        <v>4.532</v>
      </c>
      <c r="AR83" s="80">
        <v>4.78</v>
      </c>
      <c r="AS83" s="80">
        <v>4.8677999999999999</v>
      </c>
      <c r="AT83" s="80">
        <v>4.9992000000000001</v>
      </c>
      <c r="AU83" s="80">
        <v>5.0384000000000002</v>
      </c>
      <c r="AV83" s="80">
        <v>5.0819000000000001</v>
      </c>
      <c r="AW83" s="80">
        <v>5.1759000000000004</v>
      </c>
      <c r="AX83" s="80">
        <v>5.2012999999999998</v>
      </c>
      <c r="AY83" s="80">
        <v>5.2449000000000003</v>
      </c>
      <c r="AZ83" s="80">
        <v>5.3000999999999996</v>
      </c>
      <c r="BA83" s="80">
        <v>5.3529</v>
      </c>
      <c r="BB83" s="80">
        <v>5.4355000000000002</v>
      </c>
      <c r="BC83" s="80">
        <v>5.4962999999999997</v>
      </c>
      <c r="BD83" s="80">
        <v>5.1265999999999998</v>
      </c>
      <c r="BE83" s="80">
        <v>5.2008000000000001</v>
      </c>
      <c r="BF83" s="80">
        <v>5.2350000000000003</v>
      </c>
      <c r="BG83" s="80">
        <v>5.4897999999999998</v>
      </c>
      <c r="BH83" s="80">
        <v>5.5113000000000003</v>
      </c>
      <c r="BI83" s="80">
        <v>5.2919</v>
      </c>
      <c r="BJ83" s="80">
        <v>5.5307000000000004</v>
      </c>
      <c r="BN83" s="81">
        <f t="shared" si="2"/>
        <v>5.5307000000000004</v>
      </c>
      <c r="BO83" s="80">
        <f t="shared" si="3"/>
        <v>2016</v>
      </c>
    </row>
    <row r="84" spans="2:67" hidden="1" x14ac:dyDescent="0.75">
      <c r="B84" s="80" t="s">
        <v>379</v>
      </c>
      <c r="C84" s="80" t="s">
        <v>41</v>
      </c>
      <c r="D84" s="80" t="s">
        <v>778</v>
      </c>
      <c r="E84" s="80" t="s">
        <v>777</v>
      </c>
      <c r="AT84" s="80">
        <v>8.6390999999999991</v>
      </c>
      <c r="AZ84" s="80">
        <v>6.98</v>
      </c>
      <c r="BB84" s="80">
        <v>6.82</v>
      </c>
      <c r="BD84" s="80">
        <v>6.6767000000000003</v>
      </c>
      <c r="BE84" s="80">
        <v>6.8089000000000004</v>
      </c>
      <c r="BF84" s="80">
        <v>6.4494999999999996</v>
      </c>
      <c r="BG84" s="80">
        <v>6.1750999999999996</v>
      </c>
      <c r="BH84" s="80">
        <v>6.2811000000000003</v>
      </c>
      <c r="BI84" s="80">
        <v>6.3521999999999998</v>
      </c>
      <c r="BJ84" s="80">
        <v>6.4526000000000003</v>
      </c>
      <c r="BN84" s="81">
        <f t="shared" si="2"/>
        <v>6.4526000000000003</v>
      </c>
      <c r="BO84" s="80">
        <f t="shared" si="3"/>
        <v>2016</v>
      </c>
    </row>
    <row r="85" spans="2:67" hidden="1" x14ac:dyDescent="0.75">
      <c r="B85" s="80" t="s">
        <v>194</v>
      </c>
      <c r="C85" s="80" t="s">
        <v>42</v>
      </c>
      <c r="D85" s="80" t="s">
        <v>778</v>
      </c>
      <c r="E85" s="80" t="s">
        <v>777</v>
      </c>
      <c r="AW85" s="80">
        <v>0.21429999999999999</v>
      </c>
      <c r="AX85" s="80">
        <v>0.20830000000000001</v>
      </c>
      <c r="AY85" s="80">
        <v>0.24510000000000001</v>
      </c>
      <c r="AZ85" s="80">
        <v>0.2263</v>
      </c>
      <c r="BA85" s="80">
        <v>0.224</v>
      </c>
      <c r="BB85" s="80">
        <v>0.20150000000000001</v>
      </c>
      <c r="BC85" s="80">
        <v>0.25159999999999999</v>
      </c>
      <c r="BD85" s="80">
        <v>0.23599999999999999</v>
      </c>
      <c r="BK85" s="80">
        <v>0.84</v>
      </c>
      <c r="BN85" s="81">
        <f t="shared" si="2"/>
        <v>0.84</v>
      </c>
      <c r="BO85" s="80">
        <f t="shared" si="3"/>
        <v>2017</v>
      </c>
    </row>
    <row r="86" spans="2:67" hidden="1" x14ac:dyDescent="0.75">
      <c r="B86" s="80" t="s">
        <v>389</v>
      </c>
      <c r="C86" s="80" t="s">
        <v>390</v>
      </c>
      <c r="D86" s="80" t="s">
        <v>778</v>
      </c>
      <c r="E86" s="80" t="s">
        <v>777</v>
      </c>
      <c r="BI86" s="80">
        <v>8.5822719417618902</v>
      </c>
      <c r="BN86" s="81">
        <f t="shared" si="2"/>
        <v>8.5822719417618902</v>
      </c>
      <c r="BO86" s="80">
        <f t="shared" si="3"/>
        <v>2015</v>
      </c>
    </row>
    <row r="87" spans="2:67" hidden="1" x14ac:dyDescent="0.75">
      <c r="B87" s="80" t="s">
        <v>394</v>
      </c>
      <c r="C87" s="80" t="s">
        <v>395</v>
      </c>
      <c r="D87" s="80" t="s">
        <v>778</v>
      </c>
      <c r="E87" s="80" t="s">
        <v>777</v>
      </c>
      <c r="BI87" s="80">
        <v>0.86253797717014757</v>
      </c>
      <c r="BN87" s="81">
        <f t="shared" si="2"/>
        <v>0.86253797717014757</v>
      </c>
      <c r="BO87" s="80">
        <f t="shared" si="3"/>
        <v>2015</v>
      </c>
    </row>
    <row r="88" spans="2:67" hidden="1" x14ac:dyDescent="0.75">
      <c r="B88" s="80" t="s">
        <v>393</v>
      </c>
      <c r="C88" s="80" t="s">
        <v>43</v>
      </c>
      <c r="D88" s="80" t="s">
        <v>778</v>
      </c>
      <c r="E88" s="80" t="s">
        <v>777</v>
      </c>
      <c r="AV88" s="80">
        <v>15.038600000000001</v>
      </c>
      <c r="AZ88" s="80">
        <v>8.92</v>
      </c>
      <c r="BA88" s="80">
        <v>15.52</v>
      </c>
      <c r="BC88" s="80">
        <v>23.746700000000001</v>
      </c>
      <c r="BD88" s="80">
        <v>14.660600000000001</v>
      </c>
      <c r="BE88" s="80">
        <v>14.904400000000001</v>
      </c>
      <c r="BF88" s="80">
        <v>14.965999999999999</v>
      </c>
      <c r="BG88" s="80">
        <v>14.8538</v>
      </c>
      <c r="BH88" s="80">
        <v>15.086499999999999</v>
      </c>
      <c r="BJ88" s="80">
        <v>14.723000000000001</v>
      </c>
      <c r="BN88" s="81">
        <f t="shared" si="2"/>
        <v>14.723000000000001</v>
      </c>
      <c r="BO88" s="80">
        <f t="shared" si="3"/>
        <v>2016</v>
      </c>
    </row>
    <row r="89" spans="2:67" hidden="1" x14ac:dyDescent="0.75">
      <c r="B89" s="80" t="s">
        <v>248</v>
      </c>
      <c r="C89" s="80" t="s">
        <v>44</v>
      </c>
      <c r="D89" s="80" t="s">
        <v>778</v>
      </c>
      <c r="E89" s="80" t="s">
        <v>777</v>
      </c>
      <c r="AS89" s="80">
        <v>1.9540999999999999</v>
      </c>
      <c r="AW89" s="80">
        <v>2.0327999999999999</v>
      </c>
      <c r="BB89" s="80">
        <v>2.1154999999999999</v>
      </c>
      <c r="BC89" s="80">
        <v>2.2968999999999999</v>
      </c>
      <c r="BD89" s="80">
        <v>2.242</v>
      </c>
      <c r="BG89" s="80">
        <v>2.8567</v>
      </c>
      <c r="BI89" s="80">
        <v>2.9380000000000002</v>
      </c>
      <c r="BN89" s="81">
        <f t="shared" si="2"/>
        <v>2.9380000000000002</v>
      </c>
      <c r="BO89" s="80">
        <f t="shared" si="3"/>
        <v>2015</v>
      </c>
    </row>
    <row r="90" spans="2:67" hidden="1" x14ac:dyDescent="0.75">
      <c r="B90" s="80" t="s">
        <v>396</v>
      </c>
      <c r="C90" s="80" t="s">
        <v>45</v>
      </c>
      <c r="D90" s="80" t="s">
        <v>778</v>
      </c>
      <c r="E90" s="80" t="s">
        <v>777</v>
      </c>
      <c r="AK90" s="80">
        <v>5.5735000000000001</v>
      </c>
      <c r="AP90" s="80">
        <v>6.0909000000000004</v>
      </c>
      <c r="AS90" s="80">
        <v>6.4240000000000004</v>
      </c>
      <c r="AT90" s="80">
        <v>6.6647999999999996</v>
      </c>
      <c r="AU90" s="80">
        <v>6.8807</v>
      </c>
      <c r="AV90" s="80">
        <v>7.0731000000000002</v>
      </c>
      <c r="AW90" s="80">
        <v>7.2521000000000004</v>
      </c>
      <c r="AX90" s="80">
        <v>7.4508999999999999</v>
      </c>
      <c r="AY90" s="80">
        <v>7.6597</v>
      </c>
      <c r="AZ90" s="80">
        <v>7.8906000000000001</v>
      </c>
      <c r="BA90" s="80">
        <v>8.0835000000000008</v>
      </c>
      <c r="BB90" s="80">
        <v>7.94</v>
      </c>
      <c r="BE90" s="80">
        <v>9.5762999999999998</v>
      </c>
      <c r="BF90" s="80">
        <v>9.9940999999999995</v>
      </c>
      <c r="BG90" s="80">
        <v>10.3056</v>
      </c>
      <c r="BH90" s="80">
        <v>10.616300000000001</v>
      </c>
      <c r="BI90" s="80">
        <v>10.940300000000001</v>
      </c>
      <c r="BJ90" s="80">
        <v>9.6887000000000008</v>
      </c>
      <c r="BN90" s="81">
        <f t="shared" si="2"/>
        <v>9.6887000000000008</v>
      </c>
      <c r="BO90" s="80">
        <f t="shared" si="3"/>
        <v>2016</v>
      </c>
    </row>
    <row r="91" spans="2:67" hidden="1" x14ac:dyDescent="0.75">
      <c r="B91" s="80" t="s">
        <v>391</v>
      </c>
      <c r="C91" s="80" t="s">
        <v>392</v>
      </c>
      <c r="D91" s="80" t="s">
        <v>778</v>
      </c>
      <c r="E91" s="80" t="s">
        <v>777</v>
      </c>
      <c r="BN91" s="81" t="str">
        <f t="shared" si="2"/>
        <v>No reported value</v>
      </c>
      <c r="BO91" s="80" t="str">
        <f t="shared" si="3"/>
        <v>No reported value</v>
      </c>
    </row>
    <row r="92" spans="2:67" hidden="1" x14ac:dyDescent="0.75">
      <c r="B92" s="80" t="s">
        <v>464</v>
      </c>
      <c r="C92" s="80" t="s">
        <v>465</v>
      </c>
      <c r="D92" s="80" t="s">
        <v>778</v>
      </c>
      <c r="E92" s="80" t="s">
        <v>777</v>
      </c>
      <c r="AT92" s="80">
        <v>3.8826999999999998</v>
      </c>
      <c r="AW92" s="80">
        <v>2.3408000000000002</v>
      </c>
      <c r="AY92" s="80">
        <v>2.3445999999999998</v>
      </c>
      <c r="BB92" s="80">
        <v>2.6793999999999998</v>
      </c>
      <c r="BC92" s="80">
        <v>3.6057999999999999</v>
      </c>
      <c r="BD92" s="80">
        <v>3.319</v>
      </c>
      <c r="BN92" s="81">
        <f t="shared" si="2"/>
        <v>3.319</v>
      </c>
      <c r="BO92" s="80">
        <f t="shared" si="3"/>
        <v>2010</v>
      </c>
    </row>
    <row r="93" spans="2:67" hidden="1" x14ac:dyDescent="0.75">
      <c r="B93" s="80" t="s">
        <v>195</v>
      </c>
      <c r="C93" s="80" t="s">
        <v>46</v>
      </c>
      <c r="D93" s="80" t="s">
        <v>778</v>
      </c>
      <c r="E93" s="80" t="s">
        <v>777</v>
      </c>
      <c r="AX93" s="80">
        <v>4.9684999999999997</v>
      </c>
      <c r="BJ93" s="80">
        <v>2.5806</v>
      </c>
      <c r="BN93" s="81">
        <f t="shared" si="2"/>
        <v>2.5806</v>
      </c>
      <c r="BO93" s="80">
        <f t="shared" si="3"/>
        <v>2016</v>
      </c>
    </row>
    <row r="94" spans="2:67" hidden="1" x14ac:dyDescent="0.75">
      <c r="B94" s="80" t="s">
        <v>556</v>
      </c>
      <c r="C94" s="80" t="s">
        <v>47</v>
      </c>
      <c r="D94" s="80" t="s">
        <v>778</v>
      </c>
      <c r="E94" s="80" t="s">
        <v>777</v>
      </c>
      <c r="AQ94" s="80">
        <v>12.155099999999999</v>
      </c>
      <c r="AW94" s="80">
        <v>0.628</v>
      </c>
      <c r="BD94" s="80">
        <v>9.9578000000000007</v>
      </c>
      <c r="BE94" s="80">
        <v>9.2668999999999997</v>
      </c>
      <c r="BF94" s="80">
        <v>9.1179000000000006</v>
      </c>
      <c r="BG94" s="80">
        <v>9.0977999999999994</v>
      </c>
      <c r="BH94" s="80">
        <v>8.6354000000000006</v>
      </c>
      <c r="BI94" s="80">
        <v>8.8270999999999997</v>
      </c>
      <c r="BJ94" s="80">
        <v>8.3340999999999994</v>
      </c>
      <c r="BK94" s="80">
        <v>8.2878000000000007</v>
      </c>
      <c r="BN94" s="81">
        <f t="shared" si="2"/>
        <v>8.2878000000000007</v>
      </c>
      <c r="BO94" s="80">
        <f t="shared" si="3"/>
        <v>2017</v>
      </c>
    </row>
    <row r="95" spans="2:67" hidden="1" x14ac:dyDescent="0.75">
      <c r="B95" s="80" t="s">
        <v>236</v>
      </c>
      <c r="C95" s="80" t="s">
        <v>48</v>
      </c>
      <c r="D95" s="80" t="s">
        <v>778</v>
      </c>
      <c r="E95" s="80" t="s">
        <v>777</v>
      </c>
      <c r="AZ95" s="80">
        <v>4.03</v>
      </c>
      <c r="BA95" s="80">
        <v>3.89</v>
      </c>
      <c r="BB95" s="80">
        <v>3.3167</v>
      </c>
      <c r="BC95" s="80">
        <v>3.2477</v>
      </c>
      <c r="BD95" s="80">
        <v>4.0419</v>
      </c>
      <c r="BE95" s="80">
        <v>4.0095000000000001</v>
      </c>
      <c r="BF95" s="80">
        <v>3.8369</v>
      </c>
      <c r="BG95" s="80">
        <v>3.9331</v>
      </c>
      <c r="BH95" s="80">
        <v>4.0133999999999999</v>
      </c>
      <c r="BI95" s="80">
        <v>4.0914000000000001</v>
      </c>
      <c r="BN95" s="81">
        <f t="shared" si="2"/>
        <v>4.0914000000000001</v>
      </c>
      <c r="BO95" s="80">
        <f t="shared" si="3"/>
        <v>2015</v>
      </c>
    </row>
    <row r="96" spans="2:67" hidden="1" x14ac:dyDescent="0.75">
      <c r="B96" s="80" t="s">
        <v>196</v>
      </c>
      <c r="C96" s="80" t="s">
        <v>162</v>
      </c>
      <c r="D96" s="80" t="s">
        <v>778</v>
      </c>
      <c r="E96" s="80" t="s">
        <v>777</v>
      </c>
      <c r="AX96" s="80">
        <v>0.93899999999999995</v>
      </c>
      <c r="BB96" s="80">
        <v>0.98009999999999997</v>
      </c>
      <c r="BC96" s="80">
        <v>1.0448</v>
      </c>
      <c r="BD96" s="80">
        <v>0.91820000000000002</v>
      </c>
      <c r="BG96" s="80">
        <v>1.5911999999999999</v>
      </c>
      <c r="BJ96" s="80">
        <v>1.5492999999999999</v>
      </c>
      <c r="BK96" s="80">
        <v>1.2</v>
      </c>
      <c r="BN96" s="81">
        <f t="shared" si="2"/>
        <v>1.2</v>
      </c>
      <c r="BO96" s="80">
        <f t="shared" si="3"/>
        <v>2017</v>
      </c>
    </row>
    <row r="97" spans="2:67" hidden="1" x14ac:dyDescent="0.75">
      <c r="B97" s="80" t="s">
        <v>401</v>
      </c>
      <c r="C97" s="80" t="s">
        <v>402</v>
      </c>
      <c r="D97" s="80" t="s">
        <v>778</v>
      </c>
      <c r="E97" s="80" t="s">
        <v>777</v>
      </c>
      <c r="BN97" s="81" t="str">
        <f t="shared" si="2"/>
        <v>No reported value</v>
      </c>
      <c r="BO97" s="80" t="str">
        <f t="shared" si="3"/>
        <v>No reported value</v>
      </c>
    </row>
    <row r="98" spans="2:67" hidden="1" x14ac:dyDescent="0.75">
      <c r="B98" s="80" t="s">
        <v>197</v>
      </c>
      <c r="C98" s="80" t="s">
        <v>49</v>
      </c>
      <c r="D98" s="80" t="s">
        <v>778</v>
      </c>
      <c r="E98" s="80" t="s">
        <v>777</v>
      </c>
      <c r="AT98" s="80">
        <v>0.432</v>
      </c>
      <c r="AX98" s="80">
        <v>0.46450000000000002</v>
      </c>
      <c r="BJ98" s="80">
        <v>0.38440000000000002</v>
      </c>
      <c r="BN98" s="81">
        <f t="shared" si="2"/>
        <v>0.38440000000000002</v>
      </c>
      <c r="BO98" s="80">
        <f t="shared" si="3"/>
        <v>2016</v>
      </c>
    </row>
    <row r="99" spans="2:67" hidden="1" x14ac:dyDescent="0.75">
      <c r="B99" s="80" t="s">
        <v>399</v>
      </c>
      <c r="C99" s="80" t="s">
        <v>50</v>
      </c>
      <c r="D99" s="80" t="s">
        <v>778</v>
      </c>
      <c r="E99" s="80" t="s">
        <v>777</v>
      </c>
      <c r="AW99" s="80">
        <v>1.389</v>
      </c>
      <c r="AX99" s="80">
        <v>0.49690000000000001</v>
      </c>
      <c r="AY99" s="80">
        <v>0.50690000000000002</v>
      </c>
      <c r="AZ99" s="80">
        <v>0.505</v>
      </c>
      <c r="BA99" s="80">
        <v>0.8206</v>
      </c>
      <c r="BB99" s="80">
        <v>0.88819999999999999</v>
      </c>
      <c r="BD99" s="80">
        <v>0.56799999999999995</v>
      </c>
      <c r="BF99" s="80">
        <v>1.3801000000000001</v>
      </c>
      <c r="BI99" s="80">
        <v>1.6292</v>
      </c>
      <c r="BN99" s="81">
        <f t="shared" si="2"/>
        <v>1.6292</v>
      </c>
      <c r="BO99" s="80">
        <f t="shared" si="3"/>
        <v>2015</v>
      </c>
    </row>
    <row r="100" spans="2:67" hidden="1" x14ac:dyDescent="0.75">
      <c r="B100" s="80" t="s">
        <v>198</v>
      </c>
      <c r="C100" s="80" t="s">
        <v>172</v>
      </c>
      <c r="D100" s="80" t="s">
        <v>778</v>
      </c>
      <c r="E100" s="80" t="s">
        <v>777</v>
      </c>
      <c r="AX100" s="80">
        <v>0.79390000000000005</v>
      </c>
      <c r="BB100" s="80">
        <v>0.64359999999999995</v>
      </c>
      <c r="BC100" s="80">
        <v>0.68669999999999998</v>
      </c>
      <c r="BD100" s="80">
        <v>0.55100000000000005</v>
      </c>
      <c r="BE100" s="80">
        <v>0.55069999999999997</v>
      </c>
      <c r="BI100" s="80">
        <v>1.4</v>
      </c>
      <c r="BN100" s="81">
        <f t="shared" si="2"/>
        <v>1.4</v>
      </c>
      <c r="BO100" s="80">
        <f t="shared" si="3"/>
        <v>2015</v>
      </c>
    </row>
    <row r="101" spans="2:67" hidden="1" x14ac:dyDescent="0.75">
      <c r="B101" s="80" t="s">
        <v>191</v>
      </c>
      <c r="C101" s="80" t="s">
        <v>174</v>
      </c>
      <c r="D101" s="80" t="s">
        <v>778</v>
      </c>
      <c r="E101" s="80" t="s">
        <v>777</v>
      </c>
      <c r="AX101" s="80">
        <v>0.37390000000000001</v>
      </c>
      <c r="BK101" s="80">
        <v>0.5</v>
      </c>
      <c r="BN101" s="81">
        <f t="shared" si="2"/>
        <v>0.5</v>
      </c>
      <c r="BO101" s="80">
        <f t="shared" si="3"/>
        <v>2017</v>
      </c>
    </row>
    <row r="102" spans="2:67" hidden="1" x14ac:dyDescent="0.75">
      <c r="B102" s="80" t="s">
        <v>403</v>
      </c>
      <c r="C102" s="80" t="s">
        <v>51</v>
      </c>
      <c r="D102" s="80" t="s">
        <v>778</v>
      </c>
      <c r="E102" s="80" t="s">
        <v>777</v>
      </c>
      <c r="AT102" s="80">
        <v>3.8639999999999999</v>
      </c>
      <c r="AY102" s="80">
        <v>3.6</v>
      </c>
      <c r="AZ102" s="80">
        <v>3.476</v>
      </c>
      <c r="BB102" s="80">
        <v>3.66</v>
      </c>
      <c r="BD102" s="80">
        <v>3.5800999999999998</v>
      </c>
      <c r="BE102" s="80">
        <v>3.6042000000000001</v>
      </c>
      <c r="BF102" s="80">
        <v>3.7119</v>
      </c>
      <c r="BG102" s="80">
        <v>3.6621999999999999</v>
      </c>
      <c r="BH102" s="80">
        <v>3.5918000000000001</v>
      </c>
      <c r="BI102" s="80">
        <v>3.3269000000000002</v>
      </c>
      <c r="BJ102" s="80">
        <v>3.3727999999999998</v>
      </c>
      <c r="BN102" s="81">
        <f t="shared" si="2"/>
        <v>3.3727999999999998</v>
      </c>
      <c r="BO102" s="80">
        <f t="shared" si="3"/>
        <v>2016</v>
      </c>
    </row>
    <row r="103" spans="2:67" hidden="1" x14ac:dyDescent="0.75">
      <c r="B103" s="80" t="s">
        <v>406</v>
      </c>
      <c r="C103" s="80" t="s">
        <v>52</v>
      </c>
      <c r="D103" s="80" t="s">
        <v>778</v>
      </c>
      <c r="E103" s="80" t="s">
        <v>777</v>
      </c>
      <c r="AS103" s="80">
        <v>3.8856000000000002</v>
      </c>
      <c r="AT103" s="80">
        <v>3.6023999999999998</v>
      </c>
      <c r="AU103" s="80">
        <v>3.5952999999999999</v>
      </c>
      <c r="AV103" s="80">
        <v>3.5847000000000002</v>
      </c>
      <c r="AW103" s="80">
        <v>3.5741999999999998</v>
      </c>
      <c r="AZ103" s="80">
        <v>3.8529</v>
      </c>
      <c r="BK103" s="80">
        <v>3.1446999999999998</v>
      </c>
      <c r="BN103" s="81">
        <f t="shared" si="2"/>
        <v>3.1446999999999998</v>
      </c>
      <c r="BO103" s="80">
        <f t="shared" si="3"/>
        <v>2017</v>
      </c>
    </row>
    <row r="104" spans="2:67" hidden="1" x14ac:dyDescent="0.75">
      <c r="B104" s="80" t="s">
        <v>404</v>
      </c>
      <c r="C104" s="80" t="s">
        <v>405</v>
      </c>
      <c r="D104" s="80" t="s">
        <v>778</v>
      </c>
      <c r="E104" s="80" t="s">
        <v>777</v>
      </c>
      <c r="BN104" s="81" t="str">
        <f t="shared" si="2"/>
        <v>No reported value</v>
      </c>
      <c r="BO104" s="80" t="str">
        <f t="shared" si="3"/>
        <v>No reported value</v>
      </c>
    </row>
    <row r="105" spans="2:67" hidden="1" x14ac:dyDescent="0.75">
      <c r="B105" s="80" t="s">
        <v>223</v>
      </c>
      <c r="C105" s="80" t="s">
        <v>53</v>
      </c>
      <c r="D105" s="80" t="s">
        <v>778</v>
      </c>
      <c r="E105" s="80" t="s">
        <v>777</v>
      </c>
      <c r="BC105" s="80">
        <v>0.86980000000000002</v>
      </c>
      <c r="BL105" s="80">
        <v>0.94699999999999995</v>
      </c>
      <c r="BN105" s="81">
        <f t="shared" si="2"/>
        <v>0.94699999999999995</v>
      </c>
      <c r="BO105" s="80">
        <f t="shared" si="3"/>
        <v>2018</v>
      </c>
    </row>
    <row r="106" spans="2:67" hidden="1" x14ac:dyDescent="0.75">
      <c r="B106" s="80" t="s">
        <v>407</v>
      </c>
      <c r="C106" s="80" t="s">
        <v>408</v>
      </c>
      <c r="D106" s="80" t="s">
        <v>778</v>
      </c>
      <c r="E106" s="80" t="s">
        <v>777</v>
      </c>
      <c r="BN106" s="81" t="str">
        <f t="shared" si="2"/>
        <v>No reported value</v>
      </c>
      <c r="BO106" s="80" t="str">
        <f t="shared" si="3"/>
        <v>No reported value</v>
      </c>
    </row>
    <row r="107" spans="2:67" hidden="1" x14ac:dyDescent="0.75">
      <c r="B107" s="80" t="s">
        <v>224</v>
      </c>
      <c r="C107" s="80" t="s">
        <v>54</v>
      </c>
      <c r="D107" s="80" t="s">
        <v>778</v>
      </c>
      <c r="E107" s="80" t="s">
        <v>777</v>
      </c>
      <c r="AT107" s="80">
        <v>2.3071999999999999</v>
      </c>
      <c r="BC107" s="80">
        <v>1.3263</v>
      </c>
      <c r="BD107" s="80">
        <v>1.0099</v>
      </c>
      <c r="BL107" s="80">
        <v>1.3398000000000001</v>
      </c>
      <c r="BN107" s="81">
        <f t="shared" si="2"/>
        <v>1.3398000000000001</v>
      </c>
      <c r="BO107" s="80">
        <f t="shared" si="3"/>
        <v>2018</v>
      </c>
    </row>
    <row r="108" spans="2:67" hidden="1" x14ac:dyDescent="0.75">
      <c r="B108" s="80" t="s">
        <v>411</v>
      </c>
      <c r="C108" s="80" t="s">
        <v>412</v>
      </c>
      <c r="D108" s="80" t="s">
        <v>778</v>
      </c>
      <c r="E108" s="80" t="s">
        <v>777</v>
      </c>
      <c r="BI108" s="80">
        <v>8.788130990114821</v>
      </c>
      <c r="BN108" s="81">
        <f t="shared" si="2"/>
        <v>8.788130990114821</v>
      </c>
      <c r="BO108" s="80">
        <f t="shared" si="3"/>
        <v>2015</v>
      </c>
    </row>
    <row r="109" spans="2:67" hidden="1" x14ac:dyDescent="0.75">
      <c r="B109" s="80" t="s">
        <v>413</v>
      </c>
      <c r="C109" s="80" t="s">
        <v>414</v>
      </c>
      <c r="D109" s="80" t="s">
        <v>778</v>
      </c>
      <c r="E109" s="80" t="s">
        <v>777</v>
      </c>
      <c r="BN109" s="81" t="str">
        <f t="shared" si="2"/>
        <v>No reported value</v>
      </c>
      <c r="BO109" s="80" t="str">
        <f t="shared" si="3"/>
        <v>No reported value</v>
      </c>
    </row>
    <row r="110" spans="2:67" hidden="1" x14ac:dyDescent="0.75">
      <c r="B110" s="80" t="s">
        <v>226</v>
      </c>
      <c r="C110" s="80" t="s">
        <v>166</v>
      </c>
      <c r="D110" s="80" t="s">
        <v>778</v>
      </c>
      <c r="E110" s="80" t="s">
        <v>777</v>
      </c>
      <c r="AT110" s="80">
        <v>1.3070999999999999</v>
      </c>
      <c r="AY110" s="80">
        <v>1.0572999999999999</v>
      </c>
      <c r="BG110" s="80">
        <v>0.37990000000000002</v>
      </c>
      <c r="BJ110" s="80">
        <v>1.7030000000000001</v>
      </c>
      <c r="BK110" s="80">
        <v>0.88149999999999995</v>
      </c>
      <c r="BN110" s="81">
        <f t="shared" si="2"/>
        <v>0.88149999999999995</v>
      </c>
      <c r="BO110" s="80">
        <f t="shared" si="3"/>
        <v>2017</v>
      </c>
    </row>
    <row r="111" spans="2:67" hidden="1" x14ac:dyDescent="0.75">
      <c r="B111" s="80" t="s">
        <v>409</v>
      </c>
      <c r="C111" s="80" t="s">
        <v>410</v>
      </c>
      <c r="D111" s="80" t="s">
        <v>778</v>
      </c>
      <c r="E111" s="80" t="s">
        <v>777</v>
      </c>
      <c r="BI111" s="80">
        <v>0.61916121624459475</v>
      </c>
      <c r="BN111" s="81">
        <f t="shared" si="2"/>
        <v>0.61916121624459475</v>
      </c>
      <c r="BO111" s="80">
        <f t="shared" si="3"/>
        <v>2015</v>
      </c>
    </row>
    <row r="112" spans="2:67" hidden="1" x14ac:dyDescent="0.75">
      <c r="B112" s="80" t="s">
        <v>359</v>
      </c>
      <c r="C112" s="80" t="s">
        <v>55</v>
      </c>
      <c r="D112" s="80" t="s">
        <v>778</v>
      </c>
      <c r="E112" s="80" t="s">
        <v>777</v>
      </c>
      <c r="AZ112" s="80">
        <v>5.46</v>
      </c>
      <c r="BA112" s="80">
        <v>5.58</v>
      </c>
      <c r="BD112" s="80">
        <v>6.1349</v>
      </c>
      <c r="BE112" s="80">
        <v>6.2775999999999996</v>
      </c>
      <c r="BF112" s="80">
        <v>6.3944999999999999</v>
      </c>
      <c r="BG112" s="80">
        <v>6.9272</v>
      </c>
      <c r="BH112" s="80">
        <v>6.5095000000000001</v>
      </c>
      <c r="BJ112" s="80">
        <v>8.1134000000000004</v>
      </c>
      <c r="BN112" s="81">
        <f t="shared" si="2"/>
        <v>8.1134000000000004</v>
      </c>
      <c r="BO112" s="80">
        <f t="shared" si="3"/>
        <v>2016</v>
      </c>
    </row>
    <row r="113" spans="2:67" hidden="1" x14ac:dyDescent="0.75">
      <c r="B113" s="80" t="s">
        <v>225</v>
      </c>
      <c r="C113" s="80" t="s">
        <v>56</v>
      </c>
      <c r="D113" s="80" t="s">
        <v>778</v>
      </c>
      <c r="E113" s="80" t="s">
        <v>777</v>
      </c>
      <c r="AR113" s="80">
        <v>0.10100000000000001</v>
      </c>
      <c r="BE113" s="80">
        <v>1.1811</v>
      </c>
      <c r="BL113" s="80">
        <v>0.6804</v>
      </c>
      <c r="BN113" s="81">
        <f t="shared" si="2"/>
        <v>0.6804</v>
      </c>
      <c r="BO113" s="80">
        <f t="shared" si="3"/>
        <v>2018</v>
      </c>
    </row>
    <row r="114" spans="2:67" hidden="1" x14ac:dyDescent="0.75">
      <c r="B114" s="80" t="s">
        <v>415</v>
      </c>
      <c r="C114" s="80" t="s">
        <v>57</v>
      </c>
      <c r="D114" s="80" t="s">
        <v>778</v>
      </c>
      <c r="E114" s="80" t="s">
        <v>777</v>
      </c>
      <c r="BD114" s="80">
        <v>6.6135999999999999</v>
      </c>
      <c r="BE114" s="80">
        <v>6.6079999999999997</v>
      </c>
      <c r="BF114" s="80">
        <v>6.5308999999999999</v>
      </c>
      <c r="BG114" s="80">
        <v>6.6310000000000002</v>
      </c>
      <c r="BH114" s="80">
        <v>6.6192000000000002</v>
      </c>
      <c r="BI114" s="80">
        <v>6.6810999999999998</v>
      </c>
      <c r="BJ114" s="80">
        <v>6.6425000000000001</v>
      </c>
      <c r="BN114" s="81">
        <f t="shared" si="2"/>
        <v>6.6425000000000001</v>
      </c>
      <c r="BO114" s="80">
        <f t="shared" si="3"/>
        <v>2016</v>
      </c>
    </row>
    <row r="115" spans="2:67" hidden="1" x14ac:dyDescent="0.75">
      <c r="B115" s="80" t="s">
        <v>634</v>
      </c>
      <c r="C115" s="80" t="s">
        <v>635</v>
      </c>
      <c r="D115" s="80" t="s">
        <v>778</v>
      </c>
      <c r="E115" s="80" t="s">
        <v>777</v>
      </c>
      <c r="AJ115" s="80">
        <v>0.70770905831749209</v>
      </c>
      <c r="AT115" s="80">
        <v>1.3854678163452225</v>
      </c>
      <c r="BI115" s="80">
        <v>2.8470624862975038</v>
      </c>
      <c r="BN115" s="81">
        <f t="shared" si="2"/>
        <v>2.8470624862975038</v>
      </c>
      <c r="BO115" s="80">
        <f t="shared" si="3"/>
        <v>2015</v>
      </c>
    </row>
    <row r="116" spans="2:67" hidden="1" x14ac:dyDescent="0.75">
      <c r="B116" s="80" t="s">
        <v>636</v>
      </c>
      <c r="C116" s="80" t="s">
        <v>637</v>
      </c>
      <c r="D116" s="80" t="s">
        <v>778</v>
      </c>
      <c r="E116" s="80" t="s">
        <v>777</v>
      </c>
      <c r="AT116" s="80">
        <v>1.3244409481533135</v>
      </c>
      <c r="BI116" s="80">
        <v>2.4086901567696866</v>
      </c>
      <c r="BN116" s="81">
        <f t="shared" si="2"/>
        <v>2.4086901567696866</v>
      </c>
      <c r="BO116" s="80">
        <f t="shared" si="3"/>
        <v>2015</v>
      </c>
    </row>
    <row r="117" spans="2:67" hidden="1" x14ac:dyDescent="0.75">
      <c r="B117" s="80" t="s">
        <v>638</v>
      </c>
      <c r="C117" s="80" t="s">
        <v>639</v>
      </c>
      <c r="D117" s="80" t="s">
        <v>778</v>
      </c>
      <c r="E117" s="80" t="s">
        <v>777</v>
      </c>
      <c r="BI117" s="80">
        <v>1.0762708382933868</v>
      </c>
      <c r="BN117" s="81">
        <f t="shared" si="2"/>
        <v>1.0762708382933868</v>
      </c>
      <c r="BO117" s="80">
        <f t="shared" si="3"/>
        <v>2015</v>
      </c>
    </row>
    <row r="118" spans="2:67" hidden="1" x14ac:dyDescent="0.75">
      <c r="B118" s="80" t="s">
        <v>640</v>
      </c>
      <c r="C118" s="80" t="s">
        <v>641</v>
      </c>
      <c r="D118" s="80" t="s">
        <v>778</v>
      </c>
      <c r="E118" s="80" t="s">
        <v>777</v>
      </c>
      <c r="BI118" s="80">
        <v>1.7315909698221195</v>
      </c>
      <c r="BN118" s="81">
        <f t="shared" si="2"/>
        <v>1.7315909698221195</v>
      </c>
      <c r="BO118" s="80">
        <f t="shared" si="3"/>
        <v>2015</v>
      </c>
    </row>
    <row r="119" spans="2:67" hidden="1" x14ac:dyDescent="0.75">
      <c r="B119" s="80" t="s">
        <v>242</v>
      </c>
      <c r="C119" s="80" t="s">
        <v>58</v>
      </c>
      <c r="D119" s="80" t="s">
        <v>778</v>
      </c>
      <c r="E119" s="80" t="s">
        <v>777</v>
      </c>
      <c r="AL119" s="80">
        <v>0.62639999999999996</v>
      </c>
      <c r="AW119" s="80">
        <v>0.81599999999999995</v>
      </c>
      <c r="BA119" s="80">
        <v>2.0409999999999999</v>
      </c>
      <c r="BC119" s="80">
        <v>0.81220000000000003</v>
      </c>
      <c r="BD119" s="80">
        <v>1.0581</v>
      </c>
      <c r="BF119" s="80">
        <v>1.3601000000000001</v>
      </c>
      <c r="BG119" s="80">
        <v>1.1443000000000001</v>
      </c>
      <c r="BI119" s="80">
        <v>1.3001</v>
      </c>
      <c r="BK119" s="80">
        <v>2.0583</v>
      </c>
      <c r="BN119" s="81">
        <f t="shared" si="2"/>
        <v>2.0583</v>
      </c>
      <c r="BO119" s="80">
        <f t="shared" si="3"/>
        <v>2017</v>
      </c>
    </row>
    <row r="120" spans="2:67" hidden="1" x14ac:dyDescent="0.75">
      <c r="B120" s="80" t="s">
        <v>642</v>
      </c>
      <c r="C120" s="80" t="s">
        <v>643</v>
      </c>
      <c r="D120" s="80" t="s">
        <v>778</v>
      </c>
      <c r="E120" s="80" t="s">
        <v>777</v>
      </c>
      <c r="BI120" s="80">
        <v>0.73536496745056712</v>
      </c>
      <c r="BN120" s="81">
        <f t="shared" si="2"/>
        <v>0.73536496745056712</v>
      </c>
      <c r="BO120" s="80">
        <f t="shared" si="3"/>
        <v>2015</v>
      </c>
    </row>
    <row r="121" spans="2:67" hidden="1" x14ac:dyDescent="0.75">
      <c r="B121" s="80" t="s">
        <v>421</v>
      </c>
      <c r="C121" s="80" t="s">
        <v>422</v>
      </c>
      <c r="D121" s="80" t="s">
        <v>778</v>
      </c>
      <c r="E121" s="80" t="s">
        <v>777</v>
      </c>
      <c r="BD121" s="80">
        <v>2.2730000000000001</v>
      </c>
      <c r="BN121" s="81">
        <f t="shared" si="2"/>
        <v>2.2730000000000001</v>
      </c>
      <c r="BO121" s="80">
        <f t="shared" si="3"/>
        <v>2010</v>
      </c>
    </row>
    <row r="122" spans="2:67" hidden="1" x14ac:dyDescent="0.75">
      <c r="B122" s="80" t="s">
        <v>417</v>
      </c>
      <c r="C122" s="80" t="s">
        <v>59</v>
      </c>
      <c r="D122" s="80" t="s">
        <v>778</v>
      </c>
      <c r="E122" s="80" t="s">
        <v>777</v>
      </c>
      <c r="AK122" s="80">
        <v>0.37669999999999998</v>
      </c>
      <c r="AT122" s="80">
        <v>1.1693</v>
      </c>
      <c r="AU122" s="80">
        <v>1.1856</v>
      </c>
      <c r="AW122" s="80">
        <v>1.2481</v>
      </c>
      <c r="AX122" s="80">
        <v>1.2630999999999999</v>
      </c>
      <c r="AY122" s="80">
        <v>1.2947</v>
      </c>
      <c r="BA122" s="80">
        <v>1.3329</v>
      </c>
      <c r="BB122" s="80">
        <v>1.3801000000000001</v>
      </c>
      <c r="BC122" s="80">
        <v>1.4020999999999999</v>
      </c>
      <c r="BD122" s="80">
        <v>1.5394000000000001</v>
      </c>
      <c r="BE122" s="80">
        <v>1.7035</v>
      </c>
      <c r="BF122" s="80">
        <v>1.1132</v>
      </c>
      <c r="BG122" s="80">
        <v>1.2218</v>
      </c>
      <c r="BH122" s="80">
        <v>1.3756999999999999</v>
      </c>
      <c r="BJ122" s="80">
        <v>2.0981000000000001</v>
      </c>
      <c r="BK122" s="80">
        <v>2.1071</v>
      </c>
      <c r="BN122" s="81">
        <f t="shared" si="2"/>
        <v>2.1071</v>
      </c>
      <c r="BO122" s="80">
        <f t="shared" si="3"/>
        <v>2017</v>
      </c>
    </row>
    <row r="123" spans="2:67" hidden="1" x14ac:dyDescent="0.75">
      <c r="B123" s="80" t="s">
        <v>489</v>
      </c>
      <c r="C123" s="80" t="s">
        <v>490</v>
      </c>
      <c r="D123" s="80" t="s">
        <v>778</v>
      </c>
      <c r="E123" s="80" t="s">
        <v>777</v>
      </c>
      <c r="BN123" s="81" t="str">
        <f t="shared" si="2"/>
        <v>No reported value</v>
      </c>
      <c r="BO123" s="80" t="str">
        <f t="shared" si="3"/>
        <v>No reported value</v>
      </c>
    </row>
    <row r="124" spans="2:67" hidden="1" x14ac:dyDescent="0.75">
      <c r="B124" s="80" t="s">
        <v>420</v>
      </c>
      <c r="C124" s="80" t="s">
        <v>60</v>
      </c>
      <c r="D124" s="80" t="s">
        <v>778</v>
      </c>
      <c r="E124" s="80" t="s">
        <v>777</v>
      </c>
      <c r="AX124" s="80">
        <v>15.196999999999999</v>
      </c>
      <c r="AZ124" s="80">
        <v>15.102</v>
      </c>
      <c r="BA124" s="80">
        <v>15.759</v>
      </c>
      <c r="BE124" s="80">
        <v>12.819000000000001</v>
      </c>
      <c r="BI124" s="80">
        <v>13.8727</v>
      </c>
      <c r="BJ124" s="80">
        <v>14.2949</v>
      </c>
      <c r="BN124" s="81">
        <f t="shared" si="2"/>
        <v>14.2949</v>
      </c>
      <c r="BO124" s="80">
        <f t="shared" si="3"/>
        <v>2016</v>
      </c>
    </row>
    <row r="125" spans="2:67" hidden="1" x14ac:dyDescent="0.75">
      <c r="B125" s="80" t="s">
        <v>418</v>
      </c>
      <c r="C125" s="80" t="s">
        <v>61</v>
      </c>
      <c r="D125" s="80" t="s">
        <v>778</v>
      </c>
      <c r="E125" s="80" t="s">
        <v>777</v>
      </c>
      <c r="AX125" s="80">
        <v>1.3827</v>
      </c>
      <c r="AY125" s="80">
        <v>1.3918999999999999</v>
      </c>
      <c r="AZ125" s="80">
        <v>1.6731</v>
      </c>
      <c r="BD125" s="80">
        <v>1.41</v>
      </c>
      <c r="BE125" s="80">
        <v>1.9744999999999999</v>
      </c>
      <c r="BH125" s="80">
        <v>1.5452999999999999</v>
      </c>
      <c r="BI125" s="80">
        <v>1.87</v>
      </c>
      <c r="BN125" s="81">
        <f t="shared" si="2"/>
        <v>1.87</v>
      </c>
      <c r="BO125" s="80">
        <f t="shared" si="3"/>
        <v>2015</v>
      </c>
    </row>
    <row r="126" spans="2:67" hidden="1" x14ac:dyDescent="0.75">
      <c r="B126" s="80" t="s">
        <v>419</v>
      </c>
      <c r="C126" s="80" t="s">
        <v>62</v>
      </c>
      <c r="D126" s="80" t="s">
        <v>778</v>
      </c>
      <c r="E126" s="80" t="s">
        <v>777</v>
      </c>
      <c r="AY126" s="80">
        <v>1.32</v>
      </c>
      <c r="BA126" s="80">
        <v>1.0489999999999999</v>
      </c>
      <c r="BH126" s="80">
        <v>1.8240000000000001</v>
      </c>
      <c r="BJ126" s="80">
        <v>1.94</v>
      </c>
      <c r="BK126" s="80">
        <v>1.6798999999999999</v>
      </c>
      <c r="BN126" s="81">
        <f t="shared" si="2"/>
        <v>1.6798999999999999</v>
      </c>
      <c r="BO126" s="80">
        <f t="shared" si="3"/>
        <v>2017</v>
      </c>
    </row>
    <row r="127" spans="2:67" hidden="1" x14ac:dyDescent="0.75">
      <c r="B127" s="80" t="s">
        <v>416</v>
      </c>
      <c r="C127" s="80" t="s">
        <v>63</v>
      </c>
      <c r="D127" s="80" t="s">
        <v>778</v>
      </c>
      <c r="E127" s="80" t="s">
        <v>777</v>
      </c>
      <c r="AT127" s="80">
        <v>14.03</v>
      </c>
      <c r="AU127" s="80">
        <v>14.012</v>
      </c>
      <c r="AV127" s="80">
        <v>14.1045</v>
      </c>
      <c r="AW127" s="80">
        <v>14.458299999999999</v>
      </c>
      <c r="AX127" s="80">
        <v>14.507</v>
      </c>
      <c r="AY127" s="80">
        <v>14.8407</v>
      </c>
      <c r="AZ127" s="80">
        <v>14.704700000000001</v>
      </c>
      <c r="BA127" s="80">
        <v>15.091699999999999</v>
      </c>
      <c r="BB127" s="80">
        <v>16.005099999999999</v>
      </c>
      <c r="BC127" s="80">
        <v>16.200600000000001</v>
      </c>
      <c r="BD127" s="80">
        <v>15.2201</v>
      </c>
      <c r="BE127" s="80">
        <v>15.4793</v>
      </c>
      <c r="BF127" s="80">
        <v>15.726599999999999</v>
      </c>
      <c r="BG127" s="80">
        <v>16.106999999999999</v>
      </c>
      <c r="BH127" s="80">
        <v>16.1005</v>
      </c>
      <c r="BI127" s="80">
        <v>16.314399999999999</v>
      </c>
      <c r="BJ127" s="80">
        <v>15.142899999999999</v>
      </c>
      <c r="BK127" s="80">
        <v>15.6806</v>
      </c>
      <c r="BN127" s="81">
        <f t="shared" si="2"/>
        <v>15.6806</v>
      </c>
      <c r="BO127" s="80">
        <f t="shared" si="3"/>
        <v>2017</v>
      </c>
    </row>
    <row r="128" spans="2:67" hidden="1" x14ac:dyDescent="0.75">
      <c r="B128" s="80" t="s">
        <v>423</v>
      </c>
      <c r="C128" s="80" t="s">
        <v>64</v>
      </c>
      <c r="D128" s="80" t="s">
        <v>778</v>
      </c>
      <c r="E128" s="80" t="s">
        <v>777</v>
      </c>
      <c r="AO128" s="80">
        <v>8.1349</v>
      </c>
      <c r="AZ128" s="80">
        <v>6.22</v>
      </c>
      <c r="BA128" s="80">
        <v>6.15</v>
      </c>
      <c r="BD128" s="80">
        <v>5.2633999999999999</v>
      </c>
      <c r="BE128" s="80">
        <v>5.375</v>
      </c>
      <c r="BF128" s="80">
        <v>4.9528999999999996</v>
      </c>
      <c r="BG128" s="80">
        <v>5.0121000000000002</v>
      </c>
      <c r="BH128" s="80">
        <v>5.0327999999999999</v>
      </c>
      <c r="BI128" s="80">
        <v>5.0715000000000003</v>
      </c>
      <c r="BJ128" s="80">
        <v>5.2043999999999997</v>
      </c>
      <c r="BN128" s="81">
        <f t="shared" si="2"/>
        <v>5.2043999999999997</v>
      </c>
      <c r="BO128" s="80">
        <f t="shared" si="3"/>
        <v>2016</v>
      </c>
    </row>
    <row r="129" spans="2:67" hidden="1" x14ac:dyDescent="0.75">
      <c r="B129" s="80" t="s">
        <v>424</v>
      </c>
      <c r="C129" s="80" t="s">
        <v>65</v>
      </c>
      <c r="D129" s="80" t="s">
        <v>778</v>
      </c>
      <c r="E129" s="80" t="s">
        <v>777</v>
      </c>
      <c r="AW129" s="80">
        <v>5.44</v>
      </c>
      <c r="AZ129" s="80">
        <v>6.9320000000000004</v>
      </c>
      <c r="BE129" s="80">
        <v>6.9413999999999998</v>
      </c>
      <c r="BF129" s="80">
        <v>6.8861999999999997</v>
      </c>
      <c r="BG129" s="80">
        <v>6.6079999999999997</v>
      </c>
      <c r="BH129" s="80">
        <v>5.6445999999999996</v>
      </c>
      <c r="BI129" s="80">
        <v>5.8183999999999996</v>
      </c>
      <c r="BJ129" s="80">
        <v>5.9569999999999999</v>
      </c>
      <c r="BK129" s="80">
        <v>5.8693</v>
      </c>
      <c r="BN129" s="81">
        <f t="shared" si="2"/>
        <v>5.8693</v>
      </c>
      <c r="BO129" s="80">
        <f t="shared" si="3"/>
        <v>2017</v>
      </c>
    </row>
    <row r="130" spans="2:67" hidden="1" x14ac:dyDescent="0.75">
      <c r="B130" s="80" t="s">
        <v>425</v>
      </c>
      <c r="C130" s="80" t="s">
        <v>66</v>
      </c>
      <c r="D130" s="80" t="s">
        <v>778</v>
      </c>
      <c r="E130" s="80" t="s">
        <v>777</v>
      </c>
      <c r="AW130" s="80">
        <v>1.6125</v>
      </c>
      <c r="BB130" s="80">
        <v>1.0501</v>
      </c>
      <c r="BF130" s="80">
        <v>1.5125</v>
      </c>
      <c r="BG130" s="80">
        <v>1.4383999999999999</v>
      </c>
      <c r="BH130" s="80">
        <v>1.4336</v>
      </c>
      <c r="BI130" s="80">
        <v>1.4582999999999999</v>
      </c>
      <c r="BJ130" s="80">
        <v>1.6204000000000001</v>
      </c>
      <c r="BK130" s="80">
        <v>1.1396999999999999</v>
      </c>
      <c r="BN130" s="81">
        <f t="shared" si="2"/>
        <v>1.1396999999999999</v>
      </c>
      <c r="BO130" s="80">
        <f t="shared" si="3"/>
        <v>2017</v>
      </c>
    </row>
    <row r="131" spans="2:67" hidden="1" x14ac:dyDescent="0.75">
      <c r="B131" s="80" t="s">
        <v>427</v>
      </c>
      <c r="C131" s="80" t="s">
        <v>67</v>
      </c>
      <c r="D131" s="80" t="s">
        <v>778</v>
      </c>
      <c r="E131" s="80" t="s">
        <v>777</v>
      </c>
      <c r="AR131" s="80">
        <v>2.8186</v>
      </c>
      <c r="AS131" s="80">
        <v>2.9268999999999998</v>
      </c>
      <c r="AT131" s="80">
        <v>3.0507</v>
      </c>
      <c r="AU131" s="80">
        <v>3.0638000000000001</v>
      </c>
      <c r="AV131" s="80">
        <v>2.8380000000000001</v>
      </c>
      <c r="AW131" s="80">
        <v>2.9994000000000001</v>
      </c>
      <c r="AX131" s="80">
        <v>3.2871000000000001</v>
      </c>
      <c r="AY131" s="80">
        <v>3.05</v>
      </c>
      <c r="AZ131" s="80">
        <v>3.339</v>
      </c>
      <c r="BA131" s="80">
        <v>3.0478999999999998</v>
      </c>
      <c r="BB131" s="80">
        <v>2.9870999999999999</v>
      </c>
      <c r="BC131" s="80">
        <v>3.5362</v>
      </c>
      <c r="BD131" s="80">
        <v>3.5728</v>
      </c>
      <c r="BG131" s="80">
        <v>3.4775999999999998</v>
      </c>
      <c r="BH131" s="80">
        <v>3.4466999999999999</v>
      </c>
      <c r="BI131" s="80">
        <v>2.5821999999999998</v>
      </c>
      <c r="BJ131" s="80">
        <v>1.89</v>
      </c>
      <c r="BK131" s="80">
        <v>3.3885999999999998</v>
      </c>
      <c r="BN131" s="81">
        <f t="shared" si="2"/>
        <v>3.3885999999999998</v>
      </c>
      <c r="BO131" s="80">
        <f t="shared" si="3"/>
        <v>2017</v>
      </c>
    </row>
    <row r="132" spans="2:67" hidden="1" x14ac:dyDescent="0.75">
      <c r="B132" s="80" t="s">
        <v>426</v>
      </c>
      <c r="C132" s="80" t="s">
        <v>68</v>
      </c>
      <c r="D132" s="80" t="s">
        <v>778</v>
      </c>
      <c r="E132" s="80" t="s">
        <v>777</v>
      </c>
      <c r="AJ132" s="80">
        <v>6.3728999999999996</v>
      </c>
      <c r="AL132" s="80">
        <v>6.7447999999999997</v>
      </c>
      <c r="AN132" s="80">
        <v>7.2508999999999997</v>
      </c>
      <c r="AP132" s="80">
        <v>7.7698999999999998</v>
      </c>
      <c r="AR132" s="80">
        <v>8.2161000000000008</v>
      </c>
      <c r="AT132" s="80">
        <v>8.6546000000000003</v>
      </c>
      <c r="AV132" s="80">
        <v>9.0696999999999992</v>
      </c>
      <c r="AX132" s="80">
        <v>9.4422999999999995</v>
      </c>
      <c r="AZ132" s="80">
        <v>9.8111999999999995</v>
      </c>
      <c r="BB132" s="80">
        <v>10.295199999999999</v>
      </c>
      <c r="BD132" s="80">
        <v>10.273099999999999</v>
      </c>
      <c r="BE132" s="80">
        <v>11.638199999999999</v>
      </c>
      <c r="BF132" s="80">
        <v>10.6889</v>
      </c>
      <c r="BH132" s="80">
        <v>11.1212</v>
      </c>
      <c r="BJ132" s="80">
        <v>11.5184</v>
      </c>
      <c r="BN132" s="81">
        <f t="shared" si="2"/>
        <v>11.5184</v>
      </c>
      <c r="BO132" s="80">
        <f t="shared" si="3"/>
        <v>2016</v>
      </c>
    </row>
    <row r="133" spans="2:67" hidden="1" x14ac:dyDescent="0.75">
      <c r="B133" s="80" t="s">
        <v>428</v>
      </c>
      <c r="C133" s="80" t="s">
        <v>69</v>
      </c>
      <c r="D133" s="80" t="s">
        <v>778</v>
      </c>
      <c r="E133" s="80" t="s">
        <v>777</v>
      </c>
      <c r="AZ133" s="80">
        <v>7.64</v>
      </c>
      <c r="BA133" s="80">
        <v>7.83</v>
      </c>
      <c r="BC133" s="80">
        <v>8.2759999999999998</v>
      </c>
      <c r="BD133" s="80">
        <v>8.2398000000000007</v>
      </c>
      <c r="BE133" s="80">
        <v>8.4177999999999997</v>
      </c>
      <c r="BF133" s="80">
        <v>8.5564</v>
      </c>
      <c r="BG133" s="80">
        <v>8.4890000000000008</v>
      </c>
      <c r="BN133" s="81">
        <f t="shared" si="2"/>
        <v>8.4890000000000008</v>
      </c>
      <c r="BO133" s="80">
        <f t="shared" si="3"/>
        <v>2013</v>
      </c>
    </row>
    <row r="134" spans="2:67" hidden="1" x14ac:dyDescent="0.75">
      <c r="B134" s="80" t="s">
        <v>199</v>
      </c>
      <c r="C134" s="80" t="s">
        <v>70</v>
      </c>
      <c r="D134" s="80" t="s">
        <v>778</v>
      </c>
      <c r="E134" s="80" t="s">
        <v>777</v>
      </c>
      <c r="AX134" s="80">
        <v>0.46029999999999999</v>
      </c>
      <c r="BB134" s="80">
        <v>0.35949999999999999</v>
      </c>
      <c r="BC134" s="80">
        <v>0.39629999999999999</v>
      </c>
      <c r="BD134" s="80">
        <v>0.7177</v>
      </c>
      <c r="BE134" s="80">
        <v>1.4152</v>
      </c>
      <c r="BF134" s="80">
        <v>1.4152</v>
      </c>
      <c r="BG134" s="80">
        <v>1.4443999999999999</v>
      </c>
      <c r="BH134" s="80">
        <v>1.5421</v>
      </c>
      <c r="BN134" s="81">
        <f t="shared" si="2"/>
        <v>1.5421</v>
      </c>
      <c r="BO134" s="80">
        <f t="shared" si="3"/>
        <v>2014</v>
      </c>
    </row>
    <row r="135" spans="2:67" hidden="1" x14ac:dyDescent="0.75">
      <c r="B135" s="80" t="s">
        <v>433</v>
      </c>
      <c r="C135" s="80" t="s">
        <v>71</v>
      </c>
      <c r="D135" s="80" t="s">
        <v>778</v>
      </c>
      <c r="E135" s="80" t="s">
        <v>777</v>
      </c>
      <c r="AZ135" s="80">
        <v>5.79</v>
      </c>
      <c r="BA135" s="80">
        <v>5.6619999999999999</v>
      </c>
      <c r="BB135" s="80">
        <v>5.5155000000000003</v>
      </c>
      <c r="BC135" s="80">
        <v>5.4881000000000002</v>
      </c>
      <c r="BD135" s="80">
        <v>6.0228999999999999</v>
      </c>
      <c r="BE135" s="80">
        <v>6.2274000000000003</v>
      </c>
      <c r="BF135" s="80">
        <v>6.3700999999999999</v>
      </c>
      <c r="BG135" s="80">
        <v>6.4298999999999999</v>
      </c>
      <c r="BN135" s="81">
        <f t="shared" si="2"/>
        <v>6.4298999999999999</v>
      </c>
      <c r="BO135" s="80">
        <f t="shared" si="3"/>
        <v>2013</v>
      </c>
    </row>
    <row r="136" spans="2:67" hidden="1" x14ac:dyDescent="0.75">
      <c r="B136" s="80" t="s">
        <v>247</v>
      </c>
      <c r="C136" s="80" t="s">
        <v>72</v>
      </c>
      <c r="D136" s="80" t="s">
        <v>778</v>
      </c>
      <c r="E136" s="80" t="s">
        <v>777</v>
      </c>
      <c r="AP136" s="80">
        <v>1.0591999999999999</v>
      </c>
      <c r="AR136" s="80">
        <v>1.0079</v>
      </c>
      <c r="AT136" s="80">
        <v>0.91549999999999998</v>
      </c>
      <c r="BB136" s="80">
        <v>0.84550000000000003</v>
      </c>
      <c r="BC136" s="80">
        <v>0.85460000000000003</v>
      </c>
      <c r="BD136" s="80">
        <v>0.85619999999999996</v>
      </c>
      <c r="BE136" s="80">
        <v>0.87350000000000005</v>
      </c>
      <c r="BF136" s="80">
        <v>0.92320000000000002</v>
      </c>
      <c r="BG136" s="80">
        <v>0.95979999999999999</v>
      </c>
      <c r="BH136" s="80">
        <v>0.95469999999999999</v>
      </c>
      <c r="BN136" s="81">
        <f t="shared" si="2"/>
        <v>0.95469999999999999</v>
      </c>
      <c r="BO136" s="80">
        <f t="shared" si="3"/>
        <v>2014</v>
      </c>
    </row>
    <row r="137" spans="2:67" hidden="1" x14ac:dyDescent="0.75">
      <c r="B137" s="80" t="s">
        <v>249</v>
      </c>
      <c r="C137" s="80" t="s">
        <v>73</v>
      </c>
      <c r="D137" s="80" t="s">
        <v>778</v>
      </c>
      <c r="E137" s="80" t="s">
        <v>777</v>
      </c>
      <c r="AR137" s="80">
        <v>2.3407</v>
      </c>
      <c r="AX137" s="80">
        <v>2.8729</v>
      </c>
      <c r="BB137" s="80">
        <v>3.6686999999999999</v>
      </c>
      <c r="BC137" s="80">
        <v>3.5230000000000001</v>
      </c>
      <c r="BD137" s="80">
        <v>3.9376000000000002</v>
      </c>
      <c r="BE137" s="80">
        <v>3.9350999999999998</v>
      </c>
      <c r="BG137" s="80">
        <v>4.6174999999999997</v>
      </c>
      <c r="BJ137" s="80">
        <v>4.8287000000000004</v>
      </c>
      <c r="BN137" s="81">
        <f t="shared" si="2"/>
        <v>4.8287000000000004</v>
      </c>
      <c r="BO137" s="80">
        <f t="shared" si="3"/>
        <v>2016</v>
      </c>
    </row>
    <row r="138" spans="2:67" hidden="1" x14ac:dyDescent="0.75">
      <c r="B138" s="80" t="s">
        <v>531</v>
      </c>
      <c r="C138" s="80" t="s">
        <v>532</v>
      </c>
      <c r="D138" s="80" t="s">
        <v>778</v>
      </c>
      <c r="E138" s="80" t="s">
        <v>777</v>
      </c>
      <c r="AJ138" s="80">
        <v>6.9363000000000001</v>
      </c>
      <c r="AK138" s="80">
        <v>6.9268000000000001</v>
      </c>
      <c r="AL138" s="80">
        <v>6.9081999999999999</v>
      </c>
      <c r="AM138" s="80">
        <v>6.8421000000000003</v>
      </c>
      <c r="AN138" s="80">
        <v>5.9433999999999996</v>
      </c>
      <c r="AO138" s="80">
        <v>5.641</v>
      </c>
      <c r="AP138" s="80">
        <v>5.8525</v>
      </c>
      <c r="AQ138" s="80">
        <v>5.5479000000000003</v>
      </c>
      <c r="AR138" s="80">
        <v>5.6208</v>
      </c>
      <c r="AS138" s="80">
        <v>5.8929</v>
      </c>
      <c r="AT138" s="80">
        <v>4.7140000000000004</v>
      </c>
      <c r="AU138" s="80">
        <v>6.3913000000000002</v>
      </c>
      <c r="BI138" s="80">
        <v>3.9779</v>
      </c>
      <c r="BN138" s="81">
        <f t="shared" si="2"/>
        <v>3.9779</v>
      </c>
      <c r="BO138" s="80">
        <f t="shared" si="3"/>
        <v>2015</v>
      </c>
    </row>
    <row r="139" spans="2:67" hidden="1" x14ac:dyDescent="0.75">
      <c r="B139" s="80" t="s">
        <v>430</v>
      </c>
      <c r="C139" s="80" t="s">
        <v>74</v>
      </c>
      <c r="D139" s="80" t="s">
        <v>778</v>
      </c>
      <c r="E139" s="80" t="s">
        <v>777</v>
      </c>
      <c r="AW139" s="80">
        <v>1.7470000000000001</v>
      </c>
      <c r="AX139" s="80">
        <v>4.3433000000000002</v>
      </c>
      <c r="AY139" s="80">
        <v>4.5639000000000003</v>
      </c>
      <c r="AZ139" s="80">
        <v>4.7519999999999998</v>
      </c>
      <c r="BA139" s="80">
        <v>4.9787999999999997</v>
      </c>
      <c r="BB139" s="80">
        <v>5.1891999999999996</v>
      </c>
      <c r="BC139" s="80">
        <v>5.4105999999999996</v>
      </c>
      <c r="BD139" s="80">
        <v>5.6242999999999999</v>
      </c>
      <c r="BE139" s="80">
        <v>4.7499000000000002</v>
      </c>
      <c r="BF139" s="80">
        <v>4.8727</v>
      </c>
      <c r="BG139" s="80">
        <v>5.2442000000000002</v>
      </c>
      <c r="BH139" s="80">
        <v>5.6345000000000001</v>
      </c>
      <c r="BI139" s="80">
        <v>6.0114999999999998</v>
      </c>
      <c r="BJ139" s="80">
        <v>6.8593999999999999</v>
      </c>
      <c r="BK139" s="80">
        <v>6.9734999999999996</v>
      </c>
      <c r="BN139" s="81">
        <f t="shared" si="2"/>
        <v>6.9734999999999996</v>
      </c>
      <c r="BO139" s="80">
        <f t="shared" si="3"/>
        <v>2017</v>
      </c>
    </row>
    <row r="140" spans="2:67" hidden="1" x14ac:dyDescent="0.75">
      <c r="B140" s="80" t="s">
        <v>432</v>
      </c>
      <c r="C140" s="80" t="s">
        <v>75</v>
      </c>
      <c r="D140" s="80" t="s">
        <v>778</v>
      </c>
      <c r="E140" s="80" t="s">
        <v>777</v>
      </c>
      <c r="AU140" s="80">
        <v>4.3600000000000003</v>
      </c>
      <c r="AY140" s="80">
        <v>3.7</v>
      </c>
      <c r="AZ140" s="80">
        <v>4.1467000000000001</v>
      </c>
      <c r="BA140" s="80">
        <v>4.3269000000000002</v>
      </c>
      <c r="BB140" s="80">
        <v>4.6826999999999996</v>
      </c>
      <c r="BC140" s="80">
        <v>4.8083</v>
      </c>
      <c r="BD140" s="80">
        <v>6.5157999999999996</v>
      </c>
      <c r="BE140" s="80">
        <v>6.4542000000000002</v>
      </c>
      <c r="BF140" s="80">
        <v>6.3323</v>
      </c>
      <c r="BG140" s="80">
        <v>6.0812999999999997</v>
      </c>
      <c r="BH140" s="80">
        <v>6.4996999999999998</v>
      </c>
      <c r="BI140" s="80">
        <v>6.9694000000000003</v>
      </c>
      <c r="BN140" s="81">
        <f t="shared" si="2"/>
        <v>6.9694000000000003</v>
      </c>
      <c r="BO140" s="80">
        <f t="shared" si="3"/>
        <v>2015</v>
      </c>
    </row>
    <row r="141" spans="2:67" hidden="1" x14ac:dyDescent="0.75">
      <c r="B141" s="80" t="s">
        <v>439</v>
      </c>
      <c r="C141" s="80" t="s">
        <v>440</v>
      </c>
      <c r="D141" s="80" t="s">
        <v>778</v>
      </c>
      <c r="E141" s="80" t="s">
        <v>777</v>
      </c>
      <c r="AT141" s="80">
        <v>2.1003765626279058</v>
      </c>
      <c r="BI141" s="80">
        <v>4.8899261545117172</v>
      </c>
      <c r="BN141" s="81">
        <f t="shared" si="2"/>
        <v>4.8899261545117172</v>
      </c>
      <c r="BO141" s="80">
        <f t="shared" si="3"/>
        <v>2015</v>
      </c>
    </row>
    <row r="142" spans="2:67" hidden="1" x14ac:dyDescent="0.75">
      <c r="B142" s="80" t="s">
        <v>434</v>
      </c>
      <c r="C142" s="80" t="s">
        <v>76</v>
      </c>
      <c r="D142" s="80" t="s">
        <v>778</v>
      </c>
      <c r="E142" s="80" t="s">
        <v>777</v>
      </c>
      <c r="AO142" s="80">
        <v>1.2552000000000001</v>
      </c>
      <c r="AT142" s="80">
        <v>1.0232000000000001</v>
      </c>
      <c r="AX142" s="80">
        <v>0.98860000000000003</v>
      </c>
      <c r="AY142" s="80">
        <v>0.99480000000000002</v>
      </c>
      <c r="BC142" s="80">
        <v>0.86509999999999998</v>
      </c>
      <c r="BD142" s="80">
        <v>0.85760000000000003</v>
      </c>
      <c r="BF142" s="80">
        <v>0.87</v>
      </c>
      <c r="BG142" s="80">
        <v>0.92800000000000005</v>
      </c>
      <c r="BH142" s="80">
        <v>0.97560000000000002</v>
      </c>
      <c r="BN142" s="81">
        <f t="shared" si="2"/>
        <v>0.97560000000000002</v>
      </c>
      <c r="BO142" s="80">
        <f t="shared" si="3"/>
        <v>2014</v>
      </c>
    </row>
    <row r="143" spans="2:67" hidden="1" x14ac:dyDescent="0.75">
      <c r="B143" s="80" t="s">
        <v>446</v>
      </c>
      <c r="C143" s="80" t="s">
        <v>77</v>
      </c>
      <c r="D143" s="80" t="s">
        <v>778</v>
      </c>
      <c r="E143" s="80" t="s">
        <v>777</v>
      </c>
      <c r="AU143" s="80">
        <v>1.2372000000000001</v>
      </c>
      <c r="AY143" s="80">
        <v>1.1839</v>
      </c>
      <c r="BA143" s="80">
        <v>1.6960999999999999</v>
      </c>
      <c r="BC143" s="80">
        <v>1.9810000000000001</v>
      </c>
      <c r="BD143" s="80">
        <v>2.0268999999999999</v>
      </c>
      <c r="BE143" s="80">
        <v>2.5247999999999999</v>
      </c>
      <c r="BG143" s="80">
        <v>2.6150000000000002</v>
      </c>
      <c r="BH143" s="80">
        <v>2.4935</v>
      </c>
      <c r="BI143" s="80">
        <v>2.4438</v>
      </c>
      <c r="BJ143" s="80">
        <v>2.4773999999999998</v>
      </c>
      <c r="BK143" s="80">
        <v>2.6448</v>
      </c>
      <c r="BN143" s="81">
        <f t="shared" ref="BN143:BN206" si="4">IFERROR(LOOKUP(2,1/(ISNUMBER(F143:BM143)),F143:BM143),"No reported value")</f>
        <v>2.6448</v>
      </c>
      <c r="BO143" s="80">
        <f t="shared" ref="BO143:BO206" si="5">IFERROR(INDEX($F$14:$BM$14,1,MATCH($BN143,$F143:$BM143,0)),"No reported value")</f>
        <v>2017</v>
      </c>
    </row>
    <row r="144" spans="2:67" hidden="1" x14ac:dyDescent="0.75">
      <c r="B144" s="80" t="s">
        <v>201</v>
      </c>
      <c r="C144" s="80" t="s">
        <v>78</v>
      </c>
      <c r="D144" s="80" t="s">
        <v>778</v>
      </c>
      <c r="E144" s="80" t="s">
        <v>777</v>
      </c>
      <c r="AX144" s="80">
        <v>0.32579999999999998</v>
      </c>
      <c r="BB144" s="80">
        <v>0.26700000000000002</v>
      </c>
      <c r="BD144" s="80">
        <v>0.4572</v>
      </c>
      <c r="BI144" s="80">
        <v>0.1007</v>
      </c>
      <c r="BN144" s="81">
        <f t="shared" si="4"/>
        <v>0.1007</v>
      </c>
      <c r="BO144" s="80">
        <f t="shared" si="5"/>
        <v>2015</v>
      </c>
    </row>
    <row r="145" spans="2:67" hidden="1" x14ac:dyDescent="0.75">
      <c r="B145" s="80" t="s">
        <v>447</v>
      </c>
      <c r="C145" s="80" t="s">
        <v>79</v>
      </c>
      <c r="D145" s="80" t="s">
        <v>778</v>
      </c>
      <c r="E145" s="80" t="s">
        <v>777</v>
      </c>
      <c r="AQ145" s="80">
        <v>3.4742999999999999</v>
      </c>
      <c r="AX145" s="80">
        <v>4.7609000000000004</v>
      </c>
      <c r="BB145" s="80">
        <v>5.5327000000000002</v>
      </c>
      <c r="BC145" s="80">
        <v>7.0218999999999996</v>
      </c>
      <c r="BD145" s="80">
        <v>6.8</v>
      </c>
      <c r="BG145" s="80">
        <v>7.0998999999999999</v>
      </c>
      <c r="BH145" s="80">
        <v>6.9657</v>
      </c>
      <c r="BK145" s="80">
        <v>6.7416</v>
      </c>
      <c r="BN145" s="81">
        <f t="shared" si="4"/>
        <v>6.7416</v>
      </c>
      <c r="BO145" s="80">
        <f t="shared" si="5"/>
        <v>2017</v>
      </c>
    </row>
    <row r="146" spans="2:67" hidden="1" x14ac:dyDescent="0.75">
      <c r="B146" s="80" t="s">
        <v>533</v>
      </c>
      <c r="C146" s="80" t="s">
        <v>80</v>
      </c>
      <c r="D146" s="80" t="s">
        <v>778</v>
      </c>
      <c r="E146" s="80" t="s">
        <v>777</v>
      </c>
      <c r="AS146" s="80">
        <v>2.1326999999999998</v>
      </c>
      <c r="AU146" s="80">
        <v>2.3407</v>
      </c>
      <c r="AW146" s="80">
        <v>3.0745</v>
      </c>
      <c r="AX146" s="80">
        <v>2.3119999999999998</v>
      </c>
      <c r="AY146" s="80">
        <v>1.9914000000000001</v>
      </c>
      <c r="BH146" s="80">
        <v>1.5872999999999999</v>
      </c>
      <c r="BN146" s="81">
        <f t="shared" si="4"/>
        <v>1.5872999999999999</v>
      </c>
      <c r="BO146" s="80">
        <f t="shared" si="5"/>
        <v>2014</v>
      </c>
    </row>
    <row r="147" spans="2:67" hidden="1" x14ac:dyDescent="0.75">
      <c r="B147" s="80" t="s">
        <v>437</v>
      </c>
      <c r="C147" s="80" t="s">
        <v>438</v>
      </c>
      <c r="D147" s="80" t="s">
        <v>778</v>
      </c>
      <c r="E147" s="80" t="s">
        <v>777</v>
      </c>
      <c r="AT147" s="80">
        <v>2.0400491942166994</v>
      </c>
      <c r="BI147" s="80">
        <v>4.7222119135516918</v>
      </c>
      <c r="BN147" s="81">
        <f t="shared" si="4"/>
        <v>4.7222119135516918</v>
      </c>
      <c r="BO147" s="80">
        <f t="shared" si="5"/>
        <v>2015</v>
      </c>
    </row>
    <row r="148" spans="2:67" hidden="1" x14ac:dyDescent="0.75">
      <c r="B148" s="80" t="s">
        <v>444</v>
      </c>
      <c r="C148" s="80" t="s">
        <v>445</v>
      </c>
      <c r="D148" s="80" t="s">
        <v>778</v>
      </c>
      <c r="E148" s="80" t="s">
        <v>777</v>
      </c>
      <c r="BI148" s="80">
        <v>0.63515333632387161</v>
      </c>
      <c r="BN148" s="81">
        <f t="shared" si="4"/>
        <v>0.63515333632387161</v>
      </c>
      <c r="BO148" s="80">
        <f t="shared" si="5"/>
        <v>2015</v>
      </c>
    </row>
    <row r="149" spans="2:67" hidden="1" x14ac:dyDescent="0.75">
      <c r="B149" s="80" t="s">
        <v>453</v>
      </c>
      <c r="C149" s="80" t="s">
        <v>454</v>
      </c>
      <c r="D149" s="80" t="s">
        <v>778</v>
      </c>
      <c r="E149" s="80" t="s">
        <v>777</v>
      </c>
      <c r="BI149" s="80">
        <v>0.86037058799742272</v>
      </c>
      <c r="BN149" s="81">
        <f t="shared" si="4"/>
        <v>0.86037058799742272</v>
      </c>
      <c r="BO149" s="80">
        <f t="shared" si="5"/>
        <v>2015</v>
      </c>
    </row>
    <row r="150" spans="2:67" hidden="1" x14ac:dyDescent="0.75">
      <c r="B150" s="80" t="s">
        <v>448</v>
      </c>
      <c r="C150" s="80" t="s">
        <v>449</v>
      </c>
      <c r="D150" s="80" t="s">
        <v>778</v>
      </c>
      <c r="E150" s="80" t="s">
        <v>777</v>
      </c>
      <c r="BN150" s="81" t="str">
        <f t="shared" si="4"/>
        <v>No reported value</v>
      </c>
      <c r="BO150" s="80" t="str">
        <f t="shared" si="5"/>
        <v>No reported value</v>
      </c>
    </row>
    <row r="151" spans="2:67" hidden="1" x14ac:dyDescent="0.75">
      <c r="B151" s="80" t="s">
        <v>245</v>
      </c>
      <c r="C151" s="80" t="s">
        <v>81</v>
      </c>
      <c r="D151" s="80" t="s">
        <v>778</v>
      </c>
      <c r="E151" s="80" t="s">
        <v>777</v>
      </c>
      <c r="AJ151" s="80">
        <v>0.73709999999999998</v>
      </c>
      <c r="AK151" s="80">
        <v>0.8014</v>
      </c>
      <c r="AL151" s="80">
        <v>0.86770000000000003</v>
      </c>
      <c r="AM151" s="80">
        <v>1.0296000000000001</v>
      </c>
      <c r="AN151" s="80">
        <v>0.9647</v>
      </c>
      <c r="AO151" s="80">
        <v>1.0846</v>
      </c>
      <c r="AP151" s="80">
        <v>0.75839999999999996</v>
      </c>
      <c r="AQ151" s="80">
        <v>0.74770000000000003</v>
      </c>
      <c r="AR151" s="80">
        <v>0.7873</v>
      </c>
      <c r="AS151" s="80">
        <v>0.75270000000000004</v>
      </c>
      <c r="AT151" s="80">
        <v>1.1916</v>
      </c>
      <c r="AU151" s="80">
        <v>0.83520000000000005</v>
      </c>
      <c r="AV151" s="80">
        <v>1.0624</v>
      </c>
      <c r="AX151" s="80">
        <v>1.7155</v>
      </c>
      <c r="AY151" s="80">
        <v>1.4092</v>
      </c>
      <c r="AZ151" s="80">
        <v>1.6737</v>
      </c>
      <c r="BA151" s="80">
        <v>2.0533000000000001</v>
      </c>
      <c r="BB151" s="80">
        <v>1.5072000000000001</v>
      </c>
      <c r="BC151" s="80">
        <v>1.5589999999999999</v>
      </c>
      <c r="BD151" s="80">
        <v>1.7509999999999999</v>
      </c>
      <c r="BG151" s="80">
        <v>2.0085000000000002</v>
      </c>
      <c r="BI151" s="80">
        <v>2.4870000000000001</v>
      </c>
      <c r="BJ151" s="80">
        <v>2.1154999999999999</v>
      </c>
      <c r="BN151" s="81">
        <f t="shared" si="4"/>
        <v>2.1154999999999999</v>
      </c>
      <c r="BO151" s="80">
        <f t="shared" si="5"/>
        <v>2016</v>
      </c>
    </row>
    <row r="152" spans="2:67" hidden="1" x14ac:dyDescent="0.75">
      <c r="B152" s="80" t="s">
        <v>455</v>
      </c>
      <c r="C152" s="80" t="s">
        <v>456</v>
      </c>
      <c r="D152" s="80" t="s">
        <v>778</v>
      </c>
      <c r="E152" s="80" t="s">
        <v>777</v>
      </c>
      <c r="BI152" s="80">
        <v>1.801820778406602</v>
      </c>
      <c r="BN152" s="81">
        <f t="shared" si="4"/>
        <v>1.801820778406602</v>
      </c>
      <c r="BO152" s="80">
        <f t="shared" si="5"/>
        <v>2015</v>
      </c>
    </row>
    <row r="153" spans="2:67" hidden="1" x14ac:dyDescent="0.75">
      <c r="B153" s="80" t="s">
        <v>451</v>
      </c>
      <c r="C153" s="80" t="s">
        <v>452</v>
      </c>
      <c r="D153" s="80" t="s">
        <v>778</v>
      </c>
      <c r="E153" s="80" t="s">
        <v>777</v>
      </c>
      <c r="AT153" s="80">
        <v>1.3481760270044507</v>
      </c>
      <c r="BI153" s="80">
        <v>2.4076816361680979</v>
      </c>
      <c r="BN153" s="81">
        <f t="shared" si="4"/>
        <v>2.4076816361680979</v>
      </c>
      <c r="BO153" s="80">
        <f t="shared" si="5"/>
        <v>2015</v>
      </c>
    </row>
    <row r="154" spans="2:67" hidden="1" x14ac:dyDescent="0.75">
      <c r="B154" s="80" t="s">
        <v>200</v>
      </c>
      <c r="C154" s="80" t="s">
        <v>167</v>
      </c>
      <c r="D154" s="80" t="s">
        <v>778</v>
      </c>
      <c r="E154" s="80" t="s">
        <v>777</v>
      </c>
      <c r="AW154" s="80">
        <v>0.58550000000000002</v>
      </c>
      <c r="BD154" s="80">
        <v>0.65080000000000005</v>
      </c>
      <c r="BN154" s="81">
        <f t="shared" si="4"/>
        <v>0.65080000000000005</v>
      </c>
      <c r="BO154" s="80">
        <f t="shared" si="5"/>
        <v>2010</v>
      </c>
    </row>
    <row r="155" spans="2:67" hidden="1" x14ac:dyDescent="0.75">
      <c r="B155" s="80" t="s">
        <v>435</v>
      </c>
      <c r="C155" s="80" t="s">
        <v>436</v>
      </c>
      <c r="D155" s="80" t="s">
        <v>778</v>
      </c>
      <c r="E155" s="80" t="s">
        <v>777</v>
      </c>
      <c r="AJ155" s="80">
        <v>0.87633686268499278</v>
      </c>
      <c r="AT155" s="80">
        <v>1.351590925517234</v>
      </c>
      <c r="BI155" s="80">
        <v>3.6438938535158214</v>
      </c>
      <c r="BN155" s="81">
        <f t="shared" si="4"/>
        <v>3.6438938535158214</v>
      </c>
      <c r="BO155" s="80">
        <f t="shared" si="5"/>
        <v>2015</v>
      </c>
    </row>
    <row r="156" spans="2:67" hidden="1" x14ac:dyDescent="0.75">
      <c r="B156" s="80" t="s">
        <v>450</v>
      </c>
      <c r="C156" s="80" t="s">
        <v>82</v>
      </c>
      <c r="D156" s="80" t="s">
        <v>778</v>
      </c>
      <c r="E156" s="80" t="s">
        <v>777</v>
      </c>
      <c r="AZ156" s="80">
        <v>7.65</v>
      </c>
      <c r="BA156" s="80">
        <v>7.5670000000000002</v>
      </c>
      <c r="BB156" s="80">
        <v>7.32</v>
      </c>
      <c r="BD156" s="80">
        <v>7.8779000000000003</v>
      </c>
      <c r="BE156" s="80">
        <v>7.6993</v>
      </c>
      <c r="BF156" s="80">
        <v>7.7651000000000003</v>
      </c>
      <c r="BG156" s="80">
        <v>7.7489999999999997</v>
      </c>
      <c r="BH156" s="80">
        <v>7.8304</v>
      </c>
      <c r="BI156" s="80">
        <v>7.9034000000000004</v>
      </c>
      <c r="BJ156" s="80">
        <v>7.9154999999999998</v>
      </c>
      <c r="BN156" s="81">
        <f t="shared" si="4"/>
        <v>7.9154999999999998</v>
      </c>
      <c r="BO156" s="80">
        <f t="shared" si="5"/>
        <v>2016</v>
      </c>
    </row>
    <row r="157" spans="2:67" hidden="1" x14ac:dyDescent="0.75">
      <c r="B157" s="80" t="s">
        <v>457</v>
      </c>
      <c r="C157" s="80" t="s">
        <v>83</v>
      </c>
      <c r="D157" s="80" t="s">
        <v>778</v>
      </c>
      <c r="E157" s="80" t="s">
        <v>777</v>
      </c>
      <c r="AX157" s="80">
        <v>9.6300000000000008</v>
      </c>
      <c r="AY157" s="80">
        <v>10.366</v>
      </c>
      <c r="AZ157" s="80">
        <v>11.32</v>
      </c>
      <c r="BD157" s="80">
        <v>11.754300000000001</v>
      </c>
      <c r="BE157" s="80">
        <v>11.9619</v>
      </c>
      <c r="BF157" s="80">
        <v>12.2539</v>
      </c>
      <c r="BG157" s="80">
        <v>12.271000000000001</v>
      </c>
      <c r="BH157" s="80">
        <v>12.3171</v>
      </c>
      <c r="BI157" s="80">
        <v>12.3346</v>
      </c>
      <c r="BJ157" s="80">
        <v>12.2408</v>
      </c>
      <c r="BK157" s="80">
        <v>12.349600000000001</v>
      </c>
      <c r="BN157" s="81">
        <f t="shared" si="4"/>
        <v>12.349600000000001</v>
      </c>
      <c r="BO157" s="80">
        <f t="shared" si="5"/>
        <v>2017</v>
      </c>
    </row>
    <row r="158" spans="2:67" hidden="1" x14ac:dyDescent="0.75">
      <c r="B158" s="80" t="s">
        <v>443</v>
      </c>
      <c r="C158" s="80" t="s">
        <v>84</v>
      </c>
      <c r="D158" s="80" t="s">
        <v>778</v>
      </c>
      <c r="E158" s="80" t="s">
        <v>777</v>
      </c>
      <c r="AJ158" s="80">
        <v>6.9917999999999996</v>
      </c>
      <c r="AK158" s="80">
        <v>6.8133999999999997</v>
      </c>
      <c r="AL158" s="80">
        <v>6.3479999999999999</v>
      </c>
      <c r="AM158" s="80">
        <v>6.0401999999999996</v>
      </c>
      <c r="AN158" s="80">
        <v>5.2823000000000002</v>
      </c>
      <c r="AO158" s="80">
        <v>5.1536999999999997</v>
      </c>
      <c r="AP158" s="80">
        <v>5.0080999999999998</v>
      </c>
      <c r="AQ158" s="80">
        <v>4.82</v>
      </c>
      <c r="AR158" s="80">
        <v>4.6052</v>
      </c>
      <c r="AS158" s="80">
        <v>4.3848000000000003</v>
      </c>
      <c r="AT158" s="80">
        <v>4.3895</v>
      </c>
      <c r="AU158" s="80">
        <v>4.3163999999999998</v>
      </c>
      <c r="AV158" s="80">
        <v>4.3087</v>
      </c>
      <c r="AW158" s="80">
        <v>4.4245000000000001</v>
      </c>
      <c r="AX158" s="80">
        <v>4.5354999999999999</v>
      </c>
      <c r="AY158" s="80">
        <v>4.5959000000000003</v>
      </c>
      <c r="AZ158" s="80">
        <v>4.5308000000000002</v>
      </c>
      <c r="BA158" s="80">
        <v>4.5818000000000003</v>
      </c>
      <c r="BB158" s="80">
        <v>4.7847999999999997</v>
      </c>
      <c r="BC158" s="80">
        <v>4.3490000000000002</v>
      </c>
      <c r="BD158" s="80">
        <v>5.1547999999999998</v>
      </c>
      <c r="BE158" s="80">
        <v>5.0709999999999997</v>
      </c>
      <c r="BF158" s="80">
        <v>4.9763000000000002</v>
      </c>
      <c r="BG158" s="80">
        <v>5.0107999999999997</v>
      </c>
      <c r="BH158" s="80">
        <v>4.9649999999999999</v>
      </c>
      <c r="BI158" s="80">
        <v>4.8482000000000003</v>
      </c>
      <c r="BJ158" s="80">
        <v>4.8155000000000001</v>
      </c>
      <c r="BN158" s="81">
        <f t="shared" si="4"/>
        <v>4.8155000000000001</v>
      </c>
      <c r="BO158" s="80">
        <f t="shared" si="5"/>
        <v>2016</v>
      </c>
    </row>
    <row r="159" spans="2:67" hidden="1" x14ac:dyDescent="0.75">
      <c r="B159" s="80" t="s">
        <v>458</v>
      </c>
      <c r="C159" s="80" t="s">
        <v>459</v>
      </c>
      <c r="D159" s="80" t="s">
        <v>778</v>
      </c>
      <c r="E159" s="80" t="s">
        <v>777</v>
      </c>
      <c r="BN159" s="81" t="str">
        <f t="shared" si="4"/>
        <v>No reported value</v>
      </c>
      <c r="BO159" s="80" t="str">
        <f t="shared" si="5"/>
        <v>No reported value</v>
      </c>
    </row>
    <row r="160" spans="2:67" hidden="1" x14ac:dyDescent="0.75">
      <c r="B160" s="80" t="s">
        <v>534</v>
      </c>
      <c r="C160" s="80" t="s">
        <v>535</v>
      </c>
      <c r="D160" s="80" t="s">
        <v>778</v>
      </c>
      <c r="E160" s="80" t="s">
        <v>777</v>
      </c>
      <c r="BN160" s="81" t="str">
        <f t="shared" si="4"/>
        <v>No reported value</v>
      </c>
      <c r="BO160" s="80" t="str">
        <f t="shared" si="5"/>
        <v>No reported value</v>
      </c>
    </row>
    <row r="161" spans="2:67" hidden="1" x14ac:dyDescent="0.75">
      <c r="B161" s="80" t="s">
        <v>477</v>
      </c>
      <c r="C161" s="80" t="s">
        <v>85</v>
      </c>
      <c r="D161" s="80" t="s">
        <v>778</v>
      </c>
      <c r="E161" s="80" t="s">
        <v>777</v>
      </c>
      <c r="AX161" s="80">
        <v>0.80610000000000004</v>
      </c>
      <c r="BC161" s="80">
        <v>0.92810000000000004</v>
      </c>
      <c r="BD161" s="80">
        <v>0.89</v>
      </c>
      <c r="BG161" s="80">
        <v>0.89</v>
      </c>
      <c r="BH161" s="80">
        <v>0.86229999999999996</v>
      </c>
      <c r="BK161" s="80">
        <v>1.0979000000000001</v>
      </c>
      <c r="BN161" s="81">
        <f t="shared" si="4"/>
        <v>1.0979000000000001</v>
      </c>
      <c r="BO161" s="80">
        <f t="shared" si="5"/>
        <v>2017</v>
      </c>
    </row>
    <row r="162" spans="2:67" hidden="1" x14ac:dyDescent="0.75">
      <c r="B162" s="80" t="s">
        <v>475</v>
      </c>
      <c r="C162" s="80" t="s">
        <v>86</v>
      </c>
      <c r="D162" s="80" t="s">
        <v>778</v>
      </c>
      <c r="E162" s="80" t="s">
        <v>777</v>
      </c>
      <c r="AO162" s="80">
        <v>14.5</v>
      </c>
      <c r="BE162" s="80">
        <v>16.773299999999999</v>
      </c>
      <c r="BF162" s="80">
        <v>17.9101</v>
      </c>
      <c r="BG162" s="80">
        <v>18.763200000000001</v>
      </c>
      <c r="BH162" s="80">
        <v>20.262499999999999</v>
      </c>
      <c r="BN162" s="81">
        <f t="shared" si="4"/>
        <v>20.262499999999999</v>
      </c>
      <c r="BO162" s="80">
        <f t="shared" si="5"/>
        <v>2014</v>
      </c>
    </row>
    <row r="163" spans="2:67" hidden="1" x14ac:dyDescent="0.75">
      <c r="B163" s="80" t="s">
        <v>474</v>
      </c>
      <c r="C163" s="80" t="s">
        <v>87</v>
      </c>
      <c r="D163" s="80" t="s">
        <v>778</v>
      </c>
      <c r="E163" s="80" t="s">
        <v>777</v>
      </c>
      <c r="AZ163" s="80">
        <v>6.2</v>
      </c>
      <c r="BA163" s="80">
        <v>6.65</v>
      </c>
      <c r="BD163" s="80">
        <v>5.8437999999999999</v>
      </c>
      <c r="BE163" s="80">
        <v>5.8368000000000002</v>
      </c>
      <c r="BF163" s="80">
        <v>5.7957000000000001</v>
      </c>
      <c r="BG163" s="80">
        <v>5.6736000000000004</v>
      </c>
      <c r="BH163" s="80">
        <v>5.5006000000000004</v>
      </c>
      <c r="BI163" s="80">
        <v>4.5113000000000003</v>
      </c>
      <c r="BN163" s="81">
        <f t="shared" si="4"/>
        <v>4.5113000000000003</v>
      </c>
      <c r="BO163" s="80">
        <f t="shared" si="5"/>
        <v>2015</v>
      </c>
    </row>
    <row r="164" spans="2:67" hidden="1" x14ac:dyDescent="0.75">
      <c r="B164" s="80" t="s">
        <v>202</v>
      </c>
      <c r="C164" s="80" t="s">
        <v>88</v>
      </c>
      <c r="D164" s="80" t="s">
        <v>778</v>
      </c>
      <c r="E164" s="80" t="s">
        <v>777</v>
      </c>
      <c r="AV164" s="80">
        <v>0.31290000000000001</v>
      </c>
      <c r="AW164" s="80">
        <v>0.30349999999999999</v>
      </c>
      <c r="AX164" s="80">
        <v>0.28539999999999999</v>
      </c>
      <c r="AY164" s="80">
        <v>0.35</v>
      </c>
      <c r="AZ164" s="80">
        <v>0.30220000000000002</v>
      </c>
      <c r="BA164" s="80">
        <v>0.29409999999999997</v>
      </c>
      <c r="BB164" s="80">
        <v>0.28110000000000002</v>
      </c>
      <c r="BC164" s="80">
        <v>0.24299999999999999</v>
      </c>
      <c r="BD164" s="80">
        <v>0.2233</v>
      </c>
      <c r="BE164" s="80">
        <v>0.21790000000000001</v>
      </c>
      <c r="BF164" s="80">
        <v>0.21740000000000001</v>
      </c>
      <c r="BH164" s="80">
        <v>0.10589999999999999</v>
      </c>
      <c r="BN164" s="81">
        <f t="shared" si="4"/>
        <v>0.10589999999999999</v>
      </c>
      <c r="BO164" s="80">
        <f t="shared" si="5"/>
        <v>2014</v>
      </c>
    </row>
    <row r="165" spans="2:67" hidden="1" x14ac:dyDescent="0.75">
      <c r="B165" s="80" t="s">
        <v>243</v>
      </c>
      <c r="C165" s="80" t="s">
        <v>89</v>
      </c>
      <c r="D165" s="80" t="s">
        <v>778</v>
      </c>
      <c r="E165" s="80" t="s">
        <v>777</v>
      </c>
      <c r="AK165" s="80">
        <v>0.65269999999999995</v>
      </c>
      <c r="AM165" s="80">
        <v>0.77529999999999999</v>
      </c>
      <c r="AP165" s="80">
        <v>1.3922000000000001</v>
      </c>
      <c r="AX165" s="80">
        <v>2.8544</v>
      </c>
      <c r="BA165" s="80">
        <v>4.5789999999999997</v>
      </c>
      <c r="BC165" s="80">
        <v>5.2073</v>
      </c>
      <c r="BD165" s="80">
        <v>5.1247999999999996</v>
      </c>
      <c r="BH165" s="80">
        <v>5.7226999999999997</v>
      </c>
      <c r="BI165" s="80">
        <v>7.1463000000000001</v>
      </c>
      <c r="BJ165" s="80">
        <v>3.9504000000000001</v>
      </c>
      <c r="BN165" s="81">
        <f t="shared" si="4"/>
        <v>3.9504000000000001</v>
      </c>
      <c r="BO165" s="80">
        <f t="shared" si="5"/>
        <v>2016</v>
      </c>
    </row>
    <row r="166" spans="2:67" hidden="1" x14ac:dyDescent="0.75">
      <c r="B166" s="80" t="s">
        <v>466</v>
      </c>
      <c r="C166" s="80" t="s">
        <v>467</v>
      </c>
      <c r="D166" s="80" t="s">
        <v>778</v>
      </c>
      <c r="E166" s="80" t="s">
        <v>777</v>
      </c>
      <c r="BI166" s="80">
        <v>2.3152418654853513</v>
      </c>
      <c r="BN166" s="81">
        <f t="shared" si="4"/>
        <v>2.3152418654853513</v>
      </c>
      <c r="BO166" s="80">
        <f t="shared" si="5"/>
        <v>2015</v>
      </c>
    </row>
    <row r="167" spans="2:67" hidden="1" x14ac:dyDescent="0.75">
      <c r="B167" s="80" t="s">
        <v>463</v>
      </c>
      <c r="C167" s="80" t="s">
        <v>90</v>
      </c>
      <c r="D167" s="80" t="s">
        <v>778</v>
      </c>
      <c r="E167" s="80" t="s">
        <v>777</v>
      </c>
      <c r="AT167" s="80">
        <v>0.87180000000000002</v>
      </c>
      <c r="AX167" s="80">
        <v>3.98</v>
      </c>
      <c r="BC167" s="80">
        <v>2.371</v>
      </c>
      <c r="BD167" s="80">
        <v>2.3454999999999999</v>
      </c>
      <c r="BE167" s="80">
        <v>2.4378000000000002</v>
      </c>
      <c r="BF167" s="80">
        <v>2.4738000000000002</v>
      </c>
      <c r="BG167" s="80">
        <v>2.5335000000000001</v>
      </c>
      <c r="BH167" s="80">
        <v>2.5964</v>
      </c>
      <c r="BI167" s="80">
        <v>2.6686000000000001</v>
      </c>
      <c r="BJ167" s="80">
        <v>2.9</v>
      </c>
      <c r="BN167" s="81">
        <f t="shared" si="4"/>
        <v>2.9</v>
      </c>
      <c r="BO167" s="80">
        <f t="shared" si="5"/>
        <v>2016</v>
      </c>
    </row>
    <row r="168" spans="2:67" hidden="1" x14ac:dyDescent="0.75">
      <c r="B168" s="80" t="s">
        <v>462</v>
      </c>
      <c r="C168" s="80" t="s">
        <v>91</v>
      </c>
      <c r="D168" s="80" t="s">
        <v>778</v>
      </c>
      <c r="E168" s="80" t="s">
        <v>777</v>
      </c>
      <c r="AT168" s="80">
        <v>2.98</v>
      </c>
      <c r="BA168" s="80">
        <v>3.6084000000000001</v>
      </c>
      <c r="BB168" s="80">
        <v>2.6030000000000002</v>
      </c>
      <c r="BD168" s="80">
        <v>2.4237000000000002</v>
      </c>
      <c r="BE168" s="80">
        <v>3.7143000000000002</v>
      </c>
      <c r="BF168" s="80">
        <v>3.5484</v>
      </c>
      <c r="BN168" s="81">
        <f t="shared" si="4"/>
        <v>3.5484</v>
      </c>
      <c r="BO168" s="80">
        <f t="shared" si="5"/>
        <v>2012</v>
      </c>
    </row>
    <row r="169" spans="2:67" hidden="1" x14ac:dyDescent="0.75">
      <c r="B169" s="80" t="s">
        <v>472</v>
      </c>
      <c r="C169" s="80" t="s">
        <v>473</v>
      </c>
      <c r="D169" s="80" t="s">
        <v>778</v>
      </c>
      <c r="E169" s="80" t="s">
        <v>777</v>
      </c>
      <c r="AJ169" s="80">
        <v>0.67583429761456226</v>
      </c>
      <c r="AT169" s="80">
        <v>1.3681970724435639</v>
      </c>
      <c r="BI169" s="80">
        <v>2.5888793548886535</v>
      </c>
      <c r="BN169" s="81">
        <f t="shared" si="4"/>
        <v>2.5888793548886535</v>
      </c>
      <c r="BO169" s="80">
        <f t="shared" si="5"/>
        <v>2015</v>
      </c>
    </row>
    <row r="170" spans="2:67" hidden="1" x14ac:dyDescent="0.75">
      <c r="B170" s="80" t="s">
        <v>484</v>
      </c>
      <c r="C170" s="80" t="s">
        <v>485</v>
      </c>
      <c r="D170" s="80" t="s">
        <v>778</v>
      </c>
      <c r="E170" s="80" t="s">
        <v>777</v>
      </c>
      <c r="AZ170" s="80">
        <v>4.34</v>
      </c>
      <c r="BB170" s="80">
        <v>0.61199999999999999</v>
      </c>
      <c r="BD170" s="80">
        <v>4.7805</v>
      </c>
      <c r="BE170" s="80">
        <v>4.7702999999999998</v>
      </c>
      <c r="BF170" s="80">
        <v>4.7237</v>
      </c>
      <c r="BG170" s="80">
        <v>4.7545000000000002</v>
      </c>
      <c r="BI170" s="80">
        <v>3.7917000000000001</v>
      </c>
      <c r="BN170" s="81">
        <f t="shared" si="4"/>
        <v>3.7917000000000001</v>
      </c>
      <c r="BO170" s="80">
        <f t="shared" si="5"/>
        <v>2015</v>
      </c>
    </row>
    <row r="171" spans="2:67" hidden="1" x14ac:dyDescent="0.75">
      <c r="B171" s="80" t="s">
        <v>204</v>
      </c>
      <c r="C171" s="80" t="s">
        <v>92</v>
      </c>
      <c r="D171" s="80" t="s">
        <v>778</v>
      </c>
      <c r="E171" s="80" t="s">
        <v>777</v>
      </c>
      <c r="AX171" s="80">
        <v>0.67290000000000005</v>
      </c>
      <c r="BA171" s="80">
        <v>0.2107</v>
      </c>
      <c r="BB171" s="80">
        <v>0.29699999999999999</v>
      </c>
      <c r="BC171" s="80">
        <v>0.443</v>
      </c>
      <c r="BD171" s="80">
        <v>0.44540000000000002</v>
      </c>
      <c r="BE171" s="80">
        <v>0.36709999999999998</v>
      </c>
      <c r="BF171" s="80">
        <v>0.3765</v>
      </c>
      <c r="BJ171" s="80">
        <v>0.38200000000000001</v>
      </c>
      <c r="BN171" s="81">
        <f t="shared" si="4"/>
        <v>0.38200000000000001</v>
      </c>
      <c r="BO171" s="80">
        <f t="shared" si="5"/>
        <v>2016</v>
      </c>
    </row>
    <row r="172" spans="2:67" hidden="1" x14ac:dyDescent="0.75">
      <c r="B172" s="80" t="s">
        <v>461</v>
      </c>
      <c r="C172" s="80" t="s">
        <v>93</v>
      </c>
      <c r="D172" s="80" t="s">
        <v>778</v>
      </c>
      <c r="E172" s="80" t="s">
        <v>777</v>
      </c>
      <c r="AZ172" s="80">
        <v>5.98</v>
      </c>
      <c r="BA172" s="80">
        <v>6.2720000000000002</v>
      </c>
      <c r="BC172" s="80">
        <v>6.6310000000000002</v>
      </c>
      <c r="BD172" s="80">
        <v>7.1858000000000004</v>
      </c>
      <c r="BE172" s="80">
        <v>7.4474</v>
      </c>
      <c r="BF172" s="80">
        <v>7.4596</v>
      </c>
      <c r="BG172" s="80">
        <v>7.8639000000000001</v>
      </c>
      <c r="BH172" s="80">
        <v>8.9145000000000003</v>
      </c>
      <c r="BI172" s="80">
        <v>8.9499999999999993</v>
      </c>
      <c r="BN172" s="81">
        <f t="shared" si="4"/>
        <v>8.9499999999999993</v>
      </c>
      <c r="BO172" s="80">
        <f t="shared" si="5"/>
        <v>2015</v>
      </c>
    </row>
    <row r="173" spans="2:67" hidden="1" x14ac:dyDescent="0.75">
      <c r="B173" s="80" t="s">
        <v>244</v>
      </c>
      <c r="C173" s="80" t="s">
        <v>94</v>
      </c>
      <c r="D173" s="80" t="s">
        <v>778</v>
      </c>
      <c r="E173" s="80" t="s">
        <v>777</v>
      </c>
      <c r="AY173" s="80">
        <v>0.75329999999999997</v>
      </c>
      <c r="AZ173" s="80">
        <v>0.79390000000000005</v>
      </c>
      <c r="BA173" s="80">
        <v>0.81599999999999995</v>
      </c>
      <c r="BB173" s="80">
        <v>0.83720000000000006</v>
      </c>
      <c r="BC173" s="80">
        <v>0.86929999999999996</v>
      </c>
      <c r="BD173" s="80">
        <v>0.9012</v>
      </c>
      <c r="BE173" s="80">
        <v>0.92920000000000003</v>
      </c>
      <c r="BF173" s="80">
        <v>0.95850000000000002</v>
      </c>
      <c r="BI173" s="80">
        <v>0.38240000000000002</v>
      </c>
      <c r="BJ173" s="80">
        <v>1.0375000000000001</v>
      </c>
      <c r="BK173" s="80">
        <v>0.97940000000000005</v>
      </c>
      <c r="BN173" s="81">
        <f t="shared" si="4"/>
        <v>0.97940000000000005</v>
      </c>
      <c r="BO173" s="80">
        <f t="shared" si="5"/>
        <v>2017</v>
      </c>
    </row>
    <row r="174" spans="2:67" hidden="1" x14ac:dyDescent="0.75">
      <c r="B174" s="80" t="s">
        <v>468</v>
      </c>
      <c r="C174" s="80" t="s">
        <v>469</v>
      </c>
      <c r="D174" s="80" t="s">
        <v>778</v>
      </c>
      <c r="E174" s="80" t="s">
        <v>777</v>
      </c>
      <c r="BI174" s="80">
        <v>1.752603675461049</v>
      </c>
      <c r="BN174" s="81">
        <f t="shared" si="4"/>
        <v>1.752603675461049</v>
      </c>
      <c r="BO174" s="80">
        <f t="shared" si="5"/>
        <v>2015</v>
      </c>
    </row>
    <row r="175" spans="2:67" hidden="1" x14ac:dyDescent="0.75">
      <c r="B175" s="80" t="s">
        <v>476</v>
      </c>
      <c r="C175" s="80" t="s">
        <v>95</v>
      </c>
      <c r="D175" s="80" t="s">
        <v>778</v>
      </c>
      <c r="E175" s="80" t="s">
        <v>777</v>
      </c>
      <c r="AZ175" s="80">
        <v>5.65</v>
      </c>
      <c r="BA175" s="80">
        <v>5.54</v>
      </c>
      <c r="BC175" s="80">
        <v>5.7930000000000001</v>
      </c>
      <c r="BD175" s="80">
        <v>5.6736000000000004</v>
      </c>
      <c r="BE175" s="80">
        <v>5.4980000000000002</v>
      </c>
      <c r="BF175" s="80">
        <v>5.3113000000000001</v>
      </c>
      <c r="BG175" s="80">
        <v>5.7821999999999996</v>
      </c>
      <c r="BH175" s="80">
        <v>5.8243999999999998</v>
      </c>
      <c r="BI175" s="80">
        <v>5.7179000000000002</v>
      </c>
      <c r="BN175" s="81">
        <f t="shared" si="4"/>
        <v>5.7179000000000002</v>
      </c>
      <c r="BO175" s="80">
        <f t="shared" si="5"/>
        <v>2015</v>
      </c>
    </row>
    <row r="176" spans="2:67" hidden="1" x14ac:dyDescent="0.75">
      <c r="B176" s="80" t="s">
        <v>250</v>
      </c>
      <c r="C176" s="80" t="s">
        <v>96</v>
      </c>
      <c r="D176" s="80" t="s">
        <v>778</v>
      </c>
      <c r="E176" s="80" t="s">
        <v>777</v>
      </c>
      <c r="AV176" s="80">
        <v>3.6116999999999999</v>
      </c>
      <c r="BB176" s="80">
        <v>3.6547000000000001</v>
      </c>
      <c r="BC176" s="80">
        <v>3.6297000000000001</v>
      </c>
      <c r="BD176" s="80">
        <v>3.6406999999999998</v>
      </c>
      <c r="BE176" s="80">
        <v>3.673</v>
      </c>
      <c r="BF176" s="80">
        <v>3.7965</v>
      </c>
      <c r="BG176" s="80">
        <v>3.8214000000000001</v>
      </c>
      <c r="BH176" s="80">
        <v>4.048</v>
      </c>
      <c r="BJ176" s="80">
        <v>3.9845999999999999</v>
      </c>
      <c r="BN176" s="81">
        <f t="shared" si="4"/>
        <v>3.9845999999999999</v>
      </c>
      <c r="BO176" s="80">
        <f t="shared" si="5"/>
        <v>2016</v>
      </c>
    </row>
    <row r="177" spans="2:67" hidden="1" x14ac:dyDescent="0.75">
      <c r="B177" s="80" t="s">
        <v>486</v>
      </c>
      <c r="C177" s="80" t="s">
        <v>487</v>
      </c>
      <c r="D177" s="80" t="s">
        <v>778</v>
      </c>
      <c r="E177" s="80" t="s">
        <v>777</v>
      </c>
      <c r="BN177" s="81" t="str">
        <f t="shared" si="4"/>
        <v>No reported value</v>
      </c>
      <c r="BO177" s="80" t="str">
        <f t="shared" si="5"/>
        <v>No reported value</v>
      </c>
    </row>
    <row r="178" spans="2:67" hidden="1" x14ac:dyDescent="0.75">
      <c r="B178" s="80" t="s">
        <v>207</v>
      </c>
      <c r="C178" s="80" t="s">
        <v>97</v>
      </c>
      <c r="D178" s="80" t="s">
        <v>778</v>
      </c>
      <c r="E178" s="80" t="s">
        <v>777</v>
      </c>
      <c r="AX178" s="80">
        <v>0.3044</v>
      </c>
      <c r="AZ178" s="80">
        <v>0.28839999999999999</v>
      </c>
      <c r="BA178" s="80">
        <v>0.52190000000000003</v>
      </c>
      <c r="BB178" s="80">
        <v>0.34100000000000003</v>
      </c>
      <c r="BC178" s="80">
        <v>0.38429999999999997</v>
      </c>
      <c r="BD178" s="80">
        <v>0.39250000000000002</v>
      </c>
      <c r="BE178" s="80">
        <v>0.38100000000000001</v>
      </c>
      <c r="BF178" s="80">
        <v>0.39279999999999998</v>
      </c>
      <c r="BG178" s="80">
        <v>0.4017</v>
      </c>
      <c r="BK178" s="80">
        <v>0.44359999999999999</v>
      </c>
      <c r="BN178" s="81">
        <f t="shared" si="4"/>
        <v>0.44359999999999999</v>
      </c>
      <c r="BO178" s="80">
        <f t="shared" si="5"/>
        <v>2017</v>
      </c>
    </row>
    <row r="179" spans="2:67" hidden="1" x14ac:dyDescent="0.75">
      <c r="B179" s="80" t="s">
        <v>205</v>
      </c>
      <c r="C179" s="80" t="s">
        <v>98</v>
      </c>
      <c r="D179" s="80" t="s">
        <v>778</v>
      </c>
      <c r="E179" s="80" t="s">
        <v>777</v>
      </c>
      <c r="AX179" s="80">
        <v>0.62209999999999999</v>
      </c>
      <c r="BC179" s="80">
        <v>0.65680000000000005</v>
      </c>
      <c r="BD179" s="80">
        <v>0.77659999999999996</v>
      </c>
      <c r="BG179" s="80">
        <v>0.66700000000000004</v>
      </c>
      <c r="BH179" s="80">
        <v>0.94640000000000002</v>
      </c>
      <c r="BI179" s="80">
        <v>0.98919999999999997</v>
      </c>
      <c r="BK179" s="80">
        <v>1.0341</v>
      </c>
      <c r="BN179" s="81">
        <f t="shared" si="4"/>
        <v>1.0341</v>
      </c>
      <c r="BO179" s="80">
        <f t="shared" si="5"/>
        <v>2017</v>
      </c>
    </row>
    <row r="180" spans="2:67" hidden="1" x14ac:dyDescent="0.75">
      <c r="B180" s="80" t="s">
        <v>206</v>
      </c>
      <c r="C180" s="80" t="s">
        <v>99</v>
      </c>
      <c r="D180" s="80" t="s">
        <v>778</v>
      </c>
      <c r="E180" s="80" t="s">
        <v>777</v>
      </c>
      <c r="AX180" s="80">
        <v>3.7871000000000001</v>
      </c>
      <c r="BA180" s="80">
        <v>2.6743999999999999</v>
      </c>
      <c r="BB180" s="80">
        <v>2.7435</v>
      </c>
      <c r="BC180" s="80">
        <v>2.8134999999999999</v>
      </c>
      <c r="BD180" s="80">
        <v>2.8845999999999998</v>
      </c>
      <c r="BE180" s="80">
        <v>2.9337</v>
      </c>
      <c r="BF180" s="80">
        <v>2.9815</v>
      </c>
      <c r="BG180" s="80">
        <v>3.157</v>
      </c>
      <c r="BH180" s="80">
        <v>3.2810999999999999</v>
      </c>
      <c r="BI180" s="80">
        <v>3.3831000000000002</v>
      </c>
      <c r="BN180" s="81">
        <f t="shared" si="4"/>
        <v>3.3831000000000002</v>
      </c>
      <c r="BO180" s="80">
        <f t="shared" si="5"/>
        <v>2015</v>
      </c>
    </row>
    <row r="181" spans="2:67" hidden="1" x14ac:dyDescent="0.75">
      <c r="B181" s="80" t="s">
        <v>203</v>
      </c>
      <c r="C181" s="80" t="s">
        <v>100</v>
      </c>
      <c r="D181" s="80" t="s">
        <v>778</v>
      </c>
      <c r="E181" s="80" t="s">
        <v>777</v>
      </c>
      <c r="AX181" s="80">
        <v>0.57310000000000005</v>
      </c>
      <c r="BB181" s="80">
        <v>0.27300000000000002</v>
      </c>
      <c r="BC181" s="80">
        <v>0.32700000000000001</v>
      </c>
      <c r="BD181" s="80">
        <v>0.28299999999999997</v>
      </c>
      <c r="BJ181" s="80">
        <v>0.25280000000000002</v>
      </c>
      <c r="BN181" s="81">
        <f t="shared" si="4"/>
        <v>0.25280000000000002</v>
      </c>
      <c r="BO181" s="80">
        <f t="shared" si="5"/>
        <v>2016</v>
      </c>
    </row>
    <row r="182" spans="2:67" hidden="1" x14ac:dyDescent="0.75">
      <c r="B182" s="80" t="s">
        <v>460</v>
      </c>
      <c r="C182" s="80" t="s">
        <v>101</v>
      </c>
      <c r="D182" s="80" t="s">
        <v>778</v>
      </c>
      <c r="E182" s="80" t="s">
        <v>777</v>
      </c>
      <c r="AT182" s="80">
        <v>1.6752</v>
      </c>
      <c r="AV182" s="80">
        <v>1.7927</v>
      </c>
      <c r="BB182" s="80">
        <v>2.6869999999999998</v>
      </c>
      <c r="BD182" s="80">
        <v>3.2084999999999999</v>
      </c>
      <c r="BE182" s="80">
        <v>3.3893</v>
      </c>
      <c r="BF182" s="80">
        <v>3.8008000000000002</v>
      </c>
      <c r="BI182" s="80">
        <v>4.0717999999999996</v>
      </c>
      <c r="BN182" s="81">
        <f t="shared" si="4"/>
        <v>4.0717999999999996</v>
      </c>
      <c r="BO182" s="80">
        <f t="shared" si="5"/>
        <v>2015</v>
      </c>
    </row>
    <row r="183" spans="2:67" hidden="1" x14ac:dyDescent="0.75">
      <c r="B183" s="80" t="s">
        <v>482</v>
      </c>
      <c r="C183" s="80" t="s">
        <v>483</v>
      </c>
      <c r="D183" s="80" t="s">
        <v>778</v>
      </c>
      <c r="E183" s="80" t="s">
        <v>777</v>
      </c>
      <c r="AT183" s="80">
        <v>9.5206778919466224</v>
      </c>
      <c r="BI183" s="80">
        <v>8.6857819108011327</v>
      </c>
      <c r="BN183" s="81">
        <f t="shared" si="4"/>
        <v>8.6857819108011327</v>
      </c>
      <c r="BO183" s="80">
        <f t="shared" si="5"/>
        <v>2015</v>
      </c>
    </row>
    <row r="184" spans="2:67" hidden="1" x14ac:dyDescent="0.75">
      <c r="B184" s="80" t="s">
        <v>208</v>
      </c>
      <c r="C184" s="80" t="s">
        <v>102</v>
      </c>
      <c r="D184" s="80" t="s">
        <v>778</v>
      </c>
      <c r="E184" s="80" t="s">
        <v>777</v>
      </c>
      <c r="AX184" s="80">
        <v>3.0583999999999998</v>
      </c>
      <c r="BA184" s="80">
        <v>2.7646000000000002</v>
      </c>
      <c r="BD184" s="80">
        <v>2.7749999999999999</v>
      </c>
      <c r="BN184" s="81">
        <f t="shared" si="4"/>
        <v>2.7749999999999999</v>
      </c>
      <c r="BO184" s="80">
        <f t="shared" si="5"/>
        <v>2010</v>
      </c>
    </row>
    <row r="185" spans="2:67" hidden="1" x14ac:dyDescent="0.75">
      <c r="B185" s="80" t="s">
        <v>479</v>
      </c>
      <c r="C185" s="80" t="s">
        <v>480</v>
      </c>
      <c r="D185" s="80" t="s">
        <v>778</v>
      </c>
      <c r="E185" s="80" t="s">
        <v>777</v>
      </c>
      <c r="BN185" s="81" t="str">
        <f t="shared" si="4"/>
        <v>No reported value</v>
      </c>
      <c r="BO185" s="80" t="str">
        <f t="shared" si="5"/>
        <v>No reported value</v>
      </c>
    </row>
    <row r="186" spans="2:67" hidden="1" x14ac:dyDescent="0.75">
      <c r="B186" s="80" t="s">
        <v>209</v>
      </c>
      <c r="C186" s="80" t="s">
        <v>103</v>
      </c>
      <c r="D186" s="80" t="s">
        <v>778</v>
      </c>
      <c r="E186" s="80" t="s">
        <v>777</v>
      </c>
      <c r="AX186" s="80">
        <v>0.2147</v>
      </c>
      <c r="BB186" s="80">
        <v>0.1389</v>
      </c>
      <c r="BC186" s="80">
        <v>0.20430000000000001</v>
      </c>
      <c r="BD186" s="80">
        <v>0.13700000000000001</v>
      </c>
      <c r="BG186" s="80">
        <v>0.24149999999999999</v>
      </c>
      <c r="BH186" s="80">
        <v>0.31090000000000001</v>
      </c>
      <c r="BN186" s="81">
        <f t="shared" si="4"/>
        <v>0.31090000000000001</v>
      </c>
      <c r="BO186" s="80">
        <f t="shared" si="5"/>
        <v>2014</v>
      </c>
    </row>
    <row r="187" spans="2:67" hidden="1" x14ac:dyDescent="0.75">
      <c r="B187" s="80" t="s">
        <v>177</v>
      </c>
      <c r="C187" s="80" t="s">
        <v>104</v>
      </c>
      <c r="D187" s="80" t="s">
        <v>778</v>
      </c>
      <c r="E187" s="80" t="s">
        <v>777</v>
      </c>
      <c r="AW187" s="80">
        <v>1.5935999999999999</v>
      </c>
      <c r="AY187" s="80">
        <v>1.5361</v>
      </c>
      <c r="AZ187" s="80">
        <v>1.5025999999999999</v>
      </c>
      <c r="BA187" s="80">
        <v>1.4984999999999999</v>
      </c>
      <c r="BB187" s="80">
        <v>1.4962</v>
      </c>
      <c r="BC187" s="80">
        <v>1.0762</v>
      </c>
      <c r="BD187" s="80">
        <v>1.3561000000000001</v>
      </c>
      <c r="BG187" s="80">
        <v>1.4523999999999999</v>
      </c>
      <c r="BN187" s="81">
        <f t="shared" si="4"/>
        <v>1.4523999999999999</v>
      </c>
      <c r="BO187" s="80">
        <f t="shared" si="5"/>
        <v>2013</v>
      </c>
    </row>
    <row r="188" spans="2:67" hidden="1" x14ac:dyDescent="0.75">
      <c r="B188" s="80" t="s">
        <v>227</v>
      </c>
      <c r="C188" s="80" t="s">
        <v>105</v>
      </c>
      <c r="D188" s="80" t="s">
        <v>778</v>
      </c>
      <c r="E188" s="80" t="s">
        <v>777</v>
      </c>
      <c r="AW188" s="80">
        <v>1.1185</v>
      </c>
      <c r="AY188" s="80">
        <v>1.17</v>
      </c>
      <c r="AZ188" s="80">
        <v>1.1713</v>
      </c>
      <c r="BA188" s="80">
        <v>1.1970000000000001</v>
      </c>
      <c r="BB188" s="80">
        <v>1.3084</v>
      </c>
      <c r="BC188" s="80">
        <v>1.3209</v>
      </c>
      <c r="BD188" s="80">
        <v>1.2838000000000001</v>
      </c>
      <c r="BE188" s="80">
        <v>1.3880999999999999</v>
      </c>
      <c r="BF188" s="80">
        <v>1.3940999999999999</v>
      </c>
      <c r="BG188" s="80">
        <v>1.3864000000000001</v>
      </c>
      <c r="BH188" s="80">
        <v>1.3838999999999999</v>
      </c>
      <c r="BL188" s="80">
        <v>1.5774999999999999</v>
      </c>
      <c r="BN188" s="81">
        <f t="shared" si="4"/>
        <v>1.5774999999999999</v>
      </c>
      <c r="BO188" s="80">
        <f t="shared" si="5"/>
        <v>2018</v>
      </c>
    </row>
    <row r="189" spans="2:67" hidden="1" x14ac:dyDescent="0.75">
      <c r="B189" s="80" t="s">
        <v>478</v>
      </c>
      <c r="C189" s="80" t="s">
        <v>106</v>
      </c>
      <c r="D189" s="80" t="s">
        <v>778</v>
      </c>
      <c r="E189" s="80" t="s">
        <v>777</v>
      </c>
      <c r="AZ189" s="80">
        <v>14.61</v>
      </c>
      <c r="BA189" s="80">
        <v>15.145</v>
      </c>
      <c r="BB189" s="80">
        <v>8.5169999999999995</v>
      </c>
      <c r="BH189" s="80">
        <v>10.5284</v>
      </c>
      <c r="BI189" s="80">
        <v>10.467499999999999</v>
      </c>
      <c r="BJ189" s="80">
        <v>11.1043</v>
      </c>
      <c r="BN189" s="81">
        <f t="shared" si="4"/>
        <v>11.1043</v>
      </c>
      <c r="BO189" s="80">
        <f t="shared" si="5"/>
        <v>2016</v>
      </c>
    </row>
    <row r="190" spans="2:67" hidden="1" x14ac:dyDescent="0.75">
      <c r="B190" s="80" t="s">
        <v>488</v>
      </c>
      <c r="C190" s="80" t="s">
        <v>107</v>
      </c>
      <c r="D190" s="80" t="s">
        <v>778</v>
      </c>
      <c r="E190" s="80" t="s">
        <v>777</v>
      </c>
      <c r="AZ190" s="80">
        <v>16.22</v>
      </c>
      <c r="BA190" s="80">
        <v>16.329000000000001</v>
      </c>
      <c r="BB190" s="80">
        <v>14.76</v>
      </c>
      <c r="BC190" s="80">
        <v>31.1431</v>
      </c>
      <c r="BD190" s="80">
        <v>17.1921</v>
      </c>
      <c r="BE190" s="80">
        <v>17.491700000000002</v>
      </c>
      <c r="BF190" s="80">
        <v>17.6343</v>
      </c>
      <c r="BG190" s="80">
        <v>17.7637</v>
      </c>
      <c r="BH190" s="80">
        <v>17.985299999999999</v>
      </c>
      <c r="BI190" s="80">
        <v>17.862200000000001</v>
      </c>
      <c r="BJ190" s="80">
        <v>17.979299999999999</v>
      </c>
      <c r="BK190" s="80">
        <v>18.124700000000001</v>
      </c>
      <c r="BN190" s="81">
        <f t="shared" si="4"/>
        <v>18.124700000000001</v>
      </c>
      <c r="BO190" s="80">
        <f t="shared" si="5"/>
        <v>2017</v>
      </c>
    </row>
    <row r="191" spans="2:67" hidden="1" x14ac:dyDescent="0.75">
      <c r="B191" s="80" t="s">
        <v>179</v>
      </c>
      <c r="C191" s="80" t="s">
        <v>108</v>
      </c>
      <c r="D191" s="80" t="s">
        <v>778</v>
      </c>
      <c r="E191" s="80" t="s">
        <v>777</v>
      </c>
      <c r="AX191" s="80">
        <v>0.4672</v>
      </c>
      <c r="BF191" s="80">
        <v>1.5599000000000001</v>
      </c>
      <c r="BG191" s="80">
        <v>1.8013999999999999</v>
      </c>
      <c r="BH191" s="80">
        <v>2.0299999999999998</v>
      </c>
      <c r="BK191" s="80">
        <v>2.6854</v>
      </c>
      <c r="BN191" s="81">
        <f t="shared" si="4"/>
        <v>2.6854</v>
      </c>
      <c r="BO191" s="80">
        <f t="shared" si="5"/>
        <v>2017</v>
      </c>
    </row>
    <row r="192" spans="2:67" hidden="1" x14ac:dyDescent="0.75">
      <c r="B192" s="80" t="s">
        <v>251</v>
      </c>
      <c r="C192" s="80" t="s">
        <v>109</v>
      </c>
      <c r="D192" s="80" t="s">
        <v>778</v>
      </c>
      <c r="E192" s="80" t="s">
        <v>777</v>
      </c>
      <c r="AO192" s="80">
        <v>6</v>
      </c>
      <c r="AX192" s="80">
        <v>6.2375999999999996</v>
      </c>
      <c r="BB192" s="80">
        <v>6.9696999999999996</v>
      </c>
      <c r="BE192" s="80">
        <v>6.8627000000000002</v>
      </c>
      <c r="BI192" s="80">
        <v>6.1947000000000001</v>
      </c>
      <c r="BN192" s="81">
        <f t="shared" si="4"/>
        <v>6.1947000000000001</v>
      </c>
      <c r="BO192" s="80">
        <f t="shared" si="5"/>
        <v>2015</v>
      </c>
    </row>
    <row r="193" spans="2:67" hidden="1" x14ac:dyDescent="0.75">
      <c r="B193" s="80" t="s">
        <v>481</v>
      </c>
      <c r="C193" s="80" t="s">
        <v>110</v>
      </c>
      <c r="D193" s="80" t="s">
        <v>778</v>
      </c>
      <c r="E193" s="80" t="s">
        <v>777</v>
      </c>
      <c r="AT193" s="80">
        <v>7.9916999999999998</v>
      </c>
      <c r="AU193" s="80">
        <v>8.5082000000000004</v>
      </c>
      <c r="AW193" s="80">
        <v>8.91</v>
      </c>
      <c r="BA193" s="80">
        <v>10.510300000000001</v>
      </c>
      <c r="BD193" s="80">
        <v>10.576000000000001</v>
      </c>
      <c r="BE193" s="80">
        <v>10.6174</v>
      </c>
      <c r="BF193" s="80">
        <v>10.5177</v>
      </c>
      <c r="BG193" s="80">
        <v>10.520899999999999</v>
      </c>
      <c r="BH193" s="80">
        <v>10.5512</v>
      </c>
      <c r="BI193" s="80">
        <v>10.7919</v>
      </c>
      <c r="BJ193" s="80">
        <v>10.9198</v>
      </c>
      <c r="BK193" s="80">
        <v>10.955</v>
      </c>
      <c r="BN193" s="81">
        <f t="shared" si="4"/>
        <v>10.955</v>
      </c>
      <c r="BO193" s="80">
        <f t="shared" si="5"/>
        <v>2017</v>
      </c>
    </row>
    <row r="194" spans="2:67" hidden="1" x14ac:dyDescent="0.75">
      <c r="B194" s="80" t="s">
        <v>491</v>
      </c>
      <c r="C194" s="80" t="s">
        <v>492</v>
      </c>
      <c r="D194" s="80" t="s">
        <v>778</v>
      </c>
      <c r="E194" s="80" t="s">
        <v>777</v>
      </c>
      <c r="AT194" s="80">
        <v>6.9594903149691767</v>
      </c>
      <c r="BI194" s="80">
        <v>8.0446854465695399</v>
      </c>
      <c r="BN194" s="81">
        <f t="shared" si="4"/>
        <v>8.0446854465695399</v>
      </c>
      <c r="BO194" s="80">
        <f t="shared" si="5"/>
        <v>2015</v>
      </c>
    </row>
    <row r="195" spans="2:67" hidden="1" x14ac:dyDescent="0.75">
      <c r="B195" s="80" t="s">
        <v>493</v>
      </c>
      <c r="C195" s="80" t="s">
        <v>111</v>
      </c>
      <c r="D195" s="80" t="s">
        <v>778</v>
      </c>
      <c r="E195" s="80" t="s">
        <v>777</v>
      </c>
      <c r="AJ195" s="80">
        <v>2.2884000000000002</v>
      </c>
      <c r="AO195" s="80">
        <v>2.7383000000000002</v>
      </c>
      <c r="AQ195" s="80">
        <v>2.5745</v>
      </c>
      <c r="AR195" s="80">
        <v>2.8264999999999998</v>
      </c>
      <c r="AS195" s="80">
        <v>2.8551000000000002</v>
      </c>
      <c r="AT195" s="80">
        <v>3.4519000000000002</v>
      </c>
      <c r="AX195" s="80">
        <v>3.5773999999999999</v>
      </c>
      <c r="AY195" s="80">
        <v>3.6941000000000002</v>
      </c>
      <c r="AZ195" s="80">
        <v>3.7223999999999999</v>
      </c>
      <c r="BA195" s="80">
        <v>3.9034</v>
      </c>
      <c r="BB195" s="80">
        <v>4.0713999999999997</v>
      </c>
      <c r="BC195" s="80">
        <v>4.1977000000000002</v>
      </c>
      <c r="BD195" s="80">
        <v>4.2298</v>
      </c>
      <c r="BE195" s="80">
        <v>4.3981000000000003</v>
      </c>
      <c r="BF195" s="80">
        <v>4.5105000000000004</v>
      </c>
      <c r="BG195" s="80">
        <v>4.5614999999999997</v>
      </c>
      <c r="BH195" s="80">
        <v>4.7450999999999999</v>
      </c>
      <c r="BI195" s="80">
        <v>4.6028000000000002</v>
      </c>
      <c r="BJ195" s="80">
        <v>4.4657</v>
      </c>
      <c r="BK195" s="80">
        <v>4.3003999999999998</v>
      </c>
      <c r="BN195" s="81">
        <f t="shared" si="4"/>
        <v>4.3003999999999998</v>
      </c>
      <c r="BO195" s="80">
        <f t="shared" si="5"/>
        <v>2017</v>
      </c>
    </row>
    <row r="196" spans="2:67" hidden="1" x14ac:dyDescent="0.75">
      <c r="B196" s="80" t="s">
        <v>494</v>
      </c>
      <c r="C196" s="80" t="s">
        <v>495</v>
      </c>
      <c r="D196" s="80" t="s">
        <v>778</v>
      </c>
      <c r="E196" s="80" t="s">
        <v>777</v>
      </c>
      <c r="BI196" s="80">
        <v>3.1396249440349466</v>
      </c>
      <c r="BN196" s="81">
        <f t="shared" si="4"/>
        <v>3.1396249440349466</v>
      </c>
      <c r="BO196" s="80">
        <f t="shared" si="5"/>
        <v>2015</v>
      </c>
    </row>
    <row r="197" spans="2:67" hidden="1" x14ac:dyDescent="0.75">
      <c r="B197" s="80" t="s">
        <v>176</v>
      </c>
      <c r="C197" s="80" t="s">
        <v>112</v>
      </c>
      <c r="D197" s="80" t="s">
        <v>778</v>
      </c>
      <c r="E197" s="80" t="s">
        <v>777</v>
      </c>
      <c r="AL197" s="80">
        <v>0.32590000000000002</v>
      </c>
      <c r="AM197" s="80">
        <v>0.33310000000000001</v>
      </c>
      <c r="AN197" s="80">
        <v>0.34379999999999999</v>
      </c>
      <c r="AO197" s="80">
        <v>0.34589999999999999</v>
      </c>
      <c r="AP197" s="80">
        <v>0.36870000000000003</v>
      </c>
      <c r="AQ197" s="80">
        <v>0.39119999999999999</v>
      </c>
      <c r="AR197" s="80">
        <v>0.41620000000000001</v>
      </c>
      <c r="AS197" s="80">
        <v>0.43109999999999998</v>
      </c>
      <c r="AT197" s="80">
        <v>0.4335</v>
      </c>
      <c r="AU197" s="80">
        <v>0.443</v>
      </c>
      <c r="AX197" s="80">
        <v>0.47599999999999998</v>
      </c>
      <c r="BB197" s="80">
        <v>0.55559999999999998</v>
      </c>
      <c r="BC197" s="80">
        <v>0.57189999999999996</v>
      </c>
      <c r="BD197" s="80">
        <v>0.58860000000000001</v>
      </c>
      <c r="BE197" s="80">
        <v>0.44600000000000001</v>
      </c>
      <c r="BH197" s="80">
        <v>0.60399999999999998</v>
      </c>
      <c r="BI197" s="80">
        <v>0.50039999999999996</v>
      </c>
      <c r="BN197" s="81">
        <f t="shared" si="4"/>
        <v>0.50039999999999996</v>
      </c>
      <c r="BO197" s="80">
        <f t="shared" si="5"/>
        <v>2015</v>
      </c>
    </row>
    <row r="198" spans="2:67" hidden="1" x14ac:dyDescent="0.75">
      <c r="B198" s="80" t="s">
        <v>500</v>
      </c>
      <c r="C198" s="80" t="s">
        <v>113</v>
      </c>
      <c r="D198" s="80" t="s">
        <v>778</v>
      </c>
      <c r="E198" s="80" t="s">
        <v>777</v>
      </c>
      <c r="AJ198" s="80">
        <v>0.99550000000000005</v>
      </c>
      <c r="AK198" s="80">
        <v>0.97419999999999995</v>
      </c>
      <c r="AL198" s="80">
        <v>0.96389999999999998</v>
      </c>
      <c r="AM198" s="80">
        <v>1.0065999999999999</v>
      </c>
      <c r="AN198" s="80">
        <v>1.0253000000000001</v>
      </c>
      <c r="AO198" s="80">
        <v>1.0443</v>
      </c>
      <c r="AP198" s="80">
        <v>1.0779000000000001</v>
      </c>
      <c r="AQ198" s="80">
        <v>1.1048</v>
      </c>
      <c r="AR198" s="80">
        <v>1.0935999999999999</v>
      </c>
      <c r="AS198" s="80">
        <v>1.1423000000000001</v>
      </c>
      <c r="AT198" s="80">
        <v>2.7650000000000001</v>
      </c>
      <c r="AU198" s="80">
        <v>1.8412999999999999</v>
      </c>
      <c r="AV198" s="80">
        <v>1.9162999999999999</v>
      </c>
      <c r="AW198" s="80">
        <v>2.1983999999999999</v>
      </c>
      <c r="AX198" s="80">
        <v>1.9907999999999999</v>
      </c>
      <c r="AY198" s="80">
        <v>2.0042</v>
      </c>
      <c r="AZ198" s="80">
        <v>2.0030000000000001</v>
      </c>
      <c r="BD198" s="80">
        <v>2.4761000000000002</v>
      </c>
      <c r="BE198" s="80">
        <v>2.3138000000000001</v>
      </c>
      <c r="BJ198" s="80">
        <v>1.41</v>
      </c>
      <c r="BN198" s="81">
        <f t="shared" si="4"/>
        <v>1.41</v>
      </c>
      <c r="BO198" s="80">
        <f t="shared" si="5"/>
        <v>2016</v>
      </c>
    </row>
    <row r="199" spans="2:67" hidden="1" x14ac:dyDescent="0.75">
      <c r="B199" s="80" t="s">
        <v>501</v>
      </c>
      <c r="C199" s="80" t="s">
        <v>114</v>
      </c>
      <c r="D199" s="80" t="s">
        <v>778</v>
      </c>
      <c r="E199" s="80" t="s">
        <v>777</v>
      </c>
      <c r="AS199" s="80">
        <v>0.66930000000000001</v>
      </c>
      <c r="BA199" s="80">
        <v>3.5920999999999998</v>
      </c>
      <c r="BC199" s="80">
        <v>1.2989999999999999</v>
      </c>
      <c r="BD199" s="80">
        <v>1.2709999999999999</v>
      </c>
      <c r="BF199" s="80">
        <v>1.4928999999999999</v>
      </c>
      <c r="BJ199" s="80">
        <v>1.35</v>
      </c>
      <c r="BN199" s="81">
        <f t="shared" si="4"/>
        <v>1.35</v>
      </c>
      <c r="BO199" s="80">
        <f t="shared" si="5"/>
        <v>2016</v>
      </c>
    </row>
    <row r="200" spans="2:67" hidden="1" x14ac:dyDescent="0.75">
      <c r="B200" s="80" t="s">
        <v>253</v>
      </c>
      <c r="C200" s="80" t="s">
        <v>115</v>
      </c>
      <c r="D200" s="80" t="s">
        <v>778</v>
      </c>
      <c r="E200" s="80" t="s">
        <v>777</v>
      </c>
      <c r="AT200" s="80">
        <v>4.3164999999999996</v>
      </c>
      <c r="AU200" s="80">
        <v>4.2984999999999998</v>
      </c>
      <c r="AV200" s="80">
        <v>4.2682000000000002</v>
      </c>
      <c r="AW200" s="80">
        <v>4.2375999999999996</v>
      </c>
      <c r="AX200" s="80">
        <v>4.2401999999999997</v>
      </c>
      <c r="AY200" s="80">
        <v>4.2778</v>
      </c>
      <c r="AZ200" s="80">
        <v>4.4088000000000003</v>
      </c>
      <c r="BA200" s="80">
        <v>4.6593999999999998</v>
      </c>
      <c r="BB200" s="80">
        <v>5.1306000000000003</v>
      </c>
      <c r="BC200" s="80">
        <v>5.6589</v>
      </c>
      <c r="BD200" s="80">
        <v>3.3348</v>
      </c>
      <c r="BI200" s="80">
        <v>0.24</v>
      </c>
      <c r="BN200" s="81">
        <f t="shared" si="4"/>
        <v>0.24</v>
      </c>
      <c r="BO200" s="80">
        <f t="shared" si="5"/>
        <v>2015</v>
      </c>
    </row>
    <row r="201" spans="2:67" hidden="1" x14ac:dyDescent="0.75">
      <c r="B201" s="80" t="s">
        <v>498</v>
      </c>
      <c r="C201" s="80" t="s">
        <v>499</v>
      </c>
      <c r="D201" s="80" t="s">
        <v>778</v>
      </c>
      <c r="E201" s="80" t="s">
        <v>777</v>
      </c>
      <c r="AR201" s="80">
        <v>6.1081000000000003</v>
      </c>
      <c r="AX201" s="80">
        <v>6.0606</v>
      </c>
      <c r="AZ201" s="80">
        <v>5.9</v>
      </c>
      <c r="BC201" s="80">
        <v>5.5171999999999999</v>
      </c>
      <c r="BD201" s="80">
        <v>5.8048999999999999</v>
      </c>
      <c r="BH201" s="80">
        <v>5.2606999999999999</v>
      </c>
      <c r="BN201" s="81">
        <f t="shared" si="4"/>
        <v>5.2606999999999999</v>
      </c>
      <c r="BO201" s="80">
        <f t="shared" si="5"/>
        <v>2014</v>
      </c>
    </row>
    <row r="202" spans="2:67" hidden="1" x14ac:dyDescent="0.75">
      <c r="B202" s="80" t="s">
        <v>252</v>
      </c>
      <c r="C202" s="80" t="s">
        <v>116</v>
      </c>
      <c r="D202" s="80" t="s">
        <v>778</v>
      </c>
      <c r="E202" s="80" t="s">
        <v>777</v>
      </c>
      <c r="AT202" s="80">
        <v>0.50990000000000002</v>
      </c>
      <c r="BB202" s="80">
        <v>0.41899999999999998</v>
      </c>
      <c r="BD202" s="80">
        <v>0.51249999999999996</v>
      </c>
      <c r="BN202" s="81">
        <f t="shared" si="4"/>
        <v>0.51249999999999996</v>
      </c>
      <c r="BO202" s="80">
        <f t="shared" si="5"/>
        <v>2010</v>
      </c>
    </row>
    <row r="203" spans="2:67" hidden="1" x14ac:dyDescent="0.75">
      <c r="B203" s="80" t="s">
        <v>502</v>
      </c>
      <c r="C203" s="80" t="s">
        <v>117</v>
      </c>
      <c r="D203" s="80" t="s">
        <v>778</v>
      </c>
      <c r="E203" s="80" t="s">
        <v>777</v>
      </c>
      <c r="AW203" s="80">
        <v>4.8949999999999996</v>
      </c>
      <c r="AY203" s="80">
        <v>5.18</v>
      </c>
      <c r="AZ203" s="80">
        <v>5.1870000000000003</v>
      </c>
      <c r="BB203" s="80">
        <v>5.73</v>
      </c>
      <c r="BD203" s="80">
        <v>6.4191000000000003</v>
      </c>
      <c r="BE203" s="80">
        <v>6.4267000000000003</v>
      </c>
      <c r="BF203" s="80">
        <v>6.7954999999999997</v>
      </c>
      <c r="BG203" s="80">
        <v>5.8319999999999999</v>
      </c>
      <c r="BH203" s="80">
        <v>5.7861000000000002</v>
      </c>
      <c r="BI203" s="80">
        <v>5.7453000000000003</v>
      </c>
      <c r="BJ203" s="80">
        <v>5.7221000000000002</v>
      </c>
      <c r="BN203" s="81">
        <f t="shared" si="4"/>
        <v>5.7221000000000002</v>
      </c>
      <c r="BO203" s="80">
        <f t="shared" si="5"/>
        <v>2016</v>
      </c>
    </row>
    <row r="204" spans="2:67" hidden="1" x14ac:dyDescent="0.75">
      <c r="B204" s="80" t="s">
        <v>506</v>
      </c>
      <c r="C204" s="80" t="s">
        <v>507</v>
      </c>
      <c r="D204" s="80" t="s">
        <v>778</v>
      </c>
      <c r="E204" s="80" t="s">
        <v>777</v>
      </c>
      <c r="BI204" s="80">
        <v>0.86118598428335402</v>
      </c>
      <c r="BN204" s="81">
        <f t="shared" si="4"/>
        <v>0.86118598428335402</v>
      </c>
      <c r="BO204" s="80">
        <f t="shared" si="5"/>
        <v>2015</v>
      </c>
    </row>
    <row r="205" spans="2:67" hidden="1" x14ac:dyDescent="0.75">
      <c r="B205" s="80" t="s">
        <v>508</v>
      </c>
      <c r="C205" s="80" t="s">
        <v>509</v>
      </c>
      <c r="D205" s="80" t="s">
        <v>778</v>
      </c>
      <c r="E205" s="80" t="s">
        <v>777</v>
      </c>
      <c r="BN205" s="81" t="str">
        <f t="shared" si="4"/>
        <v>No reported value</v>
      </c>
      <c r="BO205" s="80" t="str">
        <f t="shared" si="5"/>
        <v>No reported value</v>
      </c>
    </row>
    <row r="206" spans="2:67" hidden="1" x14ac:dyDescent="0.75">
      <c r="B206" s="80" t="s">
        <v>429</v>
      </c>
      <c r="C206" s="80" t="s">
        <v>158</v>
      </c>
      <c r="D206" s="80" t="s">
        <v>778</v>
      </c>
      <c r="E206" s="80" t="s">
        <v>777</v>
      </c>
      <c r="AW206" s="80">
        <v>3.9685999999999999</v>
      </c>
      <c r="BB206" s="80">
        <v>4.1409000000000002</v>
      </c>
      <c r="BE206" s="80">
        <v>4.0910000000000002</v>
      </c>
      <c r="BH206" s="80">
        <v>4.7256999999999998</v>
      </c>
      <c r="BK206" s="80">
        <v>4.4382000000000001</v>
      </c>
      <c r="BN206" s="81">
        <f t="shared" si="4"/>
        <v>4.4382000000000001</v>
      </c>
      <c r="BO206" s="80">
        <f t="shared" si="5"/>
        <v>2017</v>
      </c>
    </row>
    <row r="207" spans="2:67" hidden="1" x14ac:dyDescent="0.75">
      <c r="B207" s="80" t="s">
        <v>503</v>
      </c>
      <c r="C207" s="80" t="s">
        <v>118</v>
      </c>
      <c r="D207" s="80" t="s">
        <v>778</v>
      </c>
      <c r="E207" s="80" t="s">
        <v>777</v>
      </c>
      <c r="AV207" s="80">
        <v>4.0023</v>
      </c>
      <c r="AW207" s="80">
        <v>4.1811999999999996</v>
      </c>
      <c r="AX207" s="80">
        <v>4.3487</v>
      </c>
      <c r="AY207" s="80">
        <v>4.5576999999999996</v>
      </c>
      <c r="AZ207" s="80">
        <v>4.8071000000000002</v>
      </c>
      <c r="BA207" s="80">
        <v>5.0872999999999999</v>
      </c>
      <c r="BB207" s="80">
        <v>5.3236999999999997</v>
      </c>
      <c r="BC207" s="80">
        <v>5.5907999999999998</v>
      </c>
      <c r="BD207" s="80">
        <v>6.0793999999999997</v>
      </c>
      <c r="BE207" s="80">
        <v>6.2920999999999996</v>
      </c>
      <c r="BF207" s="80">
        <v>6.4120999999999997</v>
      </c>
      <c r="BG207" s="80">
        <v>6.4878</v>
      </c>
      <c r="BH207" s="80">
        <v>6.5788000000000002</v>
      </c>
      <c r="BJ207" s="80">
        <v>6.3724999999999996</v>
      </c>
      <c r="BN207" s="81">
        <f t="shared" ref="BN207:BN270" si="6">IFERROR(LOOKUP(2,1/(ISNUMBER(F207:BM207)),F207:BM207),"No reported value")</f>
        <v>6.3724999999999996</v>
      </c>
      <c r="BO207" s="80">
        <f t="shared" ref="BO207:BO270" si="7">IFERROR(INDEX($F$14:$BM$14,1,MATCH($BN207,$F207:$BM207,0)),"No reported value")</f>
        <v>2016</v>
      </c>
    </row>
    <row r="208" spans="2:67" hidden="1" x14ac:dyDescent="0.75">
      <c r="B208" s="80" t="s">
        <v>228</v>
      </c>
      <c r="C208" s="80" t="s">
        <v>119</v>
      </c>
      <c r="D208" s="80" t="s">
        <v>778</v>
      </c>
      <c r="E208" s="80" t="s">
        <v>777</v>
      </c>
      <c r="AV208" s="80">
        <v>1.8627</v>
      </c>
      <c r="BF208" s="80">
        <v>1.0486</v>
      </c>
      <c r="BK208" s="80">
        <v>0.39989999999999998</v>
      </c>
      <c r="BL208" s="80">
        <v>1.1669</v>
      </c>
      <c r="BN208" s="81">
        <f t="shared" si="6"/>
        <v>1.1669</v>
      </c>
      <c r="BO208" s="80">
        <f t="shared" si="7"/>
        <v>2018</v>
      </c>
    </row>
    <row r="209" spans="2:67" hidden="1" x14ac:dyDescent="0.75">
      <c r="B209" s="80" t="s">
        <v>568</v>
      </c>
      <c r="C209" s="80" t="s">
        <v>569</v>
      </c>
      <c r="D209" s="80" t="s">
        <v>778</v>
      </c>
      <c r="E209" s="80" t="s">
        <v>777</v>
      </c>
      <c r="BN209" s="81" t="str">
        <f t="shared" si="6"/>
        <v>No reported value</v>
      </c>
      <c r="BO209" s="80" t="str">
        <f t="shared" si="7"/>
        <v>No reported value</v>
      </c>
    </row>
    <row r="210" spans="2:67" hidden="1" x14ac:dyDescent="0.75">
      <c r="B210" s="80" t="s">
        <v>496</v>
      </c>
      <c r="C210" s="80" t="s">
        <v>497</v>
      </c>
      <c r="D210" s="80" t="s">
        <v>778</v>
      </c>
      <c r="E210" s="80" t="s">
        <v>777</v>
      </c>
      <c r="AT210" s="80">
        <v>2.0177303756968166</v>
      </c>
      <c r="BI210" s="80">
        <v>2.6663553305383778</v>
      </c>
      <c r="BN210" s="81">
        <f t="shared" si="6"/>
        <v>2.6663553305383778</v>
      </c>
      <c r="BO210" s="80">
        <f t="shared" si="7"/>
        <v>2015</v>
      </c>
    </row>
    <row r="211" spans="2:67" hidden="1" x14ac:dyDescent="0.75">
      <c r="B211" s="80" t="s">
        <v>504</v>
      </c>
      <c r="C211" s="80" t="s">
        <v>505</v>
      </c>
      <c r="D211" s="80" t="s">
        <v>778</v>
      </c>
      <c r="E211" s="80" t="s">
        <v>777</v>
      </c>
      <c r="BI211" s="80">
        <v>9.1628473489550117</v>
      </c>
      <c r="BN211" s="81">
        <f t="shared" si="6"/>
        <v>9.1628473489550117</v>
      </c>
      <c r="BO211" s="80">
        <f t="shared" si="7"/>
        <v>2015</v>
      </c>
    </row>
    <row r="212" spans="2:67" hidden="1" x14ac:dyDescent="0.75">
      <c r="B212" s="80" t="s">
        <v>397</v>
      </c>
      <c r="C212" s="80" t="s">
        <v>398</v>
      </c>
      <c r="D212" s="80" t="s">
        <v>778</v>
      </c>
      <c r="E212" s="80" t="s">
        <v>777</v>
      </c>
      <c r="BN212" s="81" t="str">
        <f t="shared" si="6"/>
        <v>No reported value</v>
      </c>
      <c r="BO212" s="80" t="str">
        <f t="shared" si="7"/>
        <v>No reported value</v>
      </c>
    </row>
    <row r="213" spans="2:67" hidden="1" x14ac:dyDescent="0.75">
      <c r="B213" s="80" t="s">
        <v>510</v>
      </c>
      <c r="C213" s="80" t="s">
        <v>120</v>
      </c>
      <c r="D213" s="80" t="s">
        <v>778</v>
      </c>
      <c r="E213" s="80" t="s">
        <v>777</v>
      </c>
      <c r="AU213" s="80">
        <v>4.9359999999999999</v>
      </c>
      <c r="AY213" s="80">
        <v>5.6422999999999996</v>
      </c>
      <c r="AZ213" s="80">
        <v>6.1212999999999997</v>
      </c>
      <c r="BB213" s="80">
        <v>6.0663999999999998</v>
      </c>
      <c r="BC213" s="80">
        <v>4.7743000000000002</v>
      </c>
      <c r="BD213" s="80">
        <v>5.9645000000000001</v>
      </c>
      <c r="BH213" s="80">
        <v>5.7998000000000003</v>
      </c>
      <c r="BJ213" s="80">
        <v>6.6028000000000002</v>
      </c>
      <c r="BN213" s="81">
        <f t="shared" si="6"/>
        <v>6.6028000000000002</v>
      </c>
      <c r="BO213" s="80">
        <f t="shared" si="7"/>
        <v>2016</v>
      </c>
    </row>
    <row r="214" spans="2:67" hidden="1" x14ac:dyDescent="0.75">
      <c r="B214" s="80" t="s">
        <v>511</v>
      </c>
      <c r="C214" s="80" t="s">
        <v>121</v>
      </c>
      <c r="D214" s="80" t="s">
        <v>778</v>
      </c>
      <c r="E214" s="80" t="s">
        <v>777</v>
      </c>
      <c r="AZ214" s="80">
        <v>4.1900000000000004</v>
      </c>
      <c r="BD214" s="80">
        <v>5.9238</v>
      </c>
      <c r="BE214" s="80">
        <v>6.0122</v>
      </c>
      <c r="BF214" s="80">
        <v>6.1369999999999996</v>
      </c>
      <c r="BG214" s="80">
        <v>6.3273000000000001</v>
      </c>
      <c r="BJ214" s="80">
        <v>6.0979000000000001</v>
      </c>
      <c r="BN214" s="81">
        <f t="shared" si="6"/>
        <v>6.0979000000000001</v>
      </c>
      <c r="BO214" s="80">
        <f t="shared" si="7"/>
        <v>2016</v>
      </c>
    </row>
    <row r="215" spans="2:67" hidden="1" x14ac:dyDescent="0.75">
      <c r="B215" s="80" t="s">
        <v>512</v>
      </c>
      <c r="C215" s="80" t="s">
        <v>122</v>
      </c>
      <c r="D215" s="80" t="s">
        <v>778</v>
      </c>
      <c r="E215" s="80" t="s">
        <v>777</v>
      </c>
      <c r="AZ215" s="80">
        <v>8.5190000000000001</v>
      </c>
      <c r="BD215" s="80">
        <v>7.2541000000000002</v>
      </c>
      <c r="BE215" s="80">
        <v>8.7461000000000002</v>
      </c>
      <c r="BF215" s="80">
        <v>8.4968000000000004</v>
      </c>
      <c r="BG215" s="80">
        <v>8.7802000000000007</v>
      </c>
      <c r="BH215" s="80">
        <v>8.9509000000000007</v>
      </c>
      <c r="BI215" s="80">
        <v>8.6567000000000007</v>
      </c>
      <c r="BJ215" s="80">
        <v>8.6212</v>
      </c>
      <c r="BN215" s="81">
        <f t="shared" si="6"/>
        <v>8.6212</v>
      </c>
      <c r="BO215" s="80">
        <f t="shared" si="7"/>
        <v>2016</v>
      </c>
    </row>
    <row r="216" spans="2:67" hidden="1" x14ac:dyDescent="0.75">
      <c r="B216" s="80" t="s">
        <v>210</v>
      </c>
      <c r="C216" s="80" t="s">
        <v>123</v>
      </c>
      <c r="D216" s="80" t="s">
        <v>778</v>
      </c>
      <c r="E216" s="80" t="s">
        <v>777</v>
      </c>
      <c r="AX216" s="80">
        <v>0.41299999999999998</v>
      </c>
      <c r="AY216" s="80">
        <v>0.44800000000000001</v>
      </c>
      <c r="BB216" s="80">
        <v>0.67500000000000004</v>
      </c>
      <c r="BC216" s="80">
        <v>0.66539999999999999</v>
      </c>
      <c r="BD216" s="80">
        <v>0.67800000000000005</v>
      </c>
      <c r="BI216" s="80">
        <v>0.83069999999999999</v>
      </c>
      <c r="BN216" s="81">
        <f t="shared" si="6"/>
        <v>0.83069999999999999</v>
      </c>
      <c r="BO216" s="80">
        <f t="shared" si="7"/>
        <v>2015</v>
      </c>
    </row>
    <row r="217" spans="2:67" hidden="1" x14ac:dyDescent="0.75">
      <c r="B217" s="80" t="s">
        <v>524</v>
      </c>
      <c r="C217" s="80" t="s">
        <v>525</v>
      </c>
      <c r="D217" s="80" t="s">
        <v>778</v>
      </c>
      <c r="E217" s="80" t="s">
        <v>777</v>
      </c>
      <c r="AJ217" s="80">
        <v>0.37753856491539367</v>
      </c>
      <c r="AT217" s="80">
        <v>1.0836319828399013</v>
      </c>
      <c r="BI217" s="80">
        <v>1.7372389586483101</v>
      </c>
      <c r="BN217" s="81">
        <f t="shared" si="6"/>
        <v>1.7372389586483101</v>
      </c>
      <c r="BO217" s="80">
        <f t="shared" si="7"/>
        <v>2015</v>
      </c>
    </row>
    <row r="218" spans="2:67" hidden="1" x14ac:dyDescent="0.75">
      <c r="B218" s="80" t="s">
        <v>514</v>
      </c>
      <c r="C218" s="80" t="s">
        <v>124</v>
      </c>
      <c r="D218" s="80" t="s">
        <v>778</v>
      </c>
      <c r="E218" s="80" t="s">
        <v>777</v>
      </c>
      <c r="AT218" s="80">
        <v>1.7576000000000001</v>
      </c>
      <c r="AX218" s="80">
        <v>2.97</v>
      </c>
      <c r="BA218" s="80">
        <v>3.6320000000000001</v>
      </c>
      <c r="BB218" s="80">
        <v>3.9049999999999998</v>
      </c>
      <c r="BC218" s="80">
        <v>4.1580000000000004</v>
      </c>
      <c r="BD218" s="80">
        <v>4.7324999999999999</v>
      </c>
      <c r="BE218" s="80">
        <v>4.7678000000000003</v>
      </c>
      <c r="BF218" s="80">
        <v>4.8029999999999999</v>
      </c>
      <c r="BH218" s="80">
        <v>5.2251000000000003</v>
      </c>
      <c r="BJ218" s="80">
        <v>5.7</v>
      </c>
      <c r="BN218" s="81">
        <f t="shared" si="6"/>
        <v>5.7</v>
      </c>
      <c r="BO218" s="80">
        <f t="shared" si="7"/>
        <v>2016</v>
      </c>
    </row>
    <row r="219" spans="2:67" hidden="1" x14ac:dyDescent="0.75">
      <c r="B219" s="80" t="s">
        <v>233</v>
      </c>
      <c r="C219" s="80" t="s">
        <v>125</v>
      </c>
      <c r="D219" s="80" t="s">
        <v>778</v>
      </c>
      <c r="E219" s="80" t="s">
        <v>777</v>
      </c>
      <c r="AX219" s="80">
        <v>1.0434000000000001</v>
      </c>
      <c r="AZ219" s="80">
        <v>1.0552999999999999</v>
      </c>
      <c r="BA219" s="80">
        <v>1.0067999999999999</v>
      </c>
      <c r="BB219" s="80">
        <v>0.98429999999999995</v>
      </c>
      <c r="BD219" s="80">
        <v>0.84</v>
      </c>
      <c r="BH219" s="80">
        <v>1.2068000000000001</v>
      </c>
      <c r="BI219" s="80">
        <v>0.83</v>
      </c>
      <c r="BN219" s="81">
        <f t="shared" si="6"/>
        <v>0.83</v>
      </c>
      <c r="BO219" s="80">
        <f t="shared" si="7"/>
        <v>2015</v>
      </c>
    </row>
    <row r="220" spans="2:67" hidden="1" x14ac:dyDescent="0.75">
      <c r="B220" s="80" t="s">
        <v>212</v>
      </c>
      <c r="C220" s="80" t="s">
        <v>126</v>
      </c>
      <c r="D220" s="80" t="s">
        <v>778</v>
      </c>
      <c r="E220" s="80" t="s">
        <v>777</v>
      </c>
      <c r="AX220" s="80">
        <v>0.3</v>
      </c>
      <c r="BB220" s="80">
        <v>0.43049999999999999</v>
      </c>
      <c r="BD220" s="80">
        <v>0.42</v>
      </c>
      <c r="BG220" s="80">
        <v>1.3851</v>
      </c>
      <c r="BI220" s="80">
        <v>0.77549999999999997</v>
      </c>
      <c r="BJ220" s="80">
        <v>0.31290000000000001</v>
      </c>
      <c r="BN220" s="81">
        <f t="shared" si="6"/>
        <v>0.31290000000000001</v>
      </c>
      <c r="BO220" s="80">
        <f t="shared" si="7"/>
        <v>2016</v>
      </c>
    </row>
    <row r="221" spans="2:67" hidden="1" x14ac:dyDescent="0.75">
      <c r="B221" s="80" t="s">
        <v>516</v>
      </c>
      <c r="C221" s="80" t="s">
        <v>127</v>
      </c>
      <c r="D221" s="80" t="s">
        <v>778</v>
      </c>
      <c r="E221" s="80" t="s">
        <v>777</v>
      </c>
      <c r="AS221" s="80">
        <v>4.1761999999999997</v>
      </c>
      <c r="AU221" s="80">
        <v>4.3292000000000002</v>
      </c>
      <c r="AX221" s="80">
        <v>4.4230999999999998</v>
      </c>
      <c r="AY221" s="80">
        <v>4.4904999999999999</v>
      </c>
      <c r="AZ221" s="80">
        <v>4.5376000000000003</v>
      </c>
      <c r="BA221" s="80">
        <v>4.7188999999999997</v>
      </c>
      <c r="BB221" s="80">
        <v>4.9904000000000002</v>
      </c>
      <c r="BC221" s="80">
        <v>5.3956</v>
      </c>
      <c r="BD221" s="80">
        <v>5.7820999999999998</v>
      </c>
      <c r="BE221" s="80">
        <v>5.2084999999999999</v>
      </c>
      <c r="BF221" s="80">
        <v>5.5803000000000003</v>
      </c>
      <c r="BG221" s="80">
        <v>5.6955999999999998</v>
      </c>
      <c r="BH221" s="80">
        <v>5.8268000000000004</v>
      </c>
      <c r="BJ221" s="80">
        <v>7.2141000000000002</v>
      </c>
      <c r="BN221" s="81">
        <f t="shared" si="6"/>
        <v>7.2141000000000002</v>
      </c>
      <c r="BO221" s="80">
        <f t="shared" si="7"/>
        <v>2016</v>
      </c>
    </row>
    <row r="222" spans="2:67" hidden="1" x14ac:dyDescent="0.75">
      <c r="B222" s="80" t="s">
        <v>255</v>
      </c>
      <c r="C222" s="80" t="s">
        <v>128</v>
      </c>
      <c r="D222" s="80" t="s">
        <v>778</v>
      </c>
      <c r="E222" s="80" t="s">
        <v>777</v>
      </c>
      <c r="AS222" s="80">
        <v>0.89910000000000001</v>
      </c>
      <c r="AW222" s="80">
        <v>1.41</v>
      </c>
      <c r="AY222" s="80">
        <v>1.4769000000000001</v>
      </c>
      <c r="BC222" s="80">
        <v>2.0926</v>
      </c>
      <c r="BD222" s="80">
        <v>2.0529999999999999</v>
      </c>
      <c r="BE222" s="80">
        <v>1.7921</v>
      </c>
      <c r="BF222" s="80">
        <v>1.7516</v>
      </c>
      <c r="BG222" s="80">
        <v>1.7710999999999999</v>
      </c>
      <c r="BJ222" s="80">
        <v>2.1307</v>
      </c>
      <c r="BN222" s="81">
        <f t="shared" si="6"/>
        <v>2.1307</v>
      </c>
      <c r="BO222" s="80">
        <f t="shared" si="7"/>
        <v>2016</v>
      </c>
    </row>
    <row r="223" spans="2:67" hidden="1" x14ac:dyDescent="0.75">
      <c r="B223" s="80" t="s">
        <v>214</v>
      </c>
      <c r="C223" s="80" t="s">
        <v>129</v>
      </c>
      <c r="D223" s="80" t="s">
        <v>778</v>
      </c>
      <c r="E223" s="80" t="s">
        <v>777</v>
      </c>
      <c r="AX223" s="80">
        <v>0.46139999999999998</v>
      </c>
      <c r="BB223" s="80">
        <v>0.16070000000000001</v>
      </c>
      <c r="BD223" s="80">
        <v>0.28520000000000001</v>
      </c>
      <c r="BE223" s="80">
        <v>0.27650000000000002</v>
      </c>
      <c r="BH223" s="80">
        <v>0.99619999999999997</v>
      </c>
      <c r="BN223" s="81">
        <f t="shared" si="6"/>
        <v>0.99619999999999997</v>
      </c>
      <c r="BO223" s="80">
        <f t="shared" si="7"/>
        <v>2014</v>
      </c>
    </row>
    <row r="224" spans="2:67" hidden="1" x14ac:dyDescent="0.75">
      <c r="B224" s="80" t="s">
        <v>222</v>
      </c>
      <c r="C224" s="80" t="s">
        <v>164</v>
      </c>
      <c r="D224" s="80" t="s">
        <v>778</v>
      </c>
      <c r="E224" s="80" t="s">
        <v>777</v>
      </c>
      <c r="AS224" s="80">
        <v>0.67549999999999999</v>
      </c>
      <c r="AV224" s="80">
        <v>0.85899999999999999</v>
      </c>
      <c r="AY224" s="80">
        <v>0.34570000000000001</v>
      </c>
      <c r="BA224" s="80">
        <v>1.3726</v>
      </c>
      <c r="BB224" s="80">
        <v>0.47939999999999999</v>
      </c>
      <c r="BD224" s="80">
        <v>0.40500000000000003</v>
      </c>
      <c r="BJ224" s="80">
        <v>2.278</v>
      </c>
      <c r="BN224" s="81">
        <f t="shared" si="6"/>
        <v>2.278</v>
      </c>
      <c r="BO224" s="80">
        <f t="shared" si="7"/>
        <v>2016</v>
      </c>
    </row>
    <row r="225" spans="2:67" hidden="1" x14ac:dyDescent="0.75">
      <c r="B225" s="80" t="s">
        <v>513</v>
      </c>
      <c r="C225" s="80" t="s">
        <v>130</v>
      </c>
      <c r="D225" s="80" t="s">
        <v>778</v>
      </c>
      <c r="E225" s="80" t="s">
        <v>777</v>
      </c>
      <c r="BE225" s="80">
        <v>8.8254000000000001</v>
      </c>
      <c r="BF225" s="80">
        <v>9.3416999999999994</v>
      </c>
      <c r="BG225" s="80">
        <v>9.2260000000000009</v>
      </c>
      <c r="BH225" s="80">
        <v>8.7767999999999997</v>
      </c>
      <c r="BN225" s="81">
        <f t="shared" si="6"/>
        <v>8.7767999999999997</v>
      </c>
      <c r="BO225" s="80">
        <f t="shared" si="7"/>
        <v>2014</v>
      </c>
    </row>
    <row r="226" spans="2:67" hidden="1" x14ac:dyDescent="0.75">
      <c r="B226" s="80" t="s">
        <v>232</v>
      </c>
      <c r="C226" s="80" t="s">
        <v>171</v>
      </c>
      <c r="D226" s="80" t="s">
        <v>778</v>
      </c>
      <c r="E226" s="80" t="s">
        <v>777</v>
      </c>
      <c r="AQ226" s="80">
        <v>0.191</v>
      </c>
      <c r="AZ226" s="80">
        <v>0.09</v>
      </c>
      <c r="BD226" s="80">
        <v>0.114</v>
      </c>
      <c r="BH226" s="80">
        <v>6.1100000000000002E-2</v>
      </c>
      <c r="BN226" s="81">
        <f t="shared" si="6"/>
        <v>6.1100000000000002E-2</v>
      </c>
      <c r="BO226" s="80">
        <f t="shared" si="7"/>
        <v>2014</v>
      </c>
    </row>
    <row r="227" spans="2:67" hidden="1" x14ac:dyDescent="0.75">
      <c r="B227" s="80" t="s">
        <v>515</v>
      </c>
      <c r="C227" s="80" t="s">
        <v>131</v>
      </c>
      <c r="D227" s="80" t="s">
        <v>778</v>
      </c>
      <c r="E227" s="80" t="s">
        <v>777</v>
      </c>
      <c r="AZ227" s="80">
        <v>4.28</v>
      </c>
      <c r="BA227" s="80">
        <v>4.43</v>
      </c>
      <c r="BD227" s="80">
        <v>5.3224</v>
      </c>
      <c r="BE227" s="80">
        <v>5.3997999999999999</v>
      </c>
      <c r="BF227" s="80">
        <v>5.3719000000000001</v>
      </c>
      <c r="BG227" s="80">
        <v>5.3863000000000003</v>
      </c>
      <c r="BH227" s="80">
        <v>5.3376999999999999</v>
      </c>
      <c r="BI227" s="80">
        <v>4.7191999999999998</v>
      </c>
      <c r="BJ227" s="80">
        <v>6.1203000000000003</v>
      </c>
      <c r="BN227" s="81">
        <f t="shared" si="6"/>
        <v>6.1203000000000003</v>
      </c>
      <c r="BO227" s="80">
        <f t="shared" si="7"/>
        <v>2016</v>
      </c>
    </row>
    <row r="228" spans="2:67" hidden="1" x14ac:dyDescent="0.75">
      <c r="B228" s="80" t="s">
        <v>540</v>
      </c>
      <c r="C228" s="80" t="s">
        <v>541</v>
      </c>
      <c r="D228" s="80" t="s">
        <v>778</v>
      </c>
      <c r="E228" s="80" t="s">
        <v>777</v>
      </c>
      <c r="BI228" s="80">
        <v>1.0283834399004534</v>
      </c>
      <c r="BN228" s="81">
        <f t="shared" si="6"/>
        <v>1.0283834399004534</v>
      </c>
      <c r="BO228" s="80">
        <f t="shared" si="7"/>
        <v>2015</v>
      </c>
    </row>
    <row r="229" spans="2:67" hidden="1" x14ac:dyDescent="0.75">
      <c r="B229" s="80" t="s">
        <v>528</v>
      </c>
      <c r="C229" s="80" t="s">
        <v>529</v>
      </c>
      <c r="D229" s="80" t="s">
        <v>778</v>
      </c>
      <c r="E229" s="80" t="s">
        <v>777</v>
      </c>
      <c r="BN229" s="81" t="str">
        <f t="shared" si="6"/>
        <v>No reported value</v>
      </c>
      <c r="BO229" s="80" t="str">
        <f t="shared" si="7"/>
        <v>No reported value</v>
      </c>
    </row>
    <row r="230" spans="2:67" hidden="1" x14ac:dyDescent="0.75">
      <c r="B230" s="80" t="s">
        <v>538</v>
      </c>
      <c r="C230" s="80" t="s">
        <v>539</v>
      </c>
      <c r="D230" s="80" t="s">
        <v>778</v>
      </c>
      <c r="E230" s="80" t="s">
        <v>777</v>
      </c>
      <c r="BI230" s="80">
        <v>1.0285959901671162</v>
      </c>
      <c r="BN230" s="81">
        <f t="shared" si="6"/>
        <v>1.0285959901671162</v>
      </c>
      <c r="BO230" s="80">
        <f t="shared" si="7"/>
        <v>2015</v>
      </c>
    </row>
    <row r="231" spans="2:67" hidden="1" x14ac:dyDescent="0.75">
      <c r="B231" s="80" t="s">
        <v>522</v>
      </c>
      <c r="C231" s="80" t="s">
        <v>523</v>
      </c>
      <c r="D231" s="80" t="s">
        <v>778</v>
      </c>
      <c r="E231" s="80" t="s">
        <v>777</v>
      </c>
      <c r="BI231" s="80">
        <v>2.9570366047094603</v>
      </c>
      <c r="BN231" s="81">
        <f t="shared" si="6"/>
        <v>2.9570366047094603</v>
      </c>
      <c r="BO231" s="80">
        <f t="shared" si="7"/>
        <v>2015</v>
      </c>
    </row>
    <row r="232" spans="2:67" hidden="1" x14ac:dyDescent="0.75">
      <c r="B232" s="80" t="s">
        <v>211</v>
      </c>
      <c r="C232" s="80" t="s">
        <v>175</v>
      </c>
      <c r="D232" s="80" t="s">
        <v>778</v>
      </c>
      <c r="E232" s="80" t="s">
        <v>777</v>
      </c>
      <c r="AX232" s="80">
        <v>2.0263</v>
      </c>
      <c r="BI232" s="80">
        <v>2.2599999999999998</v>
      </c>
      <c r="BN232" s="81">
        <f t="shared" si="6"/>
        <v>2.2599999999999998</v>
      </c>
      <c r="BO232" s="80">
        <f t="shared" si="7"/>
        <v>2015</v>
      </c>
    </row>
    <row r="233" spans="2:67" hidden="1" x14ac:dyDescent="0.75">
      <c r="B233" s="80" t="s">
        <v>229</v>
      </c>
      <c r="C233" s="80" t="s">
        <v>170</v>
      </c>
      <c r="D233" s="80" t="s">
        <v>778</v>
      </c>
      <c r="E233" s="80" t="s">
        <v>777</v>
      </c>
      <c r="AT233" s="80">
        <v>1.4563999999999999</v>
      </c>
      <c r="AX233" s="80">
        <v>5.2268999999999997</v>
      </c>
      <c r="BC233" s="80">
        <v>3.0771999999999999</v>
      </c>
      <c r="BK233" s="80">
        <v>4.0983000000000001</v>
      </c>
      <c r="BN233" s="81">
        <f t="shared" si="6"/>
        <v>4.0983000000000001</v>
      </c>
      <c r="BO233" s="80">
        <f t="shared" si="7"/>
        <v>2017</v>
      </c>
    </row>
    <row r="234" spans="2:67" hidden="1" x14ac:dyDescent="0.75">
      <c r="B234" s="80" t="s">
        <v>519</v>
      </c>
      <c r="C234" s="80" t="s">
        <v>520</v>
      </c>
      <c r="D234" s="80" t="s">
        <v>778</v>
      </c>
      <c r="E234" s="80" t="s">
        <v>777</v>
      </c>
      <c r="AY234" s="80">
        <v>6.62</v>
      </c>
      <c r="BB234" s="80">
        <v>6.58</v>
      </c>
      <c r="BC234" s="80">
        <v>6.3837999999999999</v>
      </c>
      <c r="BD234" s="80">
        <v>6.7526000000000002</v>
      </c>
      <c r="BE234" s="80">
        <v>6.6022999999999996</v>
      </c>
      <c r="BF234" s="80">
        <v>6.4625000000000004</v>
      </c>
      <c r="BG234" s="80">
        <v>6.3921000000000001</v>
      </c>
      <c r="BH234" s="80">
        <v>6.3974000000000002</v>
      </c>
      <c r="BI234" s="80">
        <v>6.0052000000000003</v>
      </c>
      <c r="BJ234" s="80">
        <v>9.1727000000000007</v>
      </c>
      <c r="BN234" s="81">
        <f t="shared" si="6"/>
        <v>9.1727000000000007</v>
      </c>
      <c r="BO234" s="80">
        <f t="shared" si="7"/>
        <v>2016</v>
      </c>
    </row>
    <row r="235" spans="2:67" hidden="1" x14ac:dyDescent="0.75">
      <c r="B235" s="80" t="s">
        <v>521</v>
      </c>
      <c r="C235" s="80" t="s">
        <v>132</v>
      </c>
      <c r="D235" s="80" t="s">
        <v>778</v>
      </c>
      <c r="E235" s="80" t="s">
        <v>777</v>
      </c>
      <c r="AY235" s="80">
        <v>7.99</v>
      </c>
      <c r="AZ235" s="80">
        <v>7.8129999999999997</v>
      </c>
      <c r="BB235" s="80">
        <v>8.16</v>
      </c>
      <c r="BD235" s="80">
        <v>8.2491000000000003</v>
      </c>
      <c r="BE235" s="80">
        <v>8.3832000000000004</v>
      </c>
      <c r="BF235" s="80">
        <v>8.2634000000000007</v>
      </c>
      <c r="BG235" s="80">
        <v>8.4124999999999996</v>
      </c>
      <c r="BH235" s="80">
        <v>8.6580999999999992</v>
      </c>
      <c r="BI235" s="80">
        <v>8.8089999999999993</v>
      </c>
      <c r="BJ235" s="80">
        <v>9.68</v>
      </c>
      <c r="BN235" s="81">
        <f t="shared" si="6"/>
        <v>9.68</v>
      </c>
      <c r="BO235" s="80">
        <f t="shared" si="7"/>
        <v>2016</v>
      </c>
    </row>
    <row r="236" spans="2:67" hidden="1" x14ac:dyDescent="0.75">
      <c r="B236" s="80" t="s">
        <v>544</v>
      </c>
      <c r="C236" s="80" t="s">
        <v>133</v>
      </c>
      <c r="D236" s="80" t="s">
        <v>778</v>
      </c>
      <c r="E236" s="80" t="s">
        <v>777</v>
      </c>
      <c r="AV236" s="80">
        <v>10.234999999999999</v>
      </c>
      <c r="AZ236" s="80">
        <v>11.57</v>
      </c>
      <c r="BA236" s="80">
        <v>10.9656</v>
      </c>
      <c r="BB236" s="80">
        <v>11.861000000000001</v>
      </c>
      <c r="BD236" s="80">
        <v>11.8208</v>
      </c>
      <c r="BE236" s="80">
        <v>11.8355</v>
      </c>
      <c r="BF236" s="80">
        <v>11.8672</v>
      </c>
      <c r="BG236" s="80">
        <v>11.891</v>
      </c>
      <c r="BH236" s="80">
        <v>11.8931</v>
      </c>
      <c r="BI236" s="80">
        <v>11.850300000000001</v>
      </c>
      <c r="BJ236" s="80">
        <v>11.5434</v>
      </c>
      <c r="BN236" s="81">
        <f t="shared" si="6"/>
        <v>11.5434</v>
      </c>
      <c r="BO236" s="80">
        <f t="shared" si="7"/>
        <v>2016</v>
      </c>
    </row>
    <row r="237" spans="2:67" hidden="1" x14ac:dyDescent="0.75">
      <c r="B237" s="80" t="s">
        <v>380</v>
      </c>
      <c r="C237" s="80" t="s">
        <v>134</v>
      </c>
      <c r="D237" s="80" t="s">
        <v>778</v>
      </c>
      <c r="E237" s="80" t="s">
        <v>777</v>
      </c>
      <c r="AT237" s="80">
        <v>3.1511999999999998</v>
      </c>
      <c r="AX237" s="80">
        <v>6.2350000000000003</v>
      </c>
      <c r="BC237" s="80">
        <v>1.3771</v>
      </c>
      <c r="BE237" s="80">
        <v>1.0544</v>
      </c>
      <c r="BI237" s="80">
        <v>2</v>
      </c>
      <c r="BN237" s="81">
        <f t="shared" si="6"/>
        <v>2</v>
      </c>
      <c r="BO237" s="80">
        <f t="shared" si="7"/>
        <v>2015</v>
      </c>
    </row>
    <row r="238" spans="2:67" hidden="1" x14ac:dyDescent="0.75">
      <c r="B238" s="80" t="s">
        <v>517</v>
      </c>
      <c r="C238" s="80" t="s">
        <v>518</v>
      </c>
      <c r="D238" s="80" t="s">
        <v>778</v>
      </c>
      <c r="E238" s="80" t="s">
        <v>777</v>
      </c>
      <c r="BN238" s="81" t="str">
        <f t="shared" si="6"/>
        <v>No reported value</v>
      </c>
      <c r="BO238" s="80" t="str">
        <f t="shared" si="7"/>
        <v>No reported value</v>
      </c>
    </row>
    <row r="239" spans="2:67" hidden="1" x14ac:dyDescent="0.75">
      <c r="B239" s="80" t="s">
        <v>213</v>
      </c>
      <c r="C239" s="80" t="s">
        <v>135</v>
      </c>
      <c r="D239" s="80" t="s">
        <v>778</v>
      </c>
      <c r="E239" s="80" t="s">
        <v>777</v>
      </c>
      <c r="AX239" s="80">
        <v>7.2457000000000003</v>
      </c>
      <c r="AY239" s="80">
        <v>4.3967999999999998</v>
      </c>
      <c r="AZ239" s="80">
        <v>4.6154000000000002</v>
      </c>
      <c r="BA239" s="80">
        <v>4.5514999999999999</v>
      </c>
      <c r="BB239" s="80">
        <v>4.4873000000000003</v>
      </c>
      <c r="BD239" s="80">
        <v>4.5076999999999998</v>
      </c>
      <c r="BF239" s="80">
        <v>4.5395000000000003</v>
      </c>
      <c r="BJ239" s="80">
        <v>3.2612999999999999</v>
      </c>
      <c r="BN239" s="81">
        <f t="shared" si="6"/>
        <v>3.2612999999999999</v>
      </c>
      <c r="BO239" s="80">
        <f t="shared" si="7"/>
        <v>2016</v>
      </c>
    </row>
    <row r="240" spans="2:67" hidden="1" x14ac:dyDescent="0.75">
      <c r="B240" s="80" t="s">
        <v>546</v>
      </c>
      <c r="C240" s="80" t="s">
        <v>136</v>
      </c>
      <c r="D240" s="80" t="s">
        <v>778</v>
      </c>
      <c r="E240" s="80" t="s">
        <v>777</v>
      </c>
      <c r="AQ240" s="80">
        <v>2.2244000000000002</v>
      </c>
      <c r="AR240" s="80">
        <v>2.3184</v>
      </c>
      <c r="AS240" s="80">
        <v>1.9051</v>
      </c>
      <c r="AT240" s="80">
        <v>1.9543999999999999</v>
      </c>
      <c r="AU240" s="80">
        <v>1.9410000000000001</v>
      </c>
      <c r="AV240" s="80">
        <v>1.9601999999999999</v>
      </c>
      <c r="AW240" s="80">
        <v>1.8506</v>
      </c>
      <c r="AX240" s="80">
        <v>1.9155</v>
      </c>
      <c r="AY240" s="80">
        <v>1.8915</v>
      </c>
      <c r="AZ240" s="80">
        <v>1.4</v>
      </c>
      <c r="BA240" s="80">
        <v>1.9139999999999999</v>
      </c>
      <c r="BB240" s="80">
        <v>1.873</v>
      </c>
      <c r="BC240" s="80">
        <v>1.8766</v>
      </c>
      <c r="BD240" s="80">
        <v>1.9056</v>
      </c>
      <c r="BH240" s="80">
        <v>2.2502</v>
      </c>
      <c r="BJ240" s="80">
        <v>1.46</v>
      </c>
      <c r="BN240" s="81">
        <f t="shared" si="6"/>
        <v>1.46</v>
      </c>
      <c r="BO240" s="80">
        <f t="shared" si="7"/>
        <v>2016</v>
      </c>
    </row>
    <row r="241" spans="2:67" hidden="1" x14ac:dyDescent="0.75">
      <c r="B241" s="80" t="s">
        <v>553</v>
      </c>
      <c r="C241" s="80" t="s">
        <v>554</v>
      </c>
      <c r="D241" s="80" t="s">
        <v>778</v>
      </c>
      <c r="E241" s="80" t="s">
        <v>777</v>
      </c>
      <c r="BN241" s="81" t="str">
        <f t="shared" si="6"/>
        <v>No reported value</v>
      </c>
      <c r="BO241" s="80" t="str">
        <f t="shared" si="7"/>
        <v>No reported value</v>
      </c>
    </row>
    <row r="242" spans="2:67" hidden="1" x14ac:dyDescent="0.75">
      <c r="B242" s="80" t="s">
        <v>189</v>
      </c>
      <c r="C242" s="80" t="s">
        <v>169</v>
      </c>
      <c r="D242" s="80" t="s">
        <v>778</v>
      </c>
      <c r="E242" s="80" t="s">
        <v>777</v>
      </c>
      <c r="AQ242" s="80">
        <v>4.7899999999999998E-2</v>
      </c>
      <c r="AR242" s="80">
        <v>5.62E-2</v>
      </c>
      <c r="AS242" s="80">
        <v>5.9700000000000003E-2</v>
      </c>
      <c r="AT242" s="80">
        <v>0.12479999999999999</v>
      </c>
      <c r="AX242" s="80">
        <v>0.25740000000000002</v>
      </c>
      <c r="AZ242" s="80">
        <v>0.18149999999999999</v>
      </c>
      <c r="BF242" s="80">
        <v>0.28000000000000003</v>
      </c>
      <c r="BG242" s="80">
        <v>0.30890000000000001</v>
      </c>
      <c r="BJ242" s="80">
        <v>0.36370000000000002</v>
      </c>
      <c r="BN242" s="81">
        <f t="shared" si="6"/>
        <v>0.36370000000000002</v>
      </c>
      <c r="BO242" s="80">
        <f t="shared" si="7"/>
        <v>2016</v>
      </c>
    </row>
    <row r="243" spans="2:67" hidden="1" x14ac:dyDescent="0.75">
      <c r="B243" s="80" t="s">
        <v>375</v>
      </c>
      <c r="C243" s="80" t="s">
        <v>376</v>
      </c>
      <c r="D243" s="80" t="s">
        <v>778</v>
      </c>
      <c r="E243" s="80" t="s">
        <v>777</v>
      </c>
      <c r="AJ243" s="80">
        <v>0.79562089861553364</v>
      </c>
      <c r="AT243" s="80">
        <v>1.2276707556265674</v>
      </c>
      <c r="BI243" s="80">
        <v>2.1248211972701894</v>
      </c>
      <c r="BN243" s="81">
        <f t="shared" si="6"/>
        <v>2.1248211972701894</v>
      </c>
      <c r="BO243" s="80">
        <f t="shared" si="7"/>
        <v>2015</v>
      </c>
    </row>
    <row r="244" spans="2:67" hidden="1" x14ac:dyDescent="0.75">
      <c r="B244" s="80" t="s">
        <v>387</v>
      </c>
      <c r="C244" s="80" t="s">
        <v>388</v>
      </c>
      <c r="D244" s="80" t="s">
        <v>778</v>
      </c>
      <c r="E244" s="80" t="s">
        <v>777</v>
      </c>
      <c r="BI244" s="80">
        <v>6.9216664116514464</v>
      </c>
      <c r="BN244" s="81">
        <f t="shared" si="6"/>
        <v>6.9216664116514464</v>
      </c>
      <c r="BO244" s="80">
        <f t="shared" si="7"/>
        <v>2015</v>
      </c>
    </row>
    <row r="245" spans="2:67" hidden="1" x14ac:dyDescent="0.75">
      <c r="B245" s="80" t="s">
        <v>215</v>
      </c>
      <c r="C245" s="80" t="s">
        <v>137</v>
      </c>
      <c r="D245" s="80" t="s">
        <v>778</v>
      </c>
      <c r="E245" s="80" t="s">
        <v>777</v>
      </c>
      <c r="AX245" s="80">
        <v>0.35</v>
      </c>
      <c r="BA245" s="80">
        <v>0.41220000000000001</v>
      </c>
      <c r="BB245" s="80">
        <v>0.29470000000000002</v>
      </c>
      <c r="BD245" s="80">
        <v>1.4434</v>
      </c>
      <c r="BI245" s="80">
        <v>0.29799999999999999</v>
      </c>
      <c r="BN245" s="81">
        <f t="shared" si="6"/>
        <v>0.29799999999999999</v>
      </c>
      <c r="BO245" s="80">
        <f t="shared" si="7"/>
        <v>2015</v>
      </c>
    </row>
    <row r="246" spans="2:67" hidden="1" x14ac:dyDescent="0.75">
      <c r="B246" s="80" t="s">
        <v>548</v>
      </c>
      <c r="C246" s="80" t="s">
        <v>138</v>
      </c>
      <c r="D246" s="80" t="s">
        <v>778</v>
      </c>
      <c r="E246" s="80" t="s">
        <v>777</v>
      </c>
      <c r="AK246" s="80">
        <v>0.71060000000000001</v>
      </c>
      <c r="AM246" s="80">
        <v>0.79959999999999998</v>
      </c>
      <c r="AO246" s="80">
        <v>0.91210000000000002</v>
      </c>
      <c r="AQ246" s="80">
        <v>0.92610000000000003</v>
      </c>
      <c r="AR246" s="80">
        <v>1.0343</v>
      </c>
      <c r="AS246" s="80">
        <v>1.0914999999999999</v>
      </c>
      <c r="AT246" s="80">
        <v>2.831</v>
      </c>
      <c r="AU246" s="80">
        <v>1.2282</v>
      </c>
      <c r="AV246" s="80">
        <v>1.3217000000000001</v>
      </c>
      <c r="AX246" s="80">
        <v>1.4877</v>
      </c>
      <c r="AZ246" s="80">
        <v>1.5445</v>
      </c>
      <c r="BA246" s="80">
        <v>1.5279</v>
      </c>
      <c r="BB246" s="80">
        <v>1.5838000000000001</v>
      </c>
      <c r="BC246" s="80">
        <v>1.6416999999999999</v>
      </c>
      <c r="BD246" s="80">
        <v>2.0638999999999998</v>
      </c>
      <c r="BI246" s="80">
        <v>2.3702000000000001</v>
      </c>
      <c r="BJ246" s="80">
        <v>2.7786</v>
      </c>
      <c r="BK246" s="80">
        <v>2.9647000000000001</v>
      </c>
      <c r="BN246" s="81">
        <f t="shared" si="6"/>
        <v>2.9647000000000001</v>
      </c>
      <c r="BO246" s="80">
        <f t="shared" si="7"/>
        <v>2017</v>
      </c>
    </row>
    <row r="247" spans="2:67" hidden="1" x14ac:dyDescent="0.75">
      <c r="B247" s="80" t="s">
        <v>238</v>
      </c>
      <c r="C247" s="80" t="s">
        <v>163</v>
      </c>
      <c r="D247" s="80" t="s">
        <v>778</v>
      </c>
      <c r="E247" s="80" t="s">
        <v>777</v>
      </c>
      <c r="BC247" s="80">
        <v>3.3927999999999998</v>
      </c>
      <c r="BD247" s="80">
        <v>4.4184000000000001</v>
      </c>
      <c r="BE247" s="80">
        <v>4.5274000000000001</v>
      </c>
      <c r="BF247" s="80">
        <v>4.8765999999999998</v>
      </c>
      <c r="BG247" s="80">
        <v>4.9379999999999997</v>
      </c>
      <c r="BH247" s="80">
        <v>5.2329999999999997</v>
      </c>
      <c r="BN247" s="81">
        <f t="shared" si="6"/>
        <v>5.2329999999999997</v>
      </c>
      <c r="BO247" s="80">
        <f t="shared" si="7"/>
        <v>2014</v>
      </c>
    </row>
    <row r="248" spans="2:67" hidden="1" x14ac:dyDescent="0.75">
      <c r="B248" s="80" t="s">
        <v>552</v>
      </c>
      <c r="C248" s="80" t="s">
        <v>139</v>
      </c>
      <c r="D248" s="80" t="s">
        <v>778</v>
      </c>
      <c r="E248" s="80" t="s">
        <v>777</v>
      </c>
      <c r="AV248" s="80">
        <v>9.4054000000000002</v>
      </c>
      <c r="AZ248" s="80">
        <v>4.7</v>
      </c>
      <c r="BA248" s="80">
        <v>4.5199999999999996</v>
      </c>
      <c r="BD248" s="80">
        <v>4.7164999999999999</v>
      </c>
      <c r="BE248" s="80">
        <v>4.7175000000000002</v>
      </c>
      <c r="BF248" s="80">
        <v>4.6959</v>
      </c>
      <c r="BG248" s="80">
        <v>4.6487999999999996</v>
      </c>
      <c r="BH248" s="80">
        <v>4.6306000000000003</v>
      </c>
      <c r="BN248" s="81">
        <f t="shared" si="6"/>
        <v>4.6306000000000003</v>
      </c>
      <c r="BO248" s="80">
        <f t="shared" si="7"/>
        <v>2014</v>
      </c>
    </row>
    <row r="249" spans="2:67" hidden="1" x14ac:dyDescent="0.75">
      <c r="B249" s="80" t="s">
        <v>441</v>
      </c>
      <c r="C249" s="80" t="s">
        <v>442</v>
      </c>
      <c r="D249" s="80" t="s">
        <v>778</v>
      </c>
      <c r="E249" s="80" t="s">
        <v>777</v>
      </c>
      <c r="AT249" s="80">
        <v>1.911783948832446</v>
      </c>
      <c r="BI249" s="80">
        <v>4.6623691490508543</v>
      </c>
      <c r="BN249" s="81">
        <f t="shared" si="6"/>
        <v>4.6623691490508543</v>
      </c>
      <c r="BO249" s="80">
        <f t="shared" si="7"/>
        <v>2015</v>
      </c>
    </row>
    <row r="250" spans="2:67" hidden="1" x14ac:dyDescent="0.75">
      <c r="B250" s="80" t="s">
        <v>246</v>
      </c>
      <c r="C250" s="80" t="s">
        <v>140</v>
      </c>
      <c r="D250" s="80" t="s">
        <v>778</v>
      </c>
      <c r="E250" s="80" t="s">
        <v>777</v>
      </c>
      <c r="AX250" s="80">
        <v>1.8008999999999999</v>
      </c>
      <c r="BA250" s="80">
        <v>0.99250000000000005</v>
      </c>
      <c r="BB250" s="80">
        <v>1.0230999999999999</v>
      </c>
      <c r="BC250" s="80">
        <v>1.1135999999999999</v>
      </c>
      <c r="BD250" s="80">
        <v>1.131</v>
      </c>
      <c r="BE250" s="80">
        <v>1.1338999999999999</v>
      </c>
      <c r="BG250" s="80">
        <v>0.96589999999999998</v>
      </c>
      <c r="BH250" s="80">
        <v>1.3580000000000001</v>
      </c>
      <c r="BI250" s="80">
        <v>1.4287000000000001</v>
      </c>
      <c r="BK250" s="80">
        <v>1.6700999999999999</v>
      </c>
      <c r="BN250" s="81">
        <f t="shared" si="6"/>
        <v>1.6700999999999999</v>
      </c>
      <c r="BO250" s="80">
        <f t="shared" si="7"/>
        <v>2017</v>
      </c>
    </row>
    <row r="251" spans="2:67" hidden="1" x14ac:dyDescent="0.75">
      <c r="B251" s="80" t="s">
        <v>470</v>
      </c>
      <c r="C251" s="80" t="s">
        <v>471</v>
      </c>
      <c r="D251" s="80" t="s">
        <v>778</v>
      </c>
      <c r="E251" s="80" t="s">
        <v>777</v>
      </c>
      <c r="BI251" s="80">
        <v>1.752603675461049</v>
      </c>
      <c r="BN251" s="81">
        <f t="shared" si="6"/>
        <v>1.752603675461049</v>
      </c>
      <c r="BO251" s="80">
        <f t="shared" si="7"/>
        <v>2015</v>
      </c>
    </row>
    <row r="252" spans="2:67" hidden="1" x14ac:dyDescent="0.75">
      <c r="B252" s="80" t="s">
        <v>256</v>
      </c>
      <c r="C252" s="80" t="s">
        <v>141</v>
      </c>
      <c r="D252" s="80" t="s">
        <v>778</v>
      </c>
      <c r="E252" s="80" t="s">
        <v>777</v>
      </c>
      <c r="AU252" s="80">
        <v>3.4584000000000001</v>
      </c>
      <c r="AV252" s="80">
        <v>3.5282</v>
      </c>
      <c r="BA252" s="80">
        <v>2.9319999999999999</v>
      </c>
      <c r="BB252" s="80">
        <v>3.5339999999999998</v>
      </c>
      <c r="BC252" s="80">
        <v>3.6486000000000001</v>
      </c>
      <c r="BD252" s="80">
        <v>3.8424999999999998</v>
      </c>
      <c r="BG252" s="80">
        <v>3.8746</v>
      </c>
      <c r="BJ252" s="80">
        <v>3.9319999999999999</v>
      </c>
      <c r="BN252" s="81">
        <f t="shared" si="6"/>
        <v>3.9319999999999999</v>
      </c>
      <c r="BO252" s="80">
        <f t="shared" si="7"/>
        <v>2016</v>
      </c>
    </row>
    <row r="253" spans="2:67" hidden="1" x14ac:dyDescent="0.75">
      <c r="B253" s="80" t="s">
        <v>526</v>
      </c>
      <c r="C253" s="80" t="s">
        <v>527</v>
      </c>
      <c r="D253" s="80" t="s">
        <v>778</v>
      </c>
      <c r="E253" s="80" t="s">
        <v>777</v>
      </c>
      <c r="AJ253" s="80">
        <v>0.37753856491539362</v>
      </c>
      <c r="AT253" s="80">
        <v>1.0836319828399013</v>
      </c>
      <c r="BI253" s="80">
        <v>1.7372389586483101</v>
      </c>
      <c r="BN253" s="81">
        <f t="shared" si="6"/>
        <v>1.7372389586483101</v>
      </c>
      <c r="BO253" s="80">
        <f t="shared" si="7"/>
        <v>2015</v>
      </c>
    </row>
    <row r="254" spans="2:67" hidden="1" x14ac:dyDescent="0.75">
      <c r="B254" s="80" t="s">
        <v>542</v>
      </c>
      <c r="C254" s="80" t="s">
        <v>543</v>
      </c>
      <c r="D254" s="80" t="s">
        <v>778</v>
      </c>
      <c r="E254" s="80" t="s">
        <v>777</v>
      </c>
      <c r="BI254" s="80">
        <v>1.0285959901671162</v>
      </c>
      <c r="BN254" s="81">
        <f t="shared" si="6"/>
        <v>1.0285959901671162</v>
      </c>
      <c r="BO254" s="80">
        <f t="shared" si="7"/>
        <v>2015</v>
      </c>
    </row>
    <row r="255" spans="2:67" hidden="1" x14ac:dyDescent="0.75">
      <c r="B255" s="80" t="s">
        <v>549</v>
      </c>
      <c r="C255" s="80" t="s">
        <v>142</v>
      </c>
      <c r="D255" s="80" t="s">
        <v>778</v>
      </c>
      <c r="E255" s="80" t="s">
        <v>777</v>
      </c>
      <c r="AO255" s="80">
        <v>2.9777</v>
      </c>
      <c r="AP255" s="80">
        <v>2.2656000000000001</v>
      </c>
      <c r="AQ255" s="80">
        <v>2.2932000000000001</v>
      </c>
      <c r="AR255" s="80">
        <v>2.7254999999999998</v>
      </c>
      <c r="AS255" s="80">
        <v>2.8849999999999998</v>
      </c>
      <c r="AT255" s="80">
        <v>2.5977999999999999</v>
      </c>
      <c r="AU255" s="80">
        <v>2.7759</v>
      </c>
      <c r="AV255" s="80">
        <v>2.9855999999999998</v>
      </c>
      <c r="AW255" s="80">
        <v>3.0996999999999999</v>
      </c>
      <c r="AZ255" s="80">
        <v>3.5522999999999998</v>
      </c>
      <c r="BA255" s="80">
        <v>3.5720999999999998</v>
      </c>
      <c r="BC255" s="80">
        <v>3.47</v>
      </c>
      <c r="BD255" s="80">
        <v>2.9403000000000001</v>
      </c>
      <c r="BE255" s="80">
        <v>3.2806000000000002</v>
      </c>
      <c r="BI255" s="80">
        <v>3.5093000000000001</v>
      </c>
      <c r="BN255" s="81">
        <f t="shared" si="6"/>
        <v>3.5093000000000001</v>
      </c>
      <c r="BO255" s="80">
        <f t="shared" si="7"/>
        <v>2015</v>
      </c>
    </row>
    <row r="256" spans="2:67" hidden="1" x14ac:dyDescent="0.75">
      <c r="B256" s="80" t="s">
        <v>550</v>
      </c>
      <c r="C256" s="80" t="s">
        <v>143</v>
      </c>
      <c r="D256" s="80" t="s">
        <v>778</v>
      </c>
      <c r="E256" s="80" t="s">
        <v>777</v>
      </c>
      <c r="AW256" s="80">
        <v>2.0798999999999999</v>
      </c>
      <c r="AX256" s="80">
        <v>2.8487</v>
      </c>
      <c r="BB256" s="80">
        <v>2.1772</v>
      </c>
      <c r="BC256" s="80">
        <v>2.1536</v>
      </c>
      <c r="BD256" s="80">
        <v>2.2402000000000002</v>
      </c>
      <c r="BH256" s="80">
        <v>2.4405999999999999</v>
      </c>
      <c r="BI256" s="80">
        <v>2.6478000000000002</v>
      </c>
      <c r="BJ256" s="80">
        <v>2.6351</v>
      </c>
      <c r="BN256" s="81">
        <f t="shared" si="6"/>
        <v>2.6351</v>
      </c>
      <c r="BO256" s="80">
        <f t="shared" si="7"/>
        <v>2016</v>
      </c>
    </row>
    <row r="257" spans="2:67" hidden="1" x14ac:dyDescent="0.75">
      <c r="B257" s="80" t="s">
        <v>551</v>
      </c>
      <c r="C257" s="80" t="s">
        <v>144</v>
      </c>
      <c r="D257" s="80" t="s">
        <v>778</v>
      </c>
      <c r="E257" s="80" t="s">
        <v>777</v>
      </c>
      <c r="AJ257" s="80">
        <v>1.3983000000000001</v>
      </c>
      <c r="AK257" s="80">
        <v>1.4818</v>
      </c>
      <c r="AL257" s="80">
        <v>1.5346</v>
      </c>
      <c r="AM257" s="80">
        <v>1.5980000000000001</v>
      </c>
      <c r="AN257" s="80">
        <v>1.5962000000000001</v>
      </c>
      <c r="AO257" s="80">
        <v>1.7746999999999999</v>
      </c>
      <c r="AP257" s="80">
        <v>1.7413000000000001</v>
      </c>
      <c r="AQ257" s="80">
        <v>1.7805</v>
      </c>
      <c r="AR257" s="80">
        <v>1.7986</v>
      </c>
      <c r="AS257" s="80">
        <v>1.7907999999999999</v>
      </c>
      <c r="AT257" s="80">
        <v>1.7575000000000001</v>
      </c>
      <c r="AU257" s="80">
        <v>1.7806</v>
      </c>
      <c r="AV257" s="80">
        <v>1.748</v>
      </c>
      <c r="AW257" s="80">
        <v>1.7575000000000001</v>
      </c>
      <c r="AX257" s="80">
        <v>1.7756000000000001</v>
      </c>
      <c r="AY257" s="80">
        <v>1.7926</v>
      </c>
      <c r="AZ257" s="80">
        <v>1.8485</v>
      </c>
      <c r="BA257" s="80">
        <v>2.0379999999999998</v>
      </c>
      <c r="BB257" s="80">
        <v>2.0952000000000002</v>
      </c>
      <c r="BC257" s="80">
        <v>2.1661999999999999</v>
      </c>
      <c r="BD257" s="80">
        <v>2.9788999999999999</v>
      </c>
      <c r="BE257" s="80">
        <v>3.1166999999999998</v>
      </c>
      <c r="BF257" s="80">
        <v>3.2431000000000001</v>
      </c>
      <c r="BG257" s="80">
        <v>3.2511999999999999</v>
      </c>
      <c r="BH257" s="80">
        <v>3.2208999999999999</v>
      </c>
      <c r="BI257" s="80">
        <v>2.6303999999999998</v>
      </c>
      <c r="BN257" s="81">
        <f t="shared" si="6"/>
        <v>2.6303999999999998</v>
      </c>
      <c r="BO257" s="80">
        <f t="shared" si="7"/>
        <v>2015</v>
      </c>
    </row>
    <row r="258" spans="2:67" hidden="1" x14ac:dyDescent="0.75">
      <c r="B258" s="80" t="s">
        <v>257</v>
      </c>
      <c r="C258" s="80" t="s">
        <v>145</v>
      </c>
      <c r="D258" s="80" t="s">
        <v>778</v>
      </c>
      <c r="E258" s="80" t="s">
        <v>777</v>
      </c>
      <c r="AV258" s="80">
        <v>4.0625</v>
      </c>
      <c r="AW258" s="80">
        <v>5.1020000000000003</v>
      </c>
      <c r="BB258" s="80">
        <v>6.2135999999999996</v>
      </c>
      <c r="BD258" s="80">
        <v>5.8179999999999996</v>
      </c>
      <c r="BH258" s="80">
        <v>3.7614999999999998</v>
      </c>
      <c r="BN258" s="81">
        <f t="shared" si="6"/>
        <v>3.7614999999999998</v>
      </c>
      <c r="BO258" s="80">
        <f t="shared" si="7"/>
        <v>2014</v>
      </c>
    </row>
    <row r="259" spans="2:67" hidden="1" x14ac:dyDescent="0.75">
      <c r="B259" s="80" t="s">
        <v>547</v>
      </c>
      <c r="C259" s="80" t="s">
        <v>146</v>
      </c>
      <c r="D259" s="80" t="s">
        <v>778</v>
      </c>
      <c r="E259" s="80" t="s">
        <v>777</v>
      </c>
      <c r="AV259" s="80">
        <v>0.36809999999999998</v>
      </c>
      <c r="AZ259" s="80">
        <v>0.23230000000000001</v>
      </c>
      <c r="BD259" s="80">
        <v>0.24199999999999999</v>
      </c>
      <c r="BF259" s="80">
        <v>0.42380000000000001</v>
      </c>
      <c r="BH259" s="80">
        <v>0.41260000000000002</v>
      </c>
      <c r="BN259" s="81">
        <f t="shared" si="6"/>
        <v>0.41260000000000002</v>
      </c>
      <c r="BO259" s="80">
        <f t="shared" si="7"/>
        <v>2014</v>
      </c>
    </row>
    <row r="260" spans="2:67" hidden="1" x14ac:dyDescent="0.75">
      <c r="B260" s="80" t="s">
        <v>216</v>
      </c>
      <c r="C260" s="80" t="s">
        <v>147</v>
      </c>
      <c r="D260" s="80" t="s">
        <v>778</v>
      </c>
      <c r="E260" s="80" t="s">
        <v>777</v>
      </c>
      <c r="AX260" s="80">
        <v>0.68810000000000004</v>
      </c>
      <c r="AY260" s="80">
        <v>1.3181</v>
      </c>
      <c r="BD260" s="80">
        <v>1.306</v>
      </c>
      <c r="BF260" s="80">
        <v>1.1351</v>
      </c>
      <c r="BI260" s="80">
        <v>0.63029999999999997</v>
      </c>
      <c r="BN260" s="81">
        <f t="shared" si="6"/>
        <v>0.63029999999999997</v>
      </c>
      <c r="BO260" s="80">
        <f t="shared" si="7"/>
        <v>2015</v>
      </c>
    </row>
    <row r="261" spans="2:67" hidden="1" x14ac:dyDescent="0.75">
      <c r="B261" s="80" t="s">
        <v>239</v>
      </c>
      <c r="C261" s="80" t="s">
        <v>148</v>
      </c>
      <c r="D261" s="80" t="s">
        <v>778</v>
      </c>
      <c r="E261" s="80" t="s">
        <v>777</v>
      </c>
      <c r="AZ261" s="80">
        <v>8.4499999999999993</v>
      </c>
      <c r="BD261" s="80">
        <v>7.9104000000000001</v>
      </c>
      <c r="BE261" s="80">
        <v>7.9118000000000004</v>
      </c>
      <c r="BF261" s="80">
        <v>7.9660000000000002</v>
      </c>
      <c r="BG261" s="80">
        <v>8.0038</v>
      </c>
      <c r="BH261" s="80">
        <v>7.0575999999999999</v>
      </c>
      <c r="BN261" s="81">
        <f t="shared" si="6"/>
        <v>7.0575999999999999</v>
      </c>
      <c r="BO261" s="80">
        <f t="shared" si="7"/>
        <v>2014</v>
      </c>
    </row>
    <row r="262" spans="2:67" hidden="1" x14ac:dyDescent="0.75">
      <c r="B262" s="80" t="s">
        <v>558</v>
      </c>
      <c r="C262" s="80" t="s">
        <v>559</v>
      </c>
      <c r="D262" s="80" t="s">
        <v>778</v>
      </c>
      <c r="E262" s="80" t="s">
        <v>777</v>
      </c>
      <c r="AJ262" s="80">
        <v>0.87700465242690206</v>
      </c>
      <c r="AT262" s="80">
        <v>1.453519471377172</v>
      </c>
      <c r="BI262" s="80">
        <v>3.4765419762677725</v>
      </c>
      <c r="BN262" s="81">
        <f t="shared" si="6"/>
        <v>3.4765419762677725</v>
      </c>
      <c r="BO262" s="80">
        <f t="shared" si="7"/>
        <v>2015</v>
      </c>
    </row>
    <row r="263" spans="2:67" hidden="1" x14ac:dyDescent="0.75">
      <c r="B263" s="80" t="s">
        <v>560</v>
      </c>
      <c r="C263" s="80" t="s">
        <v>561</v>
      </c>
      <c r="D263" s="80" t="s">
        <v>778</v>
      </c>
      <c r="E263" s="80" t="s">
        <v>777</v>
      </c>
      <c r="AV263" s="80">
        <v>0.86539999999999995</v>
      </c>
      <c r="AZ263" s="80">
        <v>2.9864999999999999</v>
      </c>
      <c r="BB263" s="80">
        <v>5.8479000000000001</v>
      </c>
      <c r="BD263" s="80">
        <v>5.548</v>
      </c>
      <c r="BJ263" s="80">
        <v>6.2782</v>
      </c>
      <c r="BK263" s="80">
        <v>1.9298999999999999</v>
      </c>
      <c r="BN263" s="81">
        <f t="shared" si="6"/>
        <v>1.9298999999999999</v>
      </c>
      <c r="BO263" s="80">
        <f t="shared" si="7"/>
        <v>2017</v>
      </c>
    </row>
    <row r="264" spans="2:67" hidden="1" x14ac:dyDescent="0.75">
      <c r="B264" s="80" t="s">
        <v>557</v>
      </c>
      <c r="C264" s="80" t="s">
        <v>149</v>
      </c>
      <c r="D264" s="80" t="s">
        <v>778</v>
      </c>
      <c r="E264" s="80" t="s">
        <v>777</v>
      </c>
      <c r="AO264" s="80">
        <v>8.94</v>
      </c>
      <c r="AT264" s="80">
        <v>9.4672999999999998</v>
      </c>
      <c r="AY264" s="80">
        <v>9.9177</v>
      </c>
      <c r="BD264" s="80">
        <v>12.607799999999999</v>
      </c>
      <c r="BH264" s="80">
        <v>8.8320000000000007</v>
      </c>
      <c r="BI264" s="80">
        <v>8.5500000000000007</v>
      </c>
      <c r="BN264" s="81">
        <f t="shared" si="6"/>
        <v>8.5500000000000007</v>
      </c>
      <c r="BO264" s="80">
        <f t="shared" si="7"/>
        <v>2015</v>
      </c>
    </row>
    <row r="265" spans="2:67" hidden="1" x14ac:dyDescent="0.75">
      <c r="B265" s="80" t="s">
        <v>562</v>
      </c>
      <c r="C265" s="80" t="s">
        <v>150</v>
      </c>
      <c r="D265" s="80" t="s">
        <v>778</v>
      </c>
      <c r="E265" s="80" t="s">
        <v>777</v>
      </c>
      <c r="AY265" s="80">
        <v>10.91</v>
      </c>
      <c r="BA265" s="80">
        <v>10.81</v>
      </c>
      <c r="BC265" s="80">
        <v>11.132</v>
      </c>
      <c r="BD265" s="80">
        <v>12.2281</v>
      </c>
      <c r="BE265" s="80">
        <v>12.273</v>
      </c>
      <c r="BF265" s="80">
        <v>12.217599999999999</v>
      </c>
      <c r="BG265" s="80">
        <v>12.1486</v>
      </c>
      <c r="BH265" s="80">
        <v>12.0739</v>
      </c>
      <c r="BN265" s="81">
        <f t="shared" si="6"/>
        <v>12.0739</v>
      </c>
      <c r="BO265" s="80">
        <f t="shared" si="7"/>
        <v>2014</v>
      </c>
    </row>
    <row r="266" spans="2:67" hidden="1" x14ac:dyDescent="0.75">
      <c r="B266" s="80" t="s">
        <v>536</v>
      </c>
      <c r="C266" s="80" t="s">
        <v>537</v>
      </c>
      <c r="D266" s="80" t="s">
        <v>778</v>
      </c>
      <c r="E266" s="80" t="s">
        <v>777</v>
      </c>
      <c r="AQ266" s="80">
        <v>2.5556000000000001</v>
      </c>
      <c r="AT266" s="80">
        <v>4.1426999999999996</v>
      </c>
      <c r="AU266" s="80">
        <v>4.4074</v>
      </c>
      <c r="AX266" s="80">
        <v>4.6409000000000002</v>
      </c>
      <c r="BD266" s="80">
        <v>2.5800999999999998</v>
      </c>
      <c r="BN266" s="81">
        <f t="shared" si="6"/>
        <v>2.5800999999999998</v>
      </c>
      <c r="BO266" s="80">
        <f t="shared" si="7"/>
        <v>2010</v>
      </c>
    </row>
    <row r="267" spans="2:67" hidden="1" x14ac:dyDescent="0.75">
      <c r="B267" s="80" t="s">
        <v>563</v>
      </c>
      <c r="C267" s="80" t="s">
        <v>564</v>
      </c>
      <c r="D267" s="80" t="s">
        <v>778</v>
      </c>
      <c r="E267" s="80" t="s">
        <v>777</v>
      </c>
      <c r="AQ267" s="80">
        <v>0.64990000000000003</v>
      </c>
      <c r="AU267" s="80">
        <v>1.1223000000000001</v>
      </c>
      <c r="BN267" s="81">
        <f t="shared" si="6"/>
        <v>1.1223000000000001</v>
      </c>
      <c r="BO267" s="80">
        <f t="shared" si="7"/>
        <v>2001</v>
      </c>
    </row>
    <row r="268" spans="2:67" hidden="1" x14ac:dyDescent="0.75">
      <c r="B268" s="80" t="s">
        <v>338</v>
      </c>
      <c r="C268" s="80" t="s">
        <v>339</v>
      </c>
      <c r="D268" s="80" t="s">
        <v>778</v>
      </c>
      <c r="E268" s="80" t="s">
        <v>777</v>
      </c>
      <c r="BN268" s="81" t="str">
        <f t="shared" si="6"/>
        <v>No reported value</v>
      </c>
      <c r="BO268" s="80" t="str">
        <f t="shared" si="7"/>
        <v>No reported value</v>
      </c>
    </row>
    <row r="269" spans="2:67" hidden="1" x14ac:dyDescent="0.75">
      <c r="B269" s="80" t="s">
        <v>566</v>
      </c>
      <c r="C269" s="80" t="s">
        <v>567</v>
      </c>
      <c r="D269" s="80" t="s">
        <v>778</v>
      </c>
      <c r="E269" s="80" t="s">
        <v>777</v>
      </c>
      <c r="BN269" s="81" t="str">
        <f t="shared" si="6"/>
        <v>No reported value</v>
      </c>
      <c r="BO269" s="80" t="str">
        <f t="shared" si="7"/>
        <v>No reported value</v>
      </c>
    </row>
    <row r="270" spans="2:67" hidden="1" x14ac:dyDescent="0.75">
      <c r="B270" s="80" t="s">
        <v>565</v>
      </c>
      <c r="C270" s="80" t="s">
        <v>160</v>
      </c>
      <c r="D270" s="80" t="s">
        <v>778</v>
      </c>
      <c r="E270" s="80" t="s">
        <v>777</v>
      </c>
      <c r="AU270" s="80">
        <v>0.72960000000000003</v>
      </c>
      <c r="AV270" s="80">
        <v>0.75419999999999998</v>
      </c>
      <c r="AX270" s="80">
        <v>0.66300000000000003</v>
      </c>
      <c r="AY270" s="80">
        <v>0.82630000000000003</v>
      </c>
      <c r="AZ270" s="80">
        <v>0.87480000000000002</v>
      </c>
      <c r="BA270" s="80">
        <v>0.94479999999999997</v>
      </c>
      <c r="BB270" s="80">
        <v>1.0152000000000001</v>
      </c>
      <c r="BC270" s="80">
        <v>1.1022000000000001</v>
      </c>
      <c r="BD270" s="80">
        <v>1.2256</v>
      </c>
      <c r="BE270" s="80">
        <v>1.1299999999999999</v>
      </c>
      <c r="BF270" s="80">
        <v>1.4419</v>
      </c>
      <c r="BG270" s="80">
        <v>1.226</v>
      </c>
      <c r="BH270" s="80">
        <v>1.4171</v>
      </c>
      <c r="BI270" s="80">
        <v>1.4092</v>
      </c>
      <c r="BJ270" s="80">
        <v>1.4320999999999999</v>
      </c>
      <c r="BN270" s="81">
        <f t="shared" si="6"/>
        <v>1.4320999999999999</v>
      </c>
      <c r="BO270" s="80">
        <f t="shared" si="7"/>
        <v>2016</v>
      </c>
    </row>
    <row r="271" spans="2:67" hidden="1" x14ac:dyDescent="0.75">
      <c r="B271" s="80" t="s">
        <v>258</v>
      </c>
      <c r="C271" s="80" t="s">
        <v>151</v>
      </c>
      <c r="D271" s="80" t="s">
        <v>778</v>
      </c>
      <c r="E271" s="80" t="s">
        <v>777</v>
      </c>
      <c r="AQ271" s="80">
        <v>2.4457</v>
      </c>
      <c r="AX271" s="80">
        <v>1.7638</v>
      </c>
      <c r="BA271" s="80">
        <v>1.5636000000000001</v>
      </c>
      <c r="BB271" s="80">
        <v>1.6866000000000001</v>
      </c>
      <c r="BD271" s="80">
        <v>1.696</v>
      </c>
      <c r="BF271" s="80">
        <v>1.8545</v>
      </c>
      <c r="BJ271" s="80">
        <v>1.3853</v>
      </c>
      <c r="BN271" s="81">
        <f t="shared" ref="BN271:BN278" si="8">IFERROR(LOOKUP(2,1/(ISNUMBER(F271:BM271)),F271:BM271),"No reported value")</f>
        <v>1.3853</v>
      </c>
      <c r="BO271" s="80">
        <f t="shared" ref="BO271:BO278" si="9">IFERROR(INDEX($F$14:$BM$14,1,MATCH($BN271,$F271:$BM271,0)),"No reported value")</f>
        <v>2016</v>
      </c>
    </row>
    <row r="272" spans="2:67" hidden="1" x14ac:dyDescent="0.75">
      <c r="B272" s="80" t="s">
        <v>570</v>
      </c>
      <c r="C272" s="80" t="s">
        <v>571</v>
      </c>
      <c r="D272" s="80" t="s">
        <v>778</v>
      </c>
      <c r="E272" s="80" t="s">
        <v>777</v>
      </c>
      <c r="AT272" s="80">
        <v>2.433415177749334</v>
      </c>
      <c r="BI272" s="80">
        <v>3.4234202979140669</v>
      </c>
      <c r="BN272" s="81">
        <f t="shared" si="8"/>
        <v>3.4234202979140669</v>
      </c>
      <c r="BO272" s="80">
        <f t="shared" si="9"/>
        <v>2015</v>
      </c>
    </row>
    <row r="273" spans="1:69" hidden="1" x14ac:dyDescent="0.75">
      <c r="B273" s="80" t="s">
        <v>254</v>
      </c>
      <c r="C273" s="80" t="s">
        <v>152</v>
      </c>
      <c r="D273" s="80" t="s">
        <v>778</v>
      </c>
      <c r="E273" s="80" t="s">
        <v>777</v>
      </c>
      <c r="AS273" s="80">
        <v>2.0081000000000002</v>
      </c>
      <c r="AW273" s="80">
        <v>1.7444999999999999</v>
      </c>
      <c r="BB273" s="80">
        <v>1.8965000000000001</v>
      </c>
      <c r="BD273" s="80">
        <v>1.536</v>
      </c>
      <c r="BF273" s="80">
        <v>1.7865</v>
      </c>
      <c r="BH273" s="80">
        <v>1.8565</v>
      </c>
      <c r="BN273" s="81">
        <f t="shared" si="8"/>
        <v>1.8565</v>
      </c>
      <c r="BO273" s="80">
        <f t="shared" si="9"/>
        <v>2014</v>
      </c>
    </row>
    <row r="274" spans="1:69" hidden="1" x14ac:dyDescent="0.75">
      <c r="B274" s="80" t="s">
        <v>237</v>
      </c>
      <c r="C274" s="80" t="s">
        <v>431</v>
      </c>
      <c r="D274" s="80" t="s">
        <v>778</v>
      </c>
      <c r="E274" s="80" t="s">
        <v>777</v>
      </c>
      <c r="BN274" s="81" t="str">
        <f t="shared" si="8"/>
        <v>No reported value</v>
      </c>
      <c r="BO274" s="80" t="str">
        <f t="shared" si="9"/>
        <v>No reported value</v>
      </c>
    </row>
    <row r="275" spans="1:69" hidden="1" x14ac:dyDescent="0.75">
      <c r="B275" s="80" t="s">
        <v>572</v>
      </c>
      <c r="C275" s="80" t="s">
        <v>153</v>
      </c>
      <c r="D275" s="80" t="s">
        <v>778</v>
      </c>
      <c r="E275" s="80" t="s">
        <v>777</v>
      </c>
      <c r="AQ275" s="80">
        <v>0.40389999999999998</v>
      </c>
      <c r="AX275" s="80">
        <v>0.68669999999999998</v>
      </c>
      <c r="BD275" s="80">
        <v>0.70279999999999998</v>
      </c>
      <c r="BH275" s="80">
        <v>0.73</v>
      </c>
      <c r="BN275" s="81">
        <f t="shared" si="8"/>
        <v>0.73</v>
      </c>
      <c r="BO275" s="80">
        <f t="shared" si="9"/>
        <v>2014</v>
      </c>
    </row>
    <row r="276" spans="1:69" hidden="1" x14ac:dyDescent="0.75">
      <c r="B276" s="80" t="s">
        <v>178</v>
      </c>
      <c r="C276" s="80" t="s">
        <v>154</v>
      </c>
      <c r="D276" s="80" t="s">
        <v>778</v>
      </c>
      <c r="E276" s="80" t="s">
        <v>777</v>
      </c>
      <c r="AR276" s="80">
        <v>3.9146999999999998</v>
      </c>
      <c r="AS276" s="80">
        <v>3.8371</v>
      </c>
      <c r="AT276" s="80">
        <v>3.7536</v>
      </c>
      <c r="AU276" s="80">
        <v>3.7153999999999998</v>
      </c>
      <c r="AV276" s="80">
        <v>3.6760000000000002</v>
      </c>
      <c r="AW276" s="80">
        <v>3.7298</v>
      </c>
      <c r="AX276" s="80">
        <v>3.8231999999999999</v>
      </c>
      <c r="AY276" s="80">
        <v>3.9178000000000002</v>
      </c>
      <c r="AZ276" s="80">
        <v>3.9889999999999999</v>
      </c>
      <c r="BA276" s="80">
        <v>4.0881999999999996</v>
      </c>
      <c r="BB276" s="80">
        <v>4.2213000000000003</v>
      </c>
      <c r="BC276" s="80">
        <v>4.3517999999999999</v>
      </c>
      <c r="BD276" s="80">
        <v>4.4797000000000002</v>
      </c>
      <c r="BE276" s="80">
        <v>4.5575999999999999</v>
      </c>
      <c r="BF276" s="80">
        <v>4.6932999999999998</v>
      </c>
      <c r="BG276" s="80">
        <v>4.8486000000000002</v>
      </c>
      <c r="BH276" s="80">
        <v>4.9584999999999999</v>
      </c>
      <c r="BI276" s="80">
        <v>5.0391000000000004</v>
      </c>
      <c r="BJ276" s="80">
        <v>5.1318000000000001</v>
      </c>
      <c r="BK276" s="80">
        <v>3.5171000000000001</v>
      </c>
      <c r="BN276" s="81">
        <f t="shared" si="8"/>
        <v>3.5171000000000001</v>
      </c>
      <c r="BO276" s="80">
        <f t="shared" si="9"/>
        <v>2017</v>
      </c>
    </row>
    <row r="277" spans="1:69" hidden="1" x14ac:dyDescent="0.75">
      <c r="B277" s="80" t="s">
        <v>217</v>
      </c>
      <c r="C277" s="80" t="s">
        <v>155</v>
      </c>
      <c r="D277" s="80" t="s">
        <v>778</v>
      </c>
      <c r="E277" s="80" t="s">
        <v>777</v>
      </c>
      <c r="AY277" s="80">
        <v>0.69440000000000002</v>
      </c>
      <c r="AZ277" s="80">
        <v>0.67579999999999996</v>
      </c>
      <c r="BB277" s="80">
        <v>0.69489999999999996</v>
      </c>
      <c r="BC277" s="80">
        <v>0.70579999999999998</v>
      </c>
      <c r="BD277" s="80">
        <v>0.71709999999999996</v>
      </c>
      <c r="BJ277" s="80">
        <v>0.89249999999999996</v>
      </c>
      <c r="BN277" s="81">
        <f t="shared" si="8"/>
        <v>0.89249999999999996</v>
      </c>
      <c r="BO277" s="80">
        <f t="shared" si="9"/>
        <v>2016</v>
      </c>
    </row>
    <row r="278" spans="1:69" hidden="1" x14ac:dyDescent="0.75">
      <c r="B278" s="80" t="s">
        <v>218</v>
      </c>
      <c r="C278" s="80" t="s">
        <v>156</v>
      </c>
      <c r="D278" s="80" t="s">
        <v>778</v>
      </c>
      <c r="E278" s="80" t="s">
        <v>777</v>
      </c>
      <c r="AJ278" s="80">
        <v>1.4896</v>
      </c>
      <c r="AO278" s="80">
        <v>1.5388999999999999</v>
      </c>
      <c r="BC278" s="80">
        <v>1.2069000000000001</v>
      </c>
      <c r="BD278" s="80">
        <v>1.2089000000000001</v>
      </c>
      <c r="BE278" s="80">
        <v>1.1832</v>
      </c>
      <c r="BF278" s="80">
        <v>1.0561</v>
      </c>
      <c r="BG278" s="80">
        <v>1.2436</v>
      </c>
      <c r="BH278" s="80">
        <v>1.1546000000000001</v>
      </c>
      <c r="BN278" s="81">
        <f t="shared" si="8"/>
        <v>1.1546000000000001</v>
      </c>
      <c r="BO278" s="80">
        <f t="shared" si="9"/>
        <v>2014</v>
      </c>
    </row>
    <row r="279" spans="1:69" hidden="1" x14ac:dyDescent="0.75"/>
    <row r="280" spans="1:69" s="185" customFormat="1" ht="16.399999999999999" hidden="1" customHeight="1" x14ac:dyDescent="0.75">
      <c r="A280" s="193" t="s">
        <v>884</v>
      </c>
      <c r="B280" s="186" t="s">
        <v>881</v>
      </c>
    </row>
    <row r="281" spans="1:69" s="26" customFormat="1" hidden="1" x14ac:dyDescent="0.75">
      <c r="B281" s="26" t="s">
        <v>775</v>
      </c>
      <c r="E281" s="27"/>
      <c r="F281" s="27"/>
      <c r="G281" s="27"/>
    </row>
    <row r="282" spans="1:69" s="14" customFormat="1" hidden="1" x14ac:dyDescent="0.75">
      <c r="B282" s="14" t="s">
        <v>774</v>
      </c>
      <c r="E282" s="77"/>
      <c r="F282" s="77"/>
      <c r="G282" s="77"/>
    </row>
    <row r="283" spans="1:69" s="192" customFormat="1" hidden="1" x14ac:dyDescent="0.75">
      <c r="B283" s="191" t="s">
        <v>813</v>
      </c>
      <c r="BO283" s="191" t="s">
        <v>800</v>
      </c>
      <c r="BP283" s="198">
        <v>0.4</v>
      </c>
      <c r="BQ283" s="191" t="s">
        <v>892</v>
      </c>
    </row>
    <row r="284" spans="1:69" s="132" customFormat="1" ht="14.15" hidden="1" customHeight="1" x14ac:dyDescent="0.75">
      <c r="B284" s="195" t="s">
        <v>880</v>
      </c>
    </row>
    <row r="285" spans="1:69" hidden="1" x14ac:dyDescent="0.75">
      <c r="B285"/>
    </row>
    <row r="286" spans="1:69" hidden="1" x14ac:dyDescent="0.75">
      <c r="B286" s="4" t="s">
        <v>573</v>
      </c>
      <c r="C286" s="4" t="s">
        <v>574</v>
      </c>
      <c r="D286" s="4" t="s">
        <v>629</v>
      </c>
      <c r="E286" s="4" t="s">
        <v>630</v>
      </c>
      <c r="F286" s="4">
        <v>1960</v>
      </c>
      <c r="G286" s="4">
        <v>1961</v>
      </c>
      <c r="H286" s="4">
        <v>1962</v>
      </c>
      <c r="I286" s="4">
        <v>1963</v>
      </c>
      <c r="J286" s="4">
        <v>1964</v>
      </c>
      <c r="K286" s="4">
        <v>1965</v>
      </c>
      <c r="L286" s="4">
        <v>1966</v>
      </c>
      <c r="M286" s="4">
        <v>1967</v>
      </c>
      <c r="N286" s="4">
        <v>1968</v>
      </c>
      <c r="O286" s="4">
        <v>1969</v>
      </c>
      <c r="P286" s="4">
        <v>1970</v>
      </c>
      <c r="Q286" s="4">
        <v>1971</v>
      </c>
      <c r="R286" s="4">
        <v>1972</v>
      </c>
      <c r="S286" s="4">
        <v>1973</v>
      </c>
      <c r="T286" s="4">
        <v>1974</v>
      </c>
      <c r="U286" s="4">
        <v>1975</v>
      </c>
      <c r="V286" s="4">
        <v>1976</v>
      </c>
      <c r="W286" s="4">
        <v>1977</v>
      </c>
      <c r="X286" s="4">
        <v>1978</v>
      </c>
      <c r="Y286" s="4">
        <v>1979</v>
      </c>
      <c r="Z286" s="4">
        <v>1980</v>
      </c>
      <c r="AA286" s="4">
        <v>1981</v>
      </c>
      <c r="AB286" s="4">
        <v>1982</v>
      </c>
      <c r="AC286" s="4">
        <v>1983</v>
      </c>
      <c r="AD286" s="4">
        <v>1984</v>
      </c>
      <c r="AE286" s="4">
        <v>1985</v>
      </c>
      <c r="AF286" s="4">
        <v>1986</v>
      </c>
      <c r="AG286" s="4">
        <v>1987</v>
      </c>
      <c r="AH286" s="4">
        <v>1988</v>
      </c>
      <c r="AI286" s="4">
        <v>1989</v>
      </c>
      <c r="AJ286" s="4">
        <v>1990</v>
      </c>
      <c r="AK286" s="4">
        <v>1991</v>
      </c>
      <c r="AL286" s="4">
        <v>1992</v>
      </c>
      <c r="AM286" s="4">
        <v>1993</v>
      </c>
      <c r="AN286" s="4">
        <v>1994</v>
      </c>
      <c r="AO286" s="4">
        <v>1995</v>
      </c>
      <c r="AP286" s="4">
        <v>1996</v>
      </c>
      <c r="AQ286" s="4">
        <v>1997</v>
      </c>
      <c r="AR286" s="4">
        <v>1998</v>
      </c>
      <c r="AS286" s="4">
        <v>1999</v>
      </c>
      <c r="AT286" s="4">
        <v>2000</v>
      </c>
      <c r="AU286" s="4">
        <v>2001</v>
      </c>
      <c r="AV286" s="4">
        <v>2002</v>
      </c>
      <c r="AW286" s="4">
        <v>2003</v>
      </c>
      <c r="AX286" s="4">
        <v>2004</v>
      </c>
      <c r="AY286" s="4">
        <v>2005</v>
      </c>
      <c r="AZ286" s="4">
        <v>2006</v>
      </c>
      <c r="BA286" s="4">
        <v>2007</v>
      </c>
      <c r="BB286" s="4">
        <v>2008</v>
      </c>
      <c r="BC286" s="4">
        <v>2009</v>
      </c>
      <c r="BD286" s="4">
        <v>2010</v>
      </c>
      <c r="BE286" s="4">
        <v>2011</v>
      </c>
      <c r="BF286" s="4">
        <v>2012</v>
      </c>
      <c r="BG286" s="4">
        <v>2013</v>
      </c>
      <c r="BH286" s="4">
        <v>2014</v>
      </c>
      <c r="BI286" s="4">
        <v>2015</v>
      </c>
      <c r="BJ286" s="4">
        <v>2016</v>
      </c>
      <c r="BK286" s="4">
        <v>2017</v>
      </c>
      <c r="BL286" s="4">
        <v>2018</v>
      </c>
      <c r="BM286" s="4">
        <v>2019</v>
      </c>
      <c r="BN286" s="189" t="s">
        <v>773</v>
      </c>
      <c r="BO286" s="189" t="s">
        <v>759</v>
      </c>
      <c r="BP286" s="190" t="s">
        <v>772</v>
      </c>
    </row>
    <row r="287" spans="1:69" hidden="1" x14ac:dyDescent="0.75">
      <c r="B287" s="43" t="s">
        <v>323</v>
      </c>
      <c r="C287" s="43" t="s">
        <v>324</v>
      </c>
      <c r="D287" s="43" t="s">
        <v>771</v>
      </c>
      <c r="E287" s="43" t="s">
        <v>770</v>
      </c>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t="str">
        <f t="shared" ref="BN287:BN350" si="10">IFERROR(LOOKUP(2,1/(ISNUMBER(F287:BM287)),F287:BM287),"No reported value")</f>
        <v>No reported value</v>
      </c>
      <c r="BO287" s="43" t="str">
        <f>IFERROR(INDEX('WB HCW &amp; Beds'!$F$286:$BM$286,1,MATCH($BN287,$F287:$BM287,0)),"No reported value")</f>
        <v>No reported value</v>
      </c>
      <c r="BP287" s="43">
        <f>IF(BN287="No reported value",'WB HCW &amp; Beds'!BP$283,BN287)</f>
        <v>0.4</v>
      </c>
    </row>
    <row r="288" spans="1:69" hidden="1" x14ac:dyDescent="0.75">
      <c r="B288" s="43" t="s">
        <v>230</v>
      </c>
      <c r="C288" s="43" t="s">
        <v>0</v>
      </c>
      <c r="D288" s="43" t="s">
        <v>771</v>
      </c>
      <c r="E288" s="43" t="s">
        <v>770</v>
      </c>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t="str">
        <f t="shared" si="10"/>
        <v>No reported value</v>
      </c>
      <c r="BO288" s="43" t="str">
        <f>IFERROR(INDEX('WB HCW &amp; Beds'!$F$286:$BM$286,1,MATCH($BN288,$F288:$BM288,0)),"No reported value")</f>
        <v>No reported value</v>
      </c>
      <c r="BP288" s="43">
        <f>IF(BN288="No reported value",'WB HCW &amp; Beds'!BP$283,BN288)</f>
        <v>0.4</v>
      </c>
    </row>
    <row r="289" spans="2:68" hidden="1" x14ac:dyDescent="0.75">
      <c r="B289" s="43" t="s">
        <v>182</v>
      </c>
      <c r="C289" s="43" t="s">
        <v>165</v>
      </c>
      <c r="D289" s="43" t="s">
        <v>771</v>
      </c>
      <c r="E289" s="43" t="s">
        <v>770</v>
      </c>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t="str">
        <f t="shared" si="10"/>
        <v>No reported value</v>
      </c>
      <c r="BO289" s="43" t="str">
        <f>IFERROR(INDEX('WB HCW &amp; Beds'!$F$286:$BM$286,1,MATCH($BN289,$F289:$BM289,0)),"No reported value")</f>
        <v>No reported value</v>
      </c>
      <c r="BP289" s="43">
        <f>IF(BN289="No reported value",'WB HCW &amp; Beds'!BP$283,BN289)</f>
        <v>0.4</v>
      </c>
    </row>
    <row r="290" spans="2:68" hidden="1" x14ac:dyDescent="0.75">
      <c r="B290" s="43" t="s">
        <v>312</v>
      </c>
      <c r="C290" s="43" t="s">
        <v>313</v>
      </c>
      <c r="D290" s="43" t="s">
        <v>771</v>
      </c>
      <c r="E290" s="43" t="s">
        <v>770</v>
      </c>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t="str">
        <f t="shared" si="10"/>
        <v>No reported value</v>
      </c>
      <c r="BO290" s="43" t="str">
        <f>IFERROR(INDEX('WB HCW &amp; Beds'!$F$286:$BM$286,1,MATCH($BN290,$F290:$BM290,0)),"No reported value")</f>
        <v>No reported value</v>
      </c>
      <c r="BP290" s="43">
        <f>IF(BN290="No reported value",'WB HCW &amp; Beds'!BP$283,BN290)</f>
        <v>0.4</v>
      </c>
    </row>
    <row r="291" spans="2:68" hidden="1" x14ac:dyDescent="0.75">
      <c r="B291" s="43" t="s">
        <v>316</v>
      </c>
      <c r="C291" s="43" t="s">
        <v>1</v>
      </c>
      <c r="D291" s="43" t="s">
        <v>771</v>
      </c>
      <c r="E291" s="43" t="s">
        <v>770</v>
      </c>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t="str">
        <f t="shared" si="10"/>
        <v>No reported value</v>
      </c>
      <c r="BO291" s="43" t="str">
        <f>IFERROR(INDEX('WB HCW &amp; Beds'!$F$286:$BM$286,1,MATCH($BN291,$F291:$BM291,0)),"No reported value")</f>
        <v>No reported value</v>
      </c>
      <c r="BP291" s="43">
        <f>IF(BN291="No reported value",'WB HCW &amp; Beds'!BP$283,BN291)</f>
        <v>0.4</v>
      </c>
    </row>
    <row r="292" spans="2:68" hidden="1" x14ac:dyDescent="0.75">
      <c r="B292" s="43" t="s">
        <v>319</v>
      </c>
      <c r="C292" s="43" t="s">
        <v>320</v>
      </c>
      <c r="D292" s="43" t="s">
        <v>771</v>
      </c>
      <c r="E292" s="43" t="s">
        <v>770</v>
      </c>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t="str">
        <f t="shared" si="10"/>
        <v>No reported value</v>
      </c>
      <c r="BO292" s="43" t="str">
        <f>IFERROR(INDEX('WB HCW &amp; Beds'!$F$286:$BM$286,1,MATCH($BN292,$F292:$BM292,0)),"No reported value")</f>
        <v>No reported value</v>
      </c>
      <c r="BP292" s="43">
        <f>IF(BN292="No reported value",'WB HCW &amp; Beds'!BP$283,BN292)</f>
        <v>0.4</v>
      </c>
    </row>
    <row r="293" spans="2:68" hidden="1" x14ac:dyDescent="0.75">
      <c r="B293" s="43" t="s">
        <v>555</v>
      </c>
      <c r="C293" s="43" t="s">
        <v>2</v>
      </c>
      <c r="D293" s="43" t="s">
        <v>771</v>
      </c>
      <c r="E293" s="43" t="s">
        <v>770</v>
      </c>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t="str">
        <f t="shared" si="10"/>
        <v>No reported value</v>
      </c>
      <c r="BO293" s="43" t="str">
        <f>IFERROR(INDEX('WB HCW &amp; Beds'!$F$286:$BM$286,1,MATCH($BN293,$F293:$BM293,0)),"No reported value")</f>
        <v>No reported value</v>
      </c>
      <c r="BP293" s="43">
        <f>IF(BN293="No reported value",'WB HCW &amp; Beds'!BP$283,BN293)</f>
        <v>0.4</v>
      </c>
    </row>
    <row r="294" spans="2:68" hidden="1" x14ac:dyDescent="0.75">
      <c r="B294" s="43" t="s">
        <v>321</v>
      </c>
      <c r="C294" s="43" t="s">
        <v>322</v>
      </c>
      <c r="D294" s="43" t="s">
        <v>771</v>
      </c>
      <c r="E294" s="43" t="s">
        <v>770</v>
      </c>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t="str">
        <f t="shared" si="10"/>
        <v>No reported value</v>
      </c>
      <c r="BO294" s="43" t="str">
        <f>IFERROR(INDEX('WB HCW &amp; Beds'!$F$286:$BM$286,1,MATCH($BN294,$F294:$BM294,0)),"No reported value")</f>
        <v>No reported value</v>
      </c>
      <c r="BP294" s="43">
        <f>IF(BN294="No reported value",'WB HCW &amp; Beds'!BP$283,BN294)</f>
        <v>0.4</v>
      </c>
    </row>
    <row r="295" spans="2:68" hidden="1" x14ac:dyDescent="0.75">
      <c r="B295" s="43" t="s">
        <v>234</v>
      </c>
      <c r="C295" s="43" t="s">
        <v>3</v>
      </c>
      <c r="D295" s="43" t="s">
        <v>771</v>
      </c>
      <c r="E295" s="43" t="s">
        <v>770</v>
      </c>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t="str">
        <f t="shared" si="10"/>
        <v>No reported value</v>
      </c>
      <c r="BO295" s="43" t="str">
        <f>IFERROR(INDEX('WB HCW &amp; Beds'!$F$286:$BM$286,1,MATCH($BN295,$F295:$BM295,0)),"No reported value")</f>
        <v>No reported value</v>
      </c>
      <c r="BP295" s="43">
        <f>IF(BN295="No reported value",'WB HCW &amp; Beds'!BP$283,BN295)</f>
        <v>0.4</v>
      </c>
    </row>
    <row r="296" spans="2:68" hidden="1" x14ac:dyDescent="0.75">
      <c r="B296" s="43" t="s">
        <v>315</v>
      </c>
      <c r="C296" s="43" t="s">
        <v>193</v>
      </c>
      <c r="D296" s="43" t="s">
        <v>771</v>
      </c>
      <c r="E296" s="43" t="s">
        <v>770</v>
      </c>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t="str">
        <f t="shared" si="10"/>
        <v>No reported value</v>
      </c>
      <c r="BO296" s="43" t="str">
        <f>IFERROR(INDEX('WB HCW &amp; Beds'!$F$286:$BM$286,1,MATCH($BN296,$F296:$BM296,0)),"No reported value")</f>
        <v>No reported value</v>
      </c>
      <c r="BP296" s="43">
        <f>IF(BN296="No reported value",'WB HCW &amp; Beds'!BP$283,BN296)</f>
        <v>0.4</v>
      </c>
    </row>
    <row r="297" spans="2:68" hidden="1" x14ac:dyDescent="0.75">
      <c r="B297" s="43" t="s">
        <v>317</v>
      </c>
      <c r="C297" s="43" t="s">
        <v>318</v>
      </c>
      <c r="D297" s="43" t="s">
        <v>771</v>
      </c>
      <c r="E297" s="43" t="s">
        <v>770</v>
      </c>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t="str">
        <f t="shared" si="10"/>
        <v>No reported value</v>
      </c>
      <c r="BO297" s="43" t="str">
        <f>IFERROR(INDEX('WB HCW &amp; Beds'!$F$286:$BM$286,1,MATCH($BN297,$F297:$BM297,0)),"No reported value")</f>
        <v>No reported value</v>
      </c>
      <c r="BP297" s="43">
        <f>IF(BN297="No reported value",'WB HCW &amp; Beds'!BP$283,BN297)</f>
        <v>0.4</v>
      </c>
    </row>
    <row r="298" spans="2:68" hidden="1" x14ac:dyDescent="0.75">
      <c r="B298" s="43" t="s">
        <v>325</v>
      </c>
      <c r="C298" s="43" t="s">
        <v>4</v>
      </c>
      <c r="D298" s="43" t="s">
        <v>771</v>
      </c>
      <c r="E298" s="43" t="s">
        <v>770</v>
      </c>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v>3.9E-2</v>
      </c>
      <c r="AQ298" s="43"/>
      <c r="AR298" s="43"/>
      <c r="AS298" s="43"/>
      <c r="AT298" s="43"/>
      <c r="AU298" s="43">
        <v>0.19700000000000001</v>
      </c>
      <c r="AV298" s="43"/>
      <c r="AW298" s="43"/>
      <c r="AX298" s="43"/>
      <c r="AY298" s="43"/>
      <c r="AZ298" s="43">
        <v>4.9000000000000002E-2</v>
      </c>
      <c r="BA298" s="43"/>
      <c r="BB298" s="43"/>
      <c r="BC298" s="43"/>
      <c r="BD298" s="43"/>
      <c r="BE298" s="43"/>
      <c r="BF298" s="43"/>
      <c r="BG298" s="43"/>
      <c r="BH298" s="43"/>
      <c r="BI298" s="43"/>
      <c r="BJ298" s="43"/>
      <c r="BK298" s="43"/>
      <c r="BL298" s="43"/>
      <c r="BM298" s="43"/>
      <c r="BN298" s="43">
        <f t="shared" si="10"/>
        <v>4.9000000000000002E-2</v>
      </c>
      <c r="BO298" s="43">
        <f>IFERROR(INDEX('WB HCW &amp; Beds'!$F$286:$BM$286,1,MATCH($BN298,$F298:$BM298,0)),"No reported value")</f>
        <v>2006</v>
      </c>
      <c r="BP298" s="43">
        <f>IF(BN298="No reported value",'WB HCW &amp; Beds'!BP$283,BN298)</f>
        <v>4.9000000000000002E-2</v>
      </c>
    </row>
    <row r="299" spans="2:68" hidden="1" x14ac:dyDescent="0.75">
      <c r="B299" s="43" t="s">
        <v>326</v>
      </c>
      <c r="C299" s="43" t="s">
        <v>5</v>
      </c>
      <c r="D299" s="43" t="s">
        <v>771</v>
      </c>
      <c r="E299" s="43" t="s">
        <v>770</v>
      </c>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t="str">
        <f t="shared" si="10"/>
        <v>No reported value</v>
      </c>
      <c r="BO299" s="43" t="str">
        <f>IFERROR(INDEX('WB HCW &amp; Beds'!$F$286:$BM$286,1,MATCH($BN299,$F299:$BM299,0)),"No reported value")</f>
        <v>No reported value</v>
      </c>
      <c r="BP299" s="43">
        <f>IF(BN299="No reported value",'WB HCW &amp; Beds'!BP$283,BN299)</f>
        <v>0.4</v>
      </c>
    </row>
    <row r="300" spans="2:68" hidden="1" x14ac:dyDescent="0.75">
      <c r="B300" s="43" t="s">
        <v>235</v>
      </c>
      <c r="C300" s="43" t="s">
        <v>6</v>
      </c>
      <c r="D300" s="43" t="s">
        <v>771</v>
      </c>
      <c r="E300" s="43" t="s">
        <v>770</v>
      </c>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t="str">
        <f t="shared" si="10"/>
        <v>No reported value</v>
      </c>
      <c r="BO300" s="43" t="str">
        <f>IFERROR(INDEX('WB HCW &amp; Beds'!$F$286:$BM$286,1,MATCH($BN300,$F300:$BM300,0)),"No reported value")</f>
        <v>No reported value</v>
      </c>
      <c r="BP300" s="43">
        <f>IF(BN300="No reported value",'WB HCW &amp; Beds'!BP$283,BN300)</f>
        <v>0.4</v>
      </c>
    </row>
    <row r="301" spans="2:68" hidden="1" x14ac:dyDescent="0.75">
      <c r="B301" s="43" t="s">
        <v>186</v>
      </c>
      <c r="C301" s="43" t="s">
        <v>7</v>
      </c>
      <c r="D301" s="43" t="s">
        <v>771</v>
      </c>
      <c r="E301" s="43" t="s">
        <v>770</v>
      </c>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v>7.1999999999999995E-2</v>
      </c>
      <c r="AY301" s="43"/>
      <c r="AZ301" s="43"/>
      <c r="BA301" s="43"/>
      <c r="BB301" s="43"/>
      <c r="BC301" s="43"/>
      <c r="BD301" s="43"/>
      <c r="BE301" s="43"/>
      <c r="BF301" s="43"/>
      <c r="BG301" s="43"/>
      <c r="BH301" s="43"/>
      <c r="BI301" s="43"/>
      <c r="BJ301" s="43"/>
      <c r="BK301" s="43"/>
      <c r="BL301" s="43"/>
      <c r="BM301" s="43"/>
      <c r="BN301" s="43">
        <f t="shared" si="10"/>
        <v>7.1999999999999995E-2</v>
      </c>
      <c r="BO301" s="43">
        <f>IFERROR(INDEX('WB HCW &amp; Beds'!$F$286:$BM$286,1,MATCH($BN301,$F301:$BM301,0)),"No reported value")</f>
        <v>2004</v>
      </c>
      <c r="BP301" s="43">
        <f>IF(BN301="No reported value",'WB HCW &amp; Beds'!BP$283,BN301)</f>
        <v>7.1999999999999995E-2</v>
      </c>
    </row>
    <row r="302" spans="2:68" hidden="1" x14ac:dyDescent="0.75">
      <c r="B302" s="43" t="s">
        <v>332</v>
      </c>
      <c r="C302" s="43" t="s">
        <v>8</v>
      </c>
      <c r="D302" s="43" t="s">
        <v>771</v>
      </c>
      <c r="E302" s="43" t="s">
        <v>770</v>
      </c>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t="str">
        <f t="shared" si="10"/>
        <v>No reported value</v>
      </c>
      <c r="BO302" s="43" t="str">
        <f>IFERROR(INDEX('WB HCW &amp; Beds'!$F$286:$BM$286,1,MATCH($BN302,$F302:$BM302,0)),"No reported value")</f>
        <v>No reported value</v>
      </c>
      <c r="BP302" s="43">
        <f>IF(BN302="No reported value",'WB HCW &amp; Beds'!BP$283,BN302)</f>
        <v>0.4</v>
      </c>
    </row>
    <row r="303" spans="2:68" hidden="1" x14ac:dyDescent="0.75">
      <c r="B303" s="43" t="s">
        <v>183</v>
      </c>
      <c r="C303" s="43" t="s">
        <v>9</v>
      </c>
      <c r="D303" s="43" t="s">
        <v>771</v>
      </c>
      <c r="E303" s="43" t="s">
        <v>770</v>
      </c>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t="str">
        <f t="shared" si="10"/>
        <v>No reported value</v>
      </c>
      <c r="BO303" s="43" t="str">
        <f>IFERROR(INDEX('WB HCW &amp; Beds'!$F$286:$BM$286,1,MATCH($BN303,$F303:$BM303,0)),"No reported value")</f>
        <v>No reported value</v>
      </c>
      <c r="BP303" s="43">
        <f>IF(BN303="No reported value",'WB HCW &amp; Beds'!BP$283,BN303)</f>
        <v>0.4</v>
      </c>
    </row>
    <row r="304" spans="2:68" hidden="1" x14ac:dyDescent="0.75">
      <c r="B304" s="43" t="s">
        <v>185</v>
      </c>
      <c r="C304" s="43" t="s">
        <v>10</v>
      </c>
      <c r="D304" s="43" t="s">
        <v>771</v>
      </c>
      <c r="E304" s="43" t="s">
        <v>770</v>
      </c>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v>9.1999999999999998E-2</v>
      </c>
      <c r="AY304" s="43"/>
      <c r="AZ304" s="43">
        <v>9.0999999999999998E-2</v>
      </c>
      <c r="BA304" s="43"/>
      <c r="BB304" s="43"/>
      <c r="BC304" s="43"/>
      <c r="BD304" s="43">
        <v>0.126</v>
      </c>
      <c r="BE304" s="43"/>
      <c r="BF304" s="43">
        <v>0.127</v>
      </c>
      <c r="BG304" s="43"/>
      <c r="BH304" s="43"/>
      <c r="BI304" s="43"/>
      <c r="BJ304" s="43"/>
      <c r="BK304" s="43"/>
      <c r="BL304" s="43"/>
      <c r="BM304" s="43"/>
      <c r="BN304" s="43">
        <f t="shared" si="10"/>
        <v>0.127</v>
      </c>
      <c r="BO304" s="43">
        <f>IFERROR(INDEX('WB HCW &amp; Beds'!$F$286:$BM$286,1,MATCH($BN304,$F304:$BM304,0)),"No reported value")</f>
        <v>2012</v>
      </c>
      <c r="BP304" s="43">
        <f>IF(BN304="No reported value",'WB HCW &amp; Beds'!BP$283,BN304)</f>
        <v>0.127</v>
      </c>
    </row>
    <row r="305" spans="2:68" hidden="1" x14ac:dyDescent="0.75">
      <c r="B305" s="43" t="s">
        <v>240</v>
      </c>
      <c r="C305" s="43" t="s">
        <v>11</v>
      </c>
      <c r="D305" s="43" t="s">
        <v>771</v>
      </c>
      <c r="E305" s="43" t="s">
        <v>770</v>
      </c>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v>0.151</v>
      </c>
      <c r="AY305" s="43">
        <v>0.14699999999999999</v>
      </c>
      <c r="AZ305" s="43"/>
      <c r="BA305" s="43"/>
      <c r="BB305" s="43"/>
      <c r="BC305" s="43"/>
      <c r="BD305" s="43"/>
      <c r="BE305" s="43">
        <v>0.39300000000000002</v>
      </c>
      <c r="BF305" s="43">
        <v>0.47599999999999998</v>
      </c>
      <c r="BG305" s="43"/>
      <c r="BH305" s="43"/>
      <c r="BI305" s="43"/>
      <c r="BJ305" s="43"/>
      <c r="BK305" s="43"/>
      <c r="BL305" s="43"/>
      <c r="BM305" s="43"/>
      <c r="BN305" s="43">
        <f t="shared" si="10"/>
        <v>0.47599999999999998</v>
      </c>
      <c r="BO305" s="43">
        <f>IFERROR(INDEX('WB HCW &amp; Beds'!$F$286:$BM$286,1,MATCH($BN305,$F305:$BM305,0)),"No reported value")</f>
        <v>2012</v>
      </c>
      <c r="BP305" s="43">
        <f>IF(BN305="No reported value",'WB HCW &amp; Beds'!BP$283,BN305)</f>
        <v>0.47599999999999998</v>
      </c>
    </row>
    <row r="306" spans="2:68" hidden="1" x14ac:dyDescent="0.75">
      <c r="B306" s="43" t="s">
        <v>341</v>
      </c>
      <c r="C306" s="43" t="s">
        <v>12</v>
      </c>
      <c r="D306" s="43" t="s">
        <v>771</v>
      </c>
      <c r="E306" s="43" t="s">
        <v>770</v>
      </c>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t="str">
        <f t="shared" si="10"/>
        <v>No reported value</v>
      </c>
      <c r="BO306" s="43" t="str">
        <f>IFERROR(INDEX('WB HCW &amp; Beds'!$F$286:$BM$286,1,MATCH($BN306,$F306:$BM306,0)),"No reported value")</f>
        <v>No reported value</v>
      </c>
      <c r="BP306" s="43">
        <f>IF(BN306="No reported value",'WB HCW &amp; Beds'!BP$283,BN306)</f>
        <v>0.4</v>
      </c>
    </row>
    <row r="307" spans="2:68" hidden="1" x14ac:dyDescent="0.75">
      <c r="B307" s="43" t="s">
        <v>328</v>
      </c>
      <c r="C307" s="43" t="s">
        <v>13</v>
      </c>
      <c r="D307" s="43" t="s">
        <v>771</v>
      </c>
      <c r="E307" s="43" t="s">
        <v>770</v>
      </c>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t="str">
        <f t="shared" si="10"/>
        <v>No reported value</v>
      </c>
      <c r="BO307" s="43" t="str">
        <f>IFERROR(INDEX('WB HCW &amp; Beds'!$F$286:$BM$286,1,MATCH($BN307,$F307:$BM307,0)),"No reported value")</f>
        <v>No reported value</v>
      </c>
      <c r="BP307" s="43">
        <f>IF(BN307="No reported value",'WB HCW &amp; Beds'!BP$283,BN307)</f>
        <v>0.4</v>
      </c>
    </row>
    <row r="308" spans="2:68" hidden="1" x14ac:dyDescent="0.75">
      <c r="B308" s="43" t="s">
        <v>327</v>
      </c>
      <c r="C308" s="43" t="s">
        <v>14</v>
      </c>
      <c r="D308" s="43" t="s">
        <v>771</v>
      </c>
      <c r="E308" s="43" t="s">
        <v>770</v>
      </c>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t="str">
        <f t="shared" si="10"/>
        <v>No reported value</v>
      </c>
      <c r="BO308" s="43" t="str">
        <f>IFERROR(INDEX('WB HCW &amp; Beds'!$F$286:$BM$286,1,MATCH($BN308,$F308:$BM308,0)),"No reported value")</f>
        <v>No reported value</v>
      </c>
      <c r="BP308" s="43">
        <f>IF(BN308="No reported value",'WB HCW &amp; Beds'!BP$283,BN308)</f>
        <v>0.4</v>
      </c>
    </row>
    <row r="309" spans="2:68" hidden="1" x14ac:dyDescent="0.75">
      <c r="B309" s="43" t="s">
        <v>336</v>
      </c>
      <c r="C309" s="43" t="s">
        <v>15</v>
      </c>
      <c r="D309" s="43" t="s">
        <v>771</v>
      </c>
      <c r="E309" s="43" t="s">
        <v>770</v>
      </c>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t="str">
        <f t="shared" si="10"/>
        <v>No reported value</v>
      </c>
      <c r="BO309" s="43" t="str">
        <f>IFERROR(INDEX('WB HCW &amp; Beds'!$F$286:$BM$286,1,MATCH($BN309,$F309:$BM309,0)),"No reported value")</f>
        <v>No reported value</v>
      </c>
      <c r="BP309" s="43">
        <f>IF(BN309="No reported value",'WB HCW &amp; Beds'!BP$283,BN309)</f>
        <v>0.4</v>
      </c>
    </row>
    <row r="310" spans="2:68" hidden="1" x14ac:dyDescent="0.75">
      <c r="B310" s="43" t="s">
        <v>331</v>
      </c>
      <c r="C310" s="43" t="s">
        <v>16</v>
      </c>
      <c r="D310" s="43" t="s">
        <v>771</v>
      </c>
      <c r="E310" s="43" t="s">
        <v>770</v>
      </c>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t="str">
        <f t="shared" si="10"/>
        <v>No reported value</v>
      </c>
      <c r="BO310" s="43" t="str">
        <f>IFERROR(INDEX('WB HCW &amp; Beds'!$F$286:$BM$286,1,MATCH($BN310,$F310:$BM310,0)),"No reported value")</f>
        <v>No reported value</v>
      </c>
      <c r="BP310" s="43">
        <f>IF(BN310="No reported value",'WB HCW &amp; Beds'!BP$283,BN310)</f>
        <v>0.4</v>
      </c>
    </row>
    <row r="311" spans="2:68" hidden="1" x14ac:dyDescent="0.75">
      <c r="B311" s="43" t="s">
        <v>333</v>
      </c>
      <c r="C311" s="43" t="s">
        <v>17</v>
      </c>
      <c r="D311" s="43" t="s">
        <v>771</v>
      </c>
      <c r="E311" s="43" t="s">
        <v>770</v>
      </c>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v>0.503</v>
      </c>
      <c r="BD311" s="43"/>
      <c r="BE311" s="43"/>
      <c r="BF311" s="43"/>
      <c r="BG311" s="43"/>
      <c r="BH311" s="43"/>
      <c r="BI311" s="43"/>
      <c r="BJ311" s="43"/>
      <c r="BK311" s="43"/>
      <c r="BL311" s="43"/>
      <c r="BM311" s="43"/>
      <c r="BN311" s="43">
        <f t="shared" si="10"/>
        <v>0.503</v>
      </c>
      <c r="BO311" s="43">
        <f>IFERROR(INDEX('WB HCW &amp; Beds'!$F$286:$BM$286,1,MATCH($BN311,$F311:$BM311,0)),"No reported value")</f>
        <v>2009</v>
      </c>
      <c r="BP311" s="43">
        <f>IF(BN311="No reported value",'WB HCW &amp; Beds'!BP$283,BN311)</f>
        <v>0.503</v>
      </c>
    </row>
    <row r="312" spans="2:68" hidden="1" x14ac:dyDescent="0.75">
      <c r="B312" s="43" t="s">
        <v>334</v>
      </c>
      <c r="C312" s="43" t="s">
        <v>335</v>
      </c>
      <c r="D312" s="43" t="s">
        <v>771</v>
      </c>
      <c r="E312" s="43" t="s">
        <v>770</v>
      </c>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t="str">
        <f t="shared" si="10"/>
        <v>No reported value</v>
      </c>
      <c r="BO312" s="43" t="str">
        <f>IFERROR(INDEX('WB HCW &amp; Beds'!$F$286:$BM$286,1,MATCH($BN312,$F312:$BM312,0)),"No reported value")</f>
        <v>No reported value</v>
      </c>
      <c r="BP312" s="43">
        <f>IF(BN312="No reported value",'WB HCW &amp; Beds'!BP$283,BN312)</f>
        <v>0.4</v>
      </c>
    </row>
    <row r="313" spans="2:68" hidden="1" x14ac:dyDescent="0.75">
      <c r="B313" s="43" t="s">
        <v>219</v>
      </c>
      <c r="C313" s="43" t="s">
        <v>18</v>
      </c>
      <c r="D313" s="43" t="s">
        <v>771</v>
      </c>
      <c r="E313" s="43" t="s">
        <v>770</v>
      </c>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v>0.11799999999999999</v>
      </c>
      <c r="AV313" s="43"/>
      <c r="AW313" s="43"/>
      <c r="AX313" s="43"/>
      <c r="AY313" s="43"/>
      <c r="AZ313" s="43"/>
      <c r="BA313" s="43"/>
      <c r="BB313" s="43"/>
      <c r="BC313" s="43"/>
      <c r="BD313" s="43"/>
      <c r="BE313" s="43"/>
      <c r="BF313" s="43"/>
      <c r="BG313" s="43"/>
      <c r="BH313" s="43"/>
      <c r="BI313" s="43"/>
      <c r="BJ313" s="43"/>
      <c r="BK313" s="43"/>
      <c r="BL313" s="43"/>
      <c r="BM313" s="43"/>
      <c r="BN313" s="43">
        <f t="shared" si="10"/>
        <v>0.11799999999999999</v>
      </c>
      <c r="BO313" s="43">
        <f>IFERROR(INDEX('WB HCW &amp; Beds'!$F$286:$BM$286,1,MATCH($BN313,$F313:$BM313,0)),"No reported value")</f>
        <v>2001</v>
      </c>
      <c r="BP313" s="43">
        <f>IF(BN313="No reported value",'WB HCW &amp; Beds'!BP$283,BN313)</f>
        <v>0.11799999999999999</v>
      </c>
    </row>
    <row r="314" spans="2:68" hidden="1" x14ac:dyDescent="0.75">
      <c r="B314" s="43" t="s">
        <v>337</v>
      </c>
      <c r="C314" s="43" t="s">
        <v>19</v>
      </c>
      <c r="D314" s="43" t="s">
        <v>771</v>
      </c>
      <c r="E314" s="43" t="s">
        <v>770</v>
      </c>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t="str">
        <f t="shared" si="10"/>
        <v>No reported value</v>
      </c>
      <c r="BO314" s="43" t="str">
        <f>IFERROR(INDEX('WB HCW &amp; Beds'!$F$286:$BM$286,1,MATCH($BN314,$F314:$BM314,0)),"No reported value")</f>
        <v>No reported value</v>
      </c>
      <c r="BP314" s="43">
        <f>IF(BN314="No reported value",'WB HCW &amp; Beds'!BP$283,BN314)</f>
        <v>0.4</v>
      </c>
    </row>
    <row r="315" spans="2:68" hidden="1" x14ac:dyDescent="0.75">
      <c r="B315" s="43" t="s">
        <v>329</v>
      </c>
      <c r="C315" s="43" t="s">
        <v>330</v>
      </c>
      <c r="D315" s="43" t="s">
        <v>771</v>
      </c>
      <c r="E315" s="43" t="s">
        <v>770</v>
      </c>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t="str">
        <f t="shared" si="10"/>
        <v>No reported value</v>
      </c>
      <c r="BO315" s="43" t="str">
        <f>IFERROR(INDEX('WB HCW &amp; Beds'!$F$286:$BM$286,1,MATCH($BN315,$F315:$BM315,0)),"No reported value")</f>
        <v>No reported value</v>
      </c>
      <c r="BP315" s="43">
        <f>IF(BN315="No reported value",'WB HCW &amp; Beds'!BP$283,BN315)</f>
        <v>0.4</v>
      </c>
    </row>
    <row r="316" spans="2:68" hidden="1" x14ac:dyDescent="0.75">
      <c r="B316" s="43" t="s">
        <v>340</v>
      </c>
      <c r="C316" s="43" t="s">
        <v>20</v>
      </c>
      <c r="D316" s="43" t="s">
        <v>771</v>
      </c>
      <c r="E316" s="43" t="s">
        <v>770</v>
      </c>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t="str">
        <f t="shared" si="10"/>
        <v>No reported value</v>
      </c>
      <c r="BO316" s="43" t="str">
        <f>IFERROR(INDEX('WB HCW &amp; Beds'!$F$286:$BM$286,1,MATCH($BN316,$F316:$BM316,0)),"No reported value")</f>
        <v>No reported value</v>
      </c>
      <c r="BP316" s="43">
        <f>IF(BN316="No reported value",'WB HCW &amp; Beds'!BP$283,BN316)</f>
        <v>0.4</v>
      </c>
    </row>
    <row r="317" spans="2:68" hidden="1" x14ac:dyDescent="0.75">
      <c r="B317" s="43" t="s">
        <v>241</v>
      </c>
      <c r="C317" s="43" t="s">
        <v>21</v>
      </c>
      <c r="D317" s="43" t="s">
        <v>771</v>
      </c>
      <c r="E317" s="43" t="s">
        <v>770</v>
      </c>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v>0.73199999999999998</v>
      </c>
      <c r="AY317" s="43"/>
      <c r="AZ317" s="43"/>
      <c r="BA317" s="43">
        <v>0.72799999999999998</v>
      </c>
      <c r="BB317" s="43">
        <v>0.129</v>
      </c>
      <c r="BC317" s="43"/>
      <c r="BD317" s="43"/>
      <c r="BE317" s="43"/>
      <c r="BF317" s="43">
        <v>0.90900000000000003</v>
      </c>
      <c r="BG317" s="43">
        <v>0.155</v>
      </c>
      <c r="BH317" s="43">
        <v>0.17799999999999999</v>
      </c>
      <c r="BI317" s="43">
        <v>0.19</v>
      </c>
      <c r="BJ317" s="43">
        <v>6.9000000000000006E-2</v>
      </c>
      <c r="BK317" s="43"/>
      <c r="BL317" s="43"/>
      <c r="BM317" s="43"/>
      <c r="BN317" s="43">
        <f t="shared" si="10"/>
        <v>6.9000000000000006E-2</v>
      </c>
      <c r="BO317" s="43">
        <f>IFERROR(INDEX('WB HCW &amp; Beds'!$F$286:$BM$286,1,MATCH($BN317,$F317:$BM317,0)),"No reported value")</f>
        <v>2016</v>
      </c>
      <c r="BP317" s="43">
        <f>IF(BN317="No reported value",'WB HCW &amp; Beds'!BP$283,BN317)</f>
        <v>6.9000000000000006E-2</v>
      </c>
    </row>
    <row r="318" spans="2:68" hidden="1" x14ac:dyDescent="0.75">
      <c r="B318" s="43" t="s">
        <v>184</v>
      </c>
      <c r="C318" s="43" t="s">
        <v>22</v>
      </c>
      <c r="D318" s="43" t="s">
        <v>771</v>
      </c>
      <c r="E318" s="43" t="s">
        <v>770</v>
      </c>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v>0.442</v>
      </c>
      <c r="AS318" s="43">
        <v>0.45400000000000001</v>
      </c>
      <c r="AT318" s="43">
        <v>0.73099999999999998</v>
      </c>
      <c r="AU318" s="43">
        <v>0.46600000000000003</v>
      </c>
      <c r="AV318" s="43">
        <v>0.48199999999999998</v>
      </c>
      <c r="AW318" s="43">
        <v>0.47899999999999998</v>
      </c>
      <c r="AX318" s="43"/>
      <c r="AY318" s="43">
        <v>0.49399999999999999</v>
      </c>
      <c r="AZ318" s="43">
        <v>0.48499999999999999</v>
      </c>
      <c r="BA318" s="43"/>
      <c r="BB318" s="43">
        <v>0.22900000000000001</v>
      </c>
      <c r="BC318" s="43">
        <v>8.3000000000000004E-2</v>
      </c>
      <c r="BD318" s="43"/>
      <c r="BE318" s="43"/>
      <c r="BF318" s="43"/>
      <c r="BG318" s="43"/>
      <c r="BH318" s="43"/>
      <c r="BI318" s="43"/>
      <c r="BJ318" s="43"/>
      <c r="BK318" s="43"/>
      <c r="BL318" s="43"/>
      <c r="BM318" s="43"/>
      <c r="BN318" s="43">
        <f t="shared" si="10"/>
        <v>8.3000000000000004E-2</v>
      </c>
      <c r="BO318" s="43">
        <f>IFERROR(INDEX('WB HCW &amp; Beds'!$F$286:$BM$286,1,MATCH($BN318,$F318:$BM318,0)),"No reported value")</f>
        <v>2009</v>
      </c>
      <c r="BP318" s="43">
        <f>IF(BN318="No reported value",'WB HCW &amp; Beds'!BP$283,BN318)</f>
        <v>8.3000000000000004E-2</v>
      </c>
    </row>
    <row r="319" spans="2:68" hidden="1" x14ac:dyDescent="0.75">
      <c r="B319" s="43" t="s">
        <v>188</v>
      </c>
      <c r="C319" s="43" t="s">
        <v>173</v>
      </c>
      <c r="D319" s="43" t="s">
        <v>771</v>
      </c>
      <c r="E319" s="43" t="s">
        <v>770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v>2.5000000000000001E-2</v>
      </c>
      <c r="AY319" s="43"/>
      <c r="AZ319" s="43"/>
      <c r="BA319" s="43"/>
      <c r="BB319" s="43">
        <v>0.40799999999999997</v>
      </c>
      <c r="BC319" s="43">
        <v>0.39300000000000002</v>
      </c>
      <c r="BD319" s="43"/>
      <c r="BE319" s="43"/>
      <c r="BF319" s="43"/>
      <c r="BG319" s="43"/>
      <c r="BH319" s="43"/>
      <c r="BI319" s="43"/>
      <c r="BJ319" s="43"/>
      <c r="BK319" s="43"/>
      <c r="BL319" s="43"/>
      <c r="BM319" s="43"/>
      <c r="BN319" s="43">
        <f t="shared" si="10"/>
        <v>0.39300000000000002</v>
      </c>
      <c r="BO319" s="43">
        <f>IFERROR(INDEX('WB HCW &amp; Beds'!$F$286:$BM$286,1,MATCH($BN319,$F319:$BM319,0)),"No reported value")</f>
        <v>2009</v>
      </c>
      <c r="BP319" s="43">
        <f>IF(BN319="No reported value",'WB HCW &amp; Beds'!BP$283,BN319)</f>
        <v>0.39300000000000002</v>
      </c>
    </row>
    <row r="320" spans="2:68" hidden="1" x14ac:dyDescent="0.75">
      <c r="B320" s="43" t="s">
        <v>343</v>
      </c>
      <c r="C320" s="43" t="s">
        <v>159</v>
      </c>
      <c r="D320" s="43" t="s">
        <v>771</v>
      </c>
      <c r="E320" s="43" t="s">
        <v>770</v>
      </c>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t="str">
        <f t="shared" si="10"/>
        <v>No reported value</v>
      </c>
      <c r="BO320" s="43" t="str">
        <f>IFERROR(INDEX('WB HCW &amp; Beds'!$F$286:$BM$286,1,MATCH($BN320,$F320:$BM320,0)),"No reported value")</f>
        <v>No reported value</v>
      </c>
      <c r="BP320" s="43">
        <f>IF(BN320="No reported value",'WB HCW &amp; Beds'!BP$283,BN320)</f>
        <v>0.4</v>
      </c>
    </row>
    <row r="321" spans="2:68" hidden="1" x14ac:dyDescent="0.75">
      <c r="B321" s="43" t="s">
        <v>348</v>
      </c>
      <c r="C321" s="43" t="s">
        <v>349</v>
      </c>
      <c r="D321" s="43" t="s">
        <v>771</v>
      </c>
      <c r="E321" s="43" t="s">
        <v>770</v>
      </c>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t="str">
        <f t="shared" si="10"/>
        <v>No reported value</v>
      </c>
      <c r="BO321" s="43" t="str">
        <f>IFERROR(INDEX('WB HCW &amp; Beds'!$F$286:$BM$286,1,MATCH($BN321,$F321:$BM321,0)),"No reported value")</f>
        <v>No reported value</v>
      </c>
      <c r="BP321" s="43">
        <f>IF(BN321="No reported value",'WB HCW &amp; Beds'!BP$283,BN321)</f>
        <v>0.4</v>
      </c>
    </row>
    <row r="322" spans="2:68" hidden="1" x14ac:dyDescent="0.75">
      <c r="B322" s="43" t="s">
        <v>545</v>
      </c>
      <c r="C322" s="43" t="s">
        <v>23</v>
      </c>
      <c r="D322" s="43" t="s">
        <v>771</v>
      </c>
      <c r="E322" s="43" t="s">
        <v>770</v>
      </c>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t="str">
        <f t="shared" si="10"/>
        <v>No reported value</v>
      </c>
      <c r="BO322" s="43" t="str">
        <f>IFERROR(INDEX('WB HCW &amp; Beds'!$F$286:$BM$286,1,MATCH($BN322,$F322:$BM322,0)),"No reported value")</f>
        <v>No reported value</v>
      </c>
      <c r="BP322" s="43">
        <f>IF(BN322="No reported value",'WB HCW &amp; Beds'!BP$283,BN322)</f>
        <v>0.4</v>
      </c>
    </row>
    <row r="323" spans="2:68" hidden="1" x14ac:dyDescent="0.75">
      <c r="B323" s="43" t="s">
        <v>350</v>
      </c>
      <c r="C323" s="43" t="s">
        <v>351</v>
      </c>
      <c r="D323" s="43" t="s">
        <v>771</v>
      </c>
      <c r="E323" s="43" t="s">
        <v>770</v>
      </c>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t="str">
        <f t="shared" si="10"/>
        <v>No reported value</v>
      </c>
      <c r="BO323" s="43" t="str">
        <f>IFERROR(INDEX('WB HCW &amp; Beds'!$F$286:$BM$286,1,MATCH($BN323,$F323:$BM323,0)),"No reported value")</f>
        <v>No reported value</v>
      </c>
      <c r="BP323" s="43">
        <f>IF(BN323="No reported value",'WB HCW &amp; Beds'!BP$283,BN323)</f>
        <v>0.4</v>
      </c>
    </row>
    <row r="324" spans="2:68" hidden="1" x14ac:dyDescent="0.75">
      <c r="B324" s="43" t="s">
        <v>220</v>
      </c>
      <c r="C324" s="43" t="s">
        <v>24</v>
      </c>
      <c r="D324" s="43" t="s">
        <v>771</v>
      </c>
      <c r="E324" s="43" t="s">
        <v>770</v>
      </c>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v>2.1000000000000001E-2</v>
      </c>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f t="shared" si="10"/>
        <v>2.1000000000000001E-2</v>
      </c>
      <c r="BO324" s="43">
        <f>IFERROR(INDEX('WB HCW &amp; Beds'!$F$286:$BM$286,1,MATCH($BN324,$F324:$BM324,0)),"No reported value")</f>
        <v>1992</v>
      </c>
      <c r="BP324" s="43">
        <f>IF(BN324="No reported value",'WB HCW &amp; Beds'!BP$283,BN324)</f>
        <v>2.1000000000000001E-2</v>
      </c>
    </row>
    <row r="325" spans="2:68" hidden="1" x14ac:dyDescent="0.75">
      <c r="B325" s="43" t="s">
        <v>352</v>
      </c>
      <c r="C325" s="43" t="s">
        <v>25</v>
      </c>
      <c r="D325" s="43" t="s">
        <v>771</v>
      </c>
      <c r="E325" s="43" t="s">
        <v>770</v>
      </c>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v>1.0609999999999999</v>
      </c>
      <c r="AK325" s="43"/>
      <c r="AL325" s="43"/>
      <c r="AM325" s="43"/>
      <c r="AN325" s="43"/>
      <c r="AO325" s="43">
        <v>1.0780000000000001</v>
      </c>
      <c r="AP325" s="43">
        <v>1.0569999999999999</v>
      </c>
      <c r="AQ325" s="43">
        <v>1.0509999999999999</v>
      </c>
      <c r="AR325" s="43">
        <v>1.052</v>
      </c>
      <c r="AS325" s="43">
        <v>1.0429999999999999</v>
      </c>
      <c r="AT325" s="43">
        <v>1.0329999999999999</v>
      </c>
      <c r="AU325" s="43">
        <v>8.4000000000000005E-2</v>
      </c>
      <c r="AV325" s="43"/>
      <c r="AW325" s="43">
        <v>0.66800000000000004</v>
      </c>
      <c r="AX325" s="43">
        <v>0.67600000000000005</v>
      </c>
      <c r="AY325" s="43">
        <v>0.69799999999999995</v>
      </c>
      <c r="AZ325" s="43">
        <v>0.72499999999999998</v>
      </c>
      <c r="BA325" s="43">
        <v>0.70199999999999996</v>
      </c>
      <c r="BB325" s="43">
        <v>0.70299999999999996</v>
      </c>
      <c r="BC325" s="43">
        <v>0.83</v>
      </c>
      <c r="BD325" s="43">
        <v>0.81</v>
      </c>
      <c r="BE325" s="43">
        <v>0.83099999999999996</v>
      </c>
      <c r="BF325" s="43"/>
      <c r="BG325" s="43"/>
      <c r="BH325" s="43"/>
      <c r="BI325" s="43"/>
      <c r="BJ325" s="43"/>
      <c r="BK325" s="43"/>
      <c r="BL325" s="43"/>
      <c r="BM325" s="43"/>
      <c r="BN325" s="43">
        <f t="shared" si="10"/>
        <v>0.83099999999999996</v>
      </c>
      <c r="BO325" s="43">
        <f>IFERROR(INDEX('WB HCW &amp; Beds'!$F$286:$BM$286,1,MATCH($BN325,$F325:$BM325,0)),"No reported value")</f>
        <v>2011</v>
      </c>
      <c r="BP325" s="43">
        <f>IF(BN325="No reported value",'WB HCW &amp; Beds'!BP$283,BN325)</f>
        <v>0.83099999999999996</v>
      </c>
    </row>
    <row r="326" spans="2:68" hidden="1" x14ac:dyDescent="0.75">
      <c r="B326" s="43" t="s">
        <v>358</v>
      </c>
      <c r="C326" s="43" t="s">
        <v>26</v>
      </c>
      <c r="D326" s="43" t="s">
        <v>771</v>
      </c>
      <c r="E326" s="43" t="s">
        <v>770</v>
      </c>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t="str">
        <f t="shared" si="10"/>
        <v>No reported value</v>
      </c>
      <c r="BO326" s="43" t="str">
        <f>IFERROR(INDEX('WB HCW &amp; Beds'!$F$286:$BM$286,1,MATCH($BN326,$F326:$BM326,0)),"No reported value")</f>
        <v>No reported value</v>
      </c>
      <c r="BP326" s="43">
        <f>IF(BN326="No reported value",'WB HCW &amp; Beds'!BP$283,BN326)</f>
        <v>0.4</v>
      </c>
    </row>
    <row r="327" spans="2:68" hidden="1" x14ac:dyDescent="0.75">
      <c r="B327" s="43" t="s">
        <v>187</v>
      </c>
      <c r="C327" s="43" t="s">
        <v>27</v>
      </c>
      <c r="D327" s="43" t="s">
        <v>771</v>
      </c>
      <c r="E327" s="43" t="s">
        <v>770</v>
      </c>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t="str">
        <f t="shared" si="10"/>
        <v>No reported value</v>
      </c>
      <c r="BO327" s="43" t="str">
        <f>IFERROR(INDEX('WB HCW &amp; Beds'!$F$286:$BM$286,1,MATCH($BN327,$F327:$BM327,0)),"No reported value")</f>
        <v>No reported value</v>
      </c>
      <c r="BP327" s="43">
        <f>IF(BN327="No reported value",'WB HCW &amp; Beds'!BP$283,BN327)</f>
        <v>0.4</v>
      </c>
    </row>
    <row r="328" spans="2:68" hidden="1" x14ac:dyDescent="0.75">
      <c r="B328" s="43" t="s">
        <v>355</v>
      </c>
      <c r="C328" s="43" t="s">
        <v>28</v>
      </c>
      <c r="D328" s="43" t="s">
        <v>771</v>
      </c>
      <c r="E328" s="43" t="s">
        <v>770</v>
      </c>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t="str">
        <f t="shared" si="10"/>
        <v>No reported value</v>
      </c>
      <c r="BO328" s="43" t="str">
        <f>IFERROR(INDEX('WB HCW &amp; Beds'!$F$286:$BM$286,1,MATCH($BN328,$F328:$BM328,0)),"No reported value")</f>
        <v>No reported value</v>
      </c>
      <c r="BP328" s="43">
        <f>IF(BN328="No reported value",'WB HCW &amp; Beds'!BP$283,BN328)</f>
        <v>0.4</v>
      </c>
    </row>
    <row r="329" spans="2:68" hidden="1" x14ac:dyDescent="0.75">
      <c r="B329" s="43" t="s">
        <v>356</v>
      </c>
      <c r="C329" s="43" t="s">
        <v>29</v>
      </c>
      <c r="D329" s="43" t="s">
        <v>771</v>
      </c>
      <c r="E329" s="43" t="s">
        <v>770</v>
      </c>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t="str">
        <f t="shared" si="10"/>
        <v>No reported value</v>
      </c>
      <c r="BO329" s="43" t="str">
        <f>IFERROR(INDEX('WB HCW &amp; Beds'!$F$286:$BM$286,1,MATCH($BN329,$F329:$BM329,0)),"No reported value")</f>
        <v>No reported value</v>
      </c>
      <c r="BP329" s="43">
        <f>IF(BN329="No reported value",'WB HCW &amp; Beds'!BP$283,BN329)</f>
        <v>0.4</v>
      </c>
    </row>
    <row r="330" spans="2:68" hidden="1" x14ac:dyDescent="0.75">
      <c r="B330" s="43" t="s">
        <v>353</v>
      </c>
      <c r="C330" s="43" t="s">
        <v>354</v>
      </c>
      <c r="D330" s="43" t="s">
        <v>771</v>
      </c>
      <c r="E330" s="43" t="s">
        <v>770</v>
      </c>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t="str">
        <f t="shared" si="10"/>
        <v>No reported value</v>
      </c>
      <c r="BO330" s="43" t="str">
        <f>IFERROR(INDEX('WB HCW &amp; Beds'!$F$286:$BM$286,1,MATCH($BN330,$F330:$BM330,0)),"No reported value")</f>
        <v>No reported value</v>
      </c>
      <c r="BP330" s="43">
        <f>IF(BN330="No reported value",'WB HCW &amp; Beds'!BP$283,BN330)</f>
        <v>0.4</v>
      </c>
    </row>
    <row r="331" spans="2:68" hidden="1" x14ac:dyDescent="0.75">
      <c r="B331" s="43" t="s">
        <v>190</v>
      </c>
      <c r="C331" s="43" t="s">
        <v>157</v>
      </c>
      <c r="D331" s="43" t="s">
        <v>771</v>
      </c>
      <c r="E331" s="43" t="s">
        <v>770</v>
      </c>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t="str">
        <f t="shared" si="10"/>
        <v>No reported value</v>
      </c>
      <c r="BO331" s="43" t="str">
        <f>IFERROR(INDEX('WB HCW &amp; Beds'!$F$286:$BM$286,1,MATCH($BN331,$F331:$BM331,0)),"No reported value")</f>
        <v>No reported value</v>
      </c>
      <c r="BP331" s="43">
        <f>IF(BN331="No reported value",'WB HCW &amp; Beds'!BP$283,BN331)</f>
        <v>0.4</v>
      </c>
    </row>
    <row r="332" spans="2:68" hidden="1" x14ac:dyDescent="0.75">
      <c r="B332" s="43" t="s">
        <v>342</v>
      </c>
      <c r="C332" s="43" t="s">
        <v>30</v>
      </c>
      <c r="D332" s="43" t="s">
        <v>771</v>
      </c>
      <c r="E332" s="43" t="s">
        <v>770</v>
      </c>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v>0.13900000000000001</v>
      </c>
      <c r="AY332" s="43"/>
      <c r="AZ332" s="43"/>
      <c r="BA332" s="43"/>
      <c r="BB332" s="43"/>
      <c r="BC332" s="43"/>
      <c r="BD332" s="43"/>
      <c r="BE332" s="43"/>
      <c r="BF332" s="43"/>
      <c r="BG332" s="43"/>
      <c r="BH332" s="43"/>
      <c r="BI332" s="43"/>
      <c r="BJ332" s="43"/>
      <c r="BK332" s="43"/>
      <c r="BL332" s="43"/>
      <c r="BM332" s="43"/>
      <c r="BN332" s="43">
        <f t="shared" si="10"/>
        <v>0.13900000000000001</v>
      </c>
      <c r="BO332" s="43">
        <f>IFERROR(INDEX('WB HCW &amp; Beds'!$F$286:$BM$286,1,MATCH($BN332,$F332:$BM332,0)),"No reported value")</f>
        <v>2004</v>
      </c>
      <c r="BP332" s="43">
        <f>IF(BN332="No reported value",'WB HCW &amp; Beds'!BP$283,BN332)</f>
        <v>0.13900000000000001</v>
      </c>
    </row>
    <row r="333" spans="2:68" hidden="1" x14ac:dyDescent="0.75">
      <c r="B333" s="43" t="s">
        <v>357</v>
      </c>
      <c r="C333" s="43" t="s">
        <v>31</v>
      </c>
      <c r="D333" s="43" t="s">
        <v>771</v>
      </c>
      <c r="E333" s="43" t="s">
        <v>770</v>
      </c>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t="str">
        <f t="shared" si="10"/>
        <v>No reported value</v>
      </c>
      <c r="BO333" s="43" t="str">
        <f>IFERROR(INDEX('WB HCW &amp; Beds'!$F$286:$BM$286,1,MATCH($BN333,$F333:$BM333,0)),"No reported value")</f>
        <v>No reported value</v>
      </c>
      <c r="BP333" s="43">
        <f>IF(BN333="No reported value",'WB HCW &amp; Beds'!BP$283,BN333)</f>
        <v>0.4</v>
      </c>
    </row>
    <row r="334" spans="2:68" hidden="1" x14ac:dyDescent="0.75">
      <c r="B334" s="43" t="s">
        <v>344</v>
      </c>
      <c r="C334" s="43" t="s">
        <v>345</v>
      </c>
      <c r="D334" s="43" t="s">
        <v>771</v>
      </c>
      <c r="E334" s="43" t="s">
        <v>770</v>
      </c>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t="str">
        <f t="shared" si="10"/>
        <v>No reported value</v>
      </c>
      <c r="BO334" s="43" t="str">
        <f>IFERROR(INDEX('WB HCW &amp; Beds'!$F$286:$BM$286,1,MATCH($BN334,$F334:$BM334,0)),"No reported value")</f>
        <v>No reported value</v>
      </c>
      <c r="BP334" s="43">
        <f>IF(BN334="No reported value",'WB HCW &amp; Beds'!BP$283,BN334)</f>
        <v>0.4</v>
      </c>
    </row>
    <row r="335" spans="2:68" hidden="1" x14ac:dyDescent="0.75">
      <c r="B335" s="43" t="s">
        <v>221</v>
      </c>
      <c r="C335" s="43" t="s">
        <v>161</v>
      </c>
      <c r="D335" s="43" t="s">
        <v>771</v>
      </c>
      <c r="E335" s="43" t="s">
        <v>770</v>
      </c>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t="str">
        <f t="shared" si="10"/>
        <v>No reported value</v>
      </c>
      <c r="BO335" s="43" t="str">
        <f>IFERROR(INDEX('WB HCW &amp; Beds'!$F$286:$BM$286,1,MATCH($BN335,$F335:$BM335,0)),"No reported value")</f>
        <v>No reported value</v>
      </c>
      <c r="BP335" s="43">
        <f>IF(BN335="No reported value",'WB HCW &amp; Beds'!BP$283,BN335)</f>
        <v>0.4</v>
      </c>
    </row>
    <row r="336" spans="2:68" hidden="1" x14ac:dyDescent="0.75">
      <c r="B336" s="43" t="s">
        <v>360</v>
      </c>
      <c r="C336" s="43" t="s">
        <v>361</v>
      </c>
      <c r="D336" s="43" t="s">
        <v>771</v>
      </c>
      <c r="E336" s="43" t="s">
        <v>770</v>
      </c>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t="str">
        <f t="shared" si="10"/>
        <v>No reported value</v>
      </c>
      <c r="BO336" s="43" t="str">
        <f>IFERROR(INDEX('WB HCW &amp; Beds'!$F$286:$BM$286,1,MATCH($BN336,$F336:$BM336,0)),"No reported value")</f>
        <v>No reported value</v>
      </c>
      <c r="BP336" s="43">
        <f>IF(BN336="No reported value",'WB HCW &amp; Beds'!BP$283,BN336)</f>
        <v>0.4</v>
      </c>
    </row>
    <row r="337" spans="2:68" hidden="1" x14ac:dyDescent="0.75">
      <c r="B337" s="43" t="s">
        <v>346</v>
      </c>
      <c r="C337" s="43" t="s">
        <v>347</v>
      </c>
      <c r="D337" s="43" t="s">
        <v>771</v>
      </c>
      <c r="E337" s="43" t="s">
        <v>770</v>
      </c>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t="str">
        <f t="shared" si="10"/>
        <v>No reported value</v>
      </c>
      <c r="BO337" s="43" t="str">
        <f>IFERROR(INDEX('WB HCW &amp; Beds'!$F$286:$BM$286,1,MATCH($BN337,$F337:$BM337,0)),"No reported value")</f>
        <v>No reported value</v>
      </c>
      <c r="BP337" s="43">
        <f>IF(BN337="No reported value",'WB HCW &amp; Beds'!BP$283,BN337)</f>
        <v>0.4</v>
      </c>
    </row>
    <row r="338" spans="2:68" hidden="1" x14ac:dyDescent="0.75">
      <c r="B338" s="43" t="s">
        <v>362</v>
      </c>
      <c r="C338" s="43" t="s">
        <v>32</v>
      </c>
      <c r="D338" s="43" t="s">
        <v>771</v>
      </c>
      <c r="E338" s="43" t="s">
        <v>770</v>
      </c>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t="str">
        <f t="shared" si="10"/>
        <v>No reported value</v>
      </c>
      <c r="BO338" s="43" t="str">
        <f>IFERROR(INDEX('WB HCW &amp; Beds'!$F$286:$BM$286,1,MATCH($BN338,$F338:$BM338,0)),"No reported value")</f>
        <v>No reported value</v>
      </c>
      <c r="BP338" s="43">
        <f>IF(BN338="No reported value",'WB HCW &amp; Beds'!BP$283,BN338)</f>
        <v>0.4</v>
      </c>
    </row>
    <row r="339" spans="2:68" hidden="1" x14ac:dyDescent="0.75">
      <c r="B339" s="43" t="s">
        <v>363</v>
      </c>
      <c r="C339" s="43" t="s">
        <v>33</v>
      </c>
      <c r="D339" s="43" t="s">
        <v>771</v>
      </c>
      <c r="E339" s="43" t="s">
        <v>770</v>
      </c>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t="str">
        <f t="shared" si="10"/>
        <v>No reported value</v>
      </c>
      <c r="BO339" s="43" t="str">
        <f>IFERROR(INDEX('WB HCW &amp; Beds'!$F$286:$BM$286,1,MATCH($BN339,$F339:$BM339,0)),"No reported value")</f>
        <v>No reported value</v>
      </c>
      <c r="BP339" s="43">
        <f>IF(BN339="No reported value",'WB HCW &amp; Beds'!BP$283,BN339)</f>
        <v>0.4</v>
      </c>
    </row>
    <row r="340" spans="2:68" hidden="1" x14ac:dyDescent="0.75">
      <c r="B340" s="43" t="s">
        <v>400</v>
      </c>
      <c r="C340" s="43" t="s">
        <v>34</v>
      </c>
      <c r="D340" s="43" t="s">
        <v>771</v>
      </c>
      <c r="E340" s="43" t="s">
        <v>770</v>
      </c>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t="str">
        <f t="shared" si="10"/>
        <v>No reported value</v>
      </c>
      <c r="BO340" s="43" t="str">
        <f>IFERROR(INDEX('WB HCW &amp; Beds'!$F$286:$BM$286,1,MATCH($BN340,$F340:$BM340,0)),"No reported value")</f>
        <v>No reported value</v>
      </c>
      <c r="BP340" s="43">
        <f>IF(BN340="No reported value",'WB HCW &amp; Beds'!BP$283,BN340)</f>
        <v>0.4</v>
      </c>
    </row>
    <row r="341" spans="2:68" hidden="1" x14ac:dyDescent="0.75">
      <c r="B341" s="43" t="s">
        <v>231</v>
      </c>
      <c r="C341" s="43" t="s">
        <v>35</v>
      </c>
      <c r="D341" s="43" t="s">
        <v>771</v>
      </c>
      <c r="E341" s="43" t="s">
        <v>770</v>
      </c>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t="str">
        <f t="shared" si="10"/>
        <v>No reported value</v>
      </c>
      <c r="BO341" s="43" t="str">
        <f>IFERROR(INDEX('WB HCW &amp; Beds'!$F$286:$BM$286,1,MATCH($BN341,$F341:$BM341,0)),"No reported value")</f>
        <v>No reported value</v>
      </c>
      <c r="BP341" s="43">
        <f>IF(BN341="No reported value",'WB HCW &amp; Beds'!BP$283,BN341)</f>
        <v>0.4</v>
      </c>
    </row>
    <row r="342" spans="2:68" hidden="1" x14ac:dyDescent="0.75">
      <c r="B342" s="43" t="s">
        <v>365</v>
      </c>
      <c r="C342" s="43" t="s">
        <v>366</v>
      </c>
      <c r="D342" s="43" t="s">
        <v>771</v>
      </c>
      <c r="E342" s="43" t="s">
        <v>770</v>
      </c>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t="str">
        <f t="shared" si="10"/>
        <v>No reported value</v>
      </c>
      <c r="BO342" s="43" t="str">
        <f>IFERROR(INDEX('WB HCW &amp; Beds'!$F$286:$BM$286,1,MATCH($BN342,$F342:$BM342,0)),"No reported value")</f>
        <v>No reported value</v>
      </c>
      <c r="BP342" s="43">
        <f>IF(BN342="No reported value",'WB HCW &amp; Beds'!BP$283,BN342)</f>
        <v>0.4</v>
      </c>
    </row>
    <row r="343" spans="2:68" hidden="1" x14ac:dyDescent="0.75">
      <c r="B343" s="43" t="s">
        <v>364</v>
      </c>
      <c r="C343" s="43" t="s">
        <v>36</v>
      </c>
      <c r="D343" s="43" t="s">
        <v>771</v>
      </c>
      <c r="E343" s="43" t="s">
        <v>770</v>
      </c>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t="str">
        <f t="shared" si="10"/>
        <v>No reported value</v>
      </c>
      <c r="BO343" s="43" t="str">
        <f>IFERROR(INDEX('WB HCW &amp; Beds'!$F$286:$BM$286,1,MATCH($BN343,$F343:$BM343,0)),"No reported value")</f>
        <v>No reported value</v>
      </c>
      <c r="BP343" s="43">
        <f>IF(BN343="No reported value",'WB HCW &amp; Beds'!BP$283,BN343)</f>
        <v>0.4</v>
      </c>
    </row>
    <row r="344" spans="2:68" hidden="1" x14ac:dyDescent="0.75">
      <c r="B344" s="43" t="s">
        <v>367</v>
      </c>
      <c r="C344" s="43" t="s">
        <v>368</v>
      </c>
      <c r="D344" s="43" t="s">
        <v>771</v>
      </c>
      <c r="E344" s="43" t="s">
        <v>770</v>
      </c>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t="str">
        <f t="shared" si="10"/>
        <v>No reported value</v>
      </c>
      <c r="BO344" s="43" t="str">
        <f>IFERROR(INDEX('WB HCW &amp; Beds'!$F$286:$BM$286,1,MATCH($BN344,$F344:$BM344,0)),"No reported value")</f>
        <v>No reported value</v>
      </c>
      <c r="BP344" s="43">
        <f>IF(BN344="No reported value",'WB HCW &amp; Beds'!BP$283,BN344)</f>
        <v>0.4</v>
      </c>
    </row>
    <row r="345" spans="2:68" hidden="1" x14ac:dyDescent="0.75">
      <c r="B345" s="43" t="s">
        <v>314</v>
      </c>
      <c r="C345" s="43" t="s">
        <v>37</v>
      </c>
      <c r="D345" s="43" t="s">
        <v>771</v>
      </c>
      <c r="E345" s="43" t="s">
        <v>770</v>
      </c>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t="str">
        <f t="shared" si="10"/>
        <v>No reported value</v>
      </c>
      <c r="BO345" s="43" t="str">
        <f>IFERROR(INDEX('WB HCW &amp; Beds'!$F$286:$BM$286,1,MATCH($BN345,$F345:$BM345,0)),"No reported value")</f>
        <v>No reported value</v>
      </c>
      <c r="BP345" s="43">
        <f>IF(BN345="No reported value",'WB HCW &amp; Beds'!BP$283,BN345)</f>
        <v>0.4</v>
      </c>
    </row>
    <row r="346" spans="2:68" hidden="1" x14ac:dyDescent="0.75">
      <c r="B346" s="43" t="s">
        <v>373</v>
      </c>
      <c r="C346" s="43" t="s">
        <v>374</v>
      </c>
      <c r="D346" s="43" t="s">
        <v>771</v>
      </c>
      <c r="E346" s="43" t="s">
        <v>770</v>
      </c>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v>1.0609999999999999</v>
      </c>
      <c r="AK346" s="43"/>
      <c r="AL346" s="43"/>
      <c r="AM346" s="43"/>
      <c r="AN346" s="43"/>
      <c r="AO346" s="43"/>
      <c r="AP346" s="43"/>
      <c r="AQ346" s="43"/>
      <c r="AR346" s="43"/>
      <c r="AS346" s="43"/>
      <c r="AT346" s="43">
        <v>0.98674473266602269</v>
      </c>
      <c r="AU346" s="43"/>
      <c r="AV346" s="43"/>
      <c r="AW346" s="43"/>
      <c r="AX346" s="43"/>
      <c r="AY346" s="43"/>
      <c r="AZ346" s="43"/>
      <c r="BA346" s="43"/>
      <c r="BB346" s="43"/>
      <c r="BC346" s="43"/>
      <c r="BD346" s="43"/>
      <c r="BE346" s="43">
        <v>0.6814814941465519</v>
      </c>
      <c r="BF346" s="43"/>
      <c r="BG346" s="43"/>
      <c r="BH346" s="43"/>
      <c r="BI346" s="43"/>
      <c r="BJ346" s="43"/>
      <c r="BK346" s="43"/>
      <c r="BL346" s="43"/>
      <c r="BM346" s="43"/>
      <c r="BN346" s="43">
        <f t="shared" si="10"/>
        <v>0.6814814941465519</v>
      </c>
      <c r="BO346" s="43">
        <f>IFERROR(INDEX('WB HCW &amp; Beds'!$F$286:$BM$286,1,MATCH($BN346,$F346:$BM346,0)),"No reported value")</f>
        <v>2011</v>
      </c>
      <c r="BP346" s="43">
        <f>IF(BN346="No reported value",'WB HCW &amp; Beds'!BP$283,BN346)</f>
        <v>0.6814814941465519</v>
      </c>
    </row>
    <row r="347" spans="2:68" hidden="1" x14ac:dyDescent="0.75">
      <c r="B347" s="43" t="s">
        <v>369</v>
      </c>
      <c r="C347" s="43" t="s">
        <v>370</v>
      </c>
      <c r="D347" s="43" t="s">
        <v>771</v>
      </c>
      <c r="E347" s="43" t="s">
        <v>770</v>
      </c>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v>0.42702452919143652</v>
      </c>
      <c r="BF347" s="43"/>
      <c r="BG347" s="43"/>
      <c r="BH347" s="43"/>
      <c r="BI347" s="43"/>
      <c r="BJ347" s="43"/>
      <c r="BK347" s="43"/>
      <c r="BL347" s="43"/>
      <c r="BM347" s="43"/>
      <c r="BN347" s="43">
        <f t="shared" si="10"/>
        <v>0.42702452919143652</v>
      </c>
      <c r="BO347" s="43">
        <f>IFERROR(INDEX('WB HCW &amp; Beds'!$F$286:$BM$286,1,MATCH($BN347,$F347:$BM347,0)),"No reported value")</f>
        <v>2011</v>
      </c>
      <c r="BP347" s="43">
        <f>IF(BN347="No reported value",'WB HCW &amp; Beds'!BP$283,BN347)</f>
        <v>0.42702452919143652</v>
      </c>
    </row>
    <row r="348" spans="2:68" hidden="1" x14ac:dyDescent="0.75">
      <c r="B348" s="43" t="s">
        <v>371</v>
      </c>
      <c r="C348" s="43" t="s">
        <v>372</v>
      </c>
      <c r="D348" s="43" t="s">
        <v>771</v>
      </c>
      <c r="E348" s="43" t="s">
        <v>770</v>
      </c>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v>0.67218257158545569</v>
      </c>
      <c r="BF348" s="43"/>
      <c r="BG348" s="43"/>
      <c r="BH348" s="43"/>
      <c r="BI348" s="43"/>
      <c r="BJ348" s="43"/>
      <c r="BK348" s="43"/>
      <c r="BL348" s="43"/>
      <c r="BM348" s="43"/>
      <c r="BN348" s="43">
        <f t="shared" si="10"/>
        <v>0.67218257158545569</v>
      </c>
      <c r="BO348" s="43">
        <f>IFERROR(INDEX('WB HCW &amp; Beds'!$F$286:$BM$286,1,MATCH($BN348,$F348:$BM348,0)),"No reported value")</f>
        <v>2011</v>
      </c>
      <c r="BP348" s="43">
        <f>IF(BN348="No reported value",'WB HCW &amp; Beds'!BP$283,BN348)</f>
        <v>0.67218257158545569</v>
      </c>
    </row>
    <row r="349" spans="2:68" hidden="1" x14ac:dyDescent="0.75">
      <c r="B349" s="43" t="s">
        <v>385</v>
      </c>
      <c r="C349" s="43" t="s">
        <v>386</v>
      </c>
      <c r="D349" s="43" t="s">
        <v>771</v>
      </c>
      <c r="E349" s="43" t="s">
        <v>770</v>
      </c>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t="str">
        <f t="shared" si="10"/>
        <v>No reported value</v>
      </c>
      <c r="BO349" s="43" t="str">
        <f>IFERROR(INDEX('WB HCW &amp; Beds'!$F$286:$BM$286,1,MATCH($BN349,$F349:$BM349,0)),"No reported value")</f>
        <v>No reported value</v>
      </c>
      <c r="BP349" s="43">
        <f>IF(BN349="No reported value",'WB HCW &amp; Beds'!BP$283,BN349)</f>
        <v>0.4</v>
      </c>
    </row>
    <row r="350" spans="2:68" hidden="1" x14ac:dyDescent="0.75">
      <c r="B350" s="43" t="s">
        <v>383</v>
      </c>
      <c r="C350" s="43" t="s">
        <v>384</v>
      </c>
      <c r="D350" s="43" t="s">
        <v>771</v>
      </c>
      <c r="E350" s="43" t="s">
        <v>770</v>
      </c>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t="str">
        <f t="shared" si="10"/>
        <v>No reported value</v>
      </c>
      <c r="BO350" s="43" t="str">
        <f>IFERROR(INDEX('WB HCW &amp; Beds'!$F$286:$BM$286,1,MATCH($BN350,$F350:$BM350,0)),"No reported value")</f>
        <v>No reported value</v>
      </c>
      <c r="BP350" s="43">
        <f>IF(BN350="No reported value",'WB HCW &amp; Beds'!BP$283,BN350)</f>
        <v>0.4</v>
      </c>
    </row>
    <row r="351" spans="2:68" hidden="1" x14ac:dyDescent="0.75">
      <c r="B351" s="43" t="s">
        <v>377</v>
      </c>
      <c r="C351" s="43" t="s">
        <v>38</v>
      </c>
      <c r="D351" s="43" t="s">
        <v>771</v>
      </c>
      <c r="E351" s="43" t="s">
        <v>770</v>
      </c>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t="str">
        <f t="shared" ref="BN351:BN414" si="11">IFERROR(LOOKUP(2,1/(ISNUMBER(F351:BM351)),F351:BM351),"No reported value")</f>
        <v>No reported value</v>
      </c>
      <c r="BO351" s="43" t="str">
        <f>IFERROR(INDEX('WB HCW &amp; Beds'!$F$286:$BM$286,1,MATCH($BN351,$F351:$BM351,0)),"No reported value")</f>
        <v>No reported value</v>
      </c>
      <c r="BP351" s="43">
        <f>IF(BN351="No reported value",'WB HCW &amp; Beds'!BP$283,BN351)</f>
        <v>0.4</v>
      </c>
    </row>
    <row r="352" spans="2:68" hidden="1" x14ac:dyDescent="0.75">
      <c r="B352" s="43" t="s">
        <v>378</v>
      </c>
      <c r="C352" s="43" t="s">
        <v>39</v>
      </c>
      <c r="D352" s="43" t="s">
        <v>771</v>
      </c>
      <c r="E352" s="43" t="s">
        <v>770</v>
      </c>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t="str">
        <f t="shared" si="11"/>
        <v>No reported value</v>
      </c>
      <c r="BO352" s="43" t="str">
        <f>IFERROR(INDEX('WB HCW &amp; Beds'!$F$286:$BM$286,1,MATCH($BN352,$F352:$BM352,0)),"No reported value")</f>
        <v>No reported value</v>
      </c>
      <c r="BP352" s="43">
        <f>IF(BN352="No reported value",'WB HCW &amp; Beds'!BP$283,BN352)</f>
        <v>0.4</v>
      </c>
    </row>
    <row r="353" spans="2:68" hidden="1" x14ac:dyDescent="0.75">
      <c r="B353" s="43" t="s">
        <v>381</v>
      </c>
      <c r="C353" s="43" t="s">
        <v>382</v>
      </c>
      <c r="D353" s="43" t="s">
        <v>771</v>
      </c>
      <c r="E353" s="43" t="s">
        <v>770</v>
      </c>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t="str">
        <f t="shared" si="11"/>
        <v>No reported value</v>
      </c>
      <c r="BO353" s="43" t="str">
        <f>IFERROR(INDEX('WB HCW &amp; Beds'!$F$286:$BM$286,1,MATCH($BN353,$F353:$BM353,0)),"No reported value")</f>
        <v>No reported value</v>
      </c>
      <c r="BP353" s="43">
        <f>IF(BN353="No reported value",'WB HCW &amp; Beds'!BP$283,BN353)</f>
        <v>0.4</v>
      </c>
    </row>
    <row r="354" spans="2:68" hidden="1" x14ac:dyDescent="0.75">
      <c r="B354" s="43" t="s">
        <v>192</v>
      </c>
      <c r="C354" s="43" t="s">
        <v>168</v>
      </c>
      <c r="D354" s="43" t="s">
        <v>771</v>
      </c>
      <c r="E354" s="43" t="s">
        <v>770</v>
      </c>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t="str">
        <f t="shared" si="11"/>
        <v>No reported value</v>
      </c>
      <c r="BO354" s="43" t="str">
        <f>IFERROR(INDEX('WB HCW &amp; Beds'!$F$286:$BM$286,1,MATCH($BN354,$F354:$BM354,0)),"No reported value")</f>
        <v>No reported value</v>
      </c>
      <c r="BP354" s="43">
        <f>IF(BN354="No reported value",'WB HCW &amp; Beds'!BP$283,BN354)</f>
        <v>0.4</v>
      </c>
    </row>
    <row r="355" spans="2:68" hidden="1" x14ac:dyDescent="0.75">
      <c r="B355" s="43" t="s">
        <v>530</v>
      </c>
      <c r="C355" s="43" t="s">
        <v>40</v>
      </c>
      <c r="D355" s="43" t="s">
        <v>771</v>
      </c>
      <c r="E355" s="43" t="s">
        <v>770</v>
      </c>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t="str">
        <f t="shared" si="11"/>
        <v>No reported value</v>
      </c>
      <c r="BO355" s="43" t="str">
        <f>IFERROR(INDEX('WB HCW &amp; Beds'!$F$286:$BM$286,1,MATCH($BN355,$F355:$BM355,0)),"No reported value")</f>
        <v>No reported value</v>
      </c>
      <c r="BP355" s="43">
        <f>IF(BN355="No reported value",'WB HCW &amp; Beds'!BP$283,BN355)</f>
        <v>0.4</v>
      </c>
    </row>
    <row r="356" spans="2:68" hidden="1" x14ac:dyDescent="0.75">
      <c r="B356" s="43" t="s">
        <v>379</v>
      </c>
      <c r="C356" s="43" t="s">
        <v>41</v>
      </c>
      <c r="D356" s="43" t="s">
        <v>771</v>
      </c>
      <c r="E356" s="43" t="s">
        <v>770</v>
      </c>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v>3.1E-2</v>
      </c>
      <c r="AU356" s="43"/>
      <c r="AV356" s="43"/>
      <c r="AW356" s="43"/>
      <c r="AX356" s="43"/>
      <c r="AY356" s="43"/>
      <c r="AZ356" s="43"/>
      <c r="BA356" s="43"/>
      <c r="BB356" s="43"/>
      <c r="BC356" s="43"/>
      <c r="BD356" s="43"/>
      <c r="BE356" s="43"/>
      <c r="BF356" s="43"/>
      <c r="BG356" s="43"/>
      <c r="BH356" s="43"/>
      <c r="BI356" s="43"/>
      <c r="BJ356" s="43"/>
      <c r="BK356" s="43"/>
      <c r="BL356" s="43"/>
      <c r="BM356" s="43"/>
      <c r="BN356" s="43">
        <f t="shared" si="11"/>
        <v>3.1E-2</v>
      </c>
      <c r="BO356" s="43">
        <f>IFERROR(INDEX('WB HCW &amp; Beds'!$F$286:$BM$286,1,MATCH($BN356,$F356:$BM356,0)),"No reported value")</f>
        <v>2000</v>
      </c>
      <c r="BP356" s="43">
        <f>IF(BN356="No reported value",'WB HCW &amp; Beds'!BP$283,BN356)</f>
        <v>3.1E-2</v>
      </c>
    </row>
    <row r="357" spans="2:68" hidden="1" x14ac:dyDescent="0.75">
      <c r="B357" s="43" t="s">
        <v>194</v>
      </c>
      <c r="C357" s="43" t="s">
        <v>42</v>
      </c>
      <c r="D357" s="43" t="s">
        <v>771</v>
      </c>
      <c r="E357" s="43" t="s">
        <v>770</v>
      </c>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v>0.185</v>
      </c>
      <c r="AX357" s="43">
        <v>0.21099999999999999</v>
      </c>
      <c r="AY357" s="43"/>
      <c r="AZ357" s="43"/>
      <c r="BA357" s="43">
        <v>0.218</v>
      </c>
      <c r="BB357" s="43">
        <v>0.29599999999999999</v>
      </c>
      <c r="BC357" s="43">
        <v>0.36299999999999999</v>
      </c>
      <c r="BD357" s="43"/>
      <c r="BE357" s="43"/>
      <c r="BF357" s="43"/>
      <c r="BG357" s="43"/>
      <c r="BH357" s="43"/>
      <c r="BI357" s="43"/>
      <c r="BJ357" s="43"/>
      <c r="BK357" s="43"/>
      <c r="BL357" s="43"/>
      <c r="BM357" s="43"/>
      <c r="BN357" s="43">
        <f t="shared" si="11"/>
        <v>0.36299999999999999</v>
      </c>
      <c r="BO357" s="43">
        <f>IFERROR(INDEX('WB HCW &amp; Beds'!$F$286:$BM$286,1,MATCH($BN357,$F357:$BM357,0)),"No reported value")</f>
        <v>2009</v>
      </c>
      <c r="BP357" s="43">
        <f>IF(BN357="No reported value",'WB HCW &amp; Beds'!BP$283,BN357)</f>
        <v>0.36299999999999999</v>
      </c>
    </row>
    <row r="358" spans="2:68" hidden="1" x14ac:dyDescent="0.75">
      <c r="B358" s="43" t="s">
        <v>389</v>
      </c>
      <c r="C358" s="43" t="s">
        <v>390</v>
      </c>
      <c r="D358" s="43" t="s">
        <v>771</v>
      </c>
      <c r="E358" s="43" t="s">
        <v>770</v>
      </c>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t="str">
        <f t="shared" si="11"/>
        <v>No reported value</v>
      </c>
      <c r="BO358" s="43" t="str">
        <f>IFERROR(INDEX('WB HCW &amp; Beds'!$F$286:$BM$286,1,MATCH($BN358,$F358:$BM358,0)),"No reported value")</f>
        <v>No reported value</v>
      </c>
      <c r="BP358" s="43">
        <f>IF(BN358="No reported value",'WB HCW &amp; Beds'!BP$283,BN358)</f>
        <v>0.4</v>
      </c>
    </row>
    <row r="359" spans="2:68" hidden="1" x14ac:dyDescent="0.75">
      <c r="B359" s="43" t="s">
        <v>394</v>
      </c>
      <c r="C359" s="43" t="s">
        <v>395</v>
      </c>
      <c r="D359" s="43" t="s">
        <v>771</v>
      </c>
      <c r="E359" s="43" t="s">
        <v>770</v>
      </c>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t="str">
        <f t="shared" si="11"/>
        <v>No reported value</v>
      </c>
      <c r="BO359" s="43" t="str">
        <f>IFERROR(INDEX('WB HCW &amp; Beds'!$F$286:$BM$286,1,MATCH($BN359,$F359:$BM359,0)),"No reported value")</f>
        <v>No reported value</v>
      </c>
      <c r="BP359" s="43">
        <f>IF(BN359="No reported value",'WB HCW &amp; Beds'!BP$283,BN359)</f>
        <v>0.4</v>
      </c>
    </row>
    <row r="360" spans="2:68" hidden="1" x14ac:dyDescent="0.75">
      <c r="B360" s="43" t="s">
        <v>393</v>
      </c>
      <c r="C360" s="43" t="s">
        <v>43</v>
      </c>
      <c r="D360" s="43" t="s">
        <v>771</v>
      </c>
      <c r="E360" s="43" t="s">
        <v>770</v>
      </c>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t="str">
        <f t="shared" si="11"/>
        <v>No reported value</v>
      </c>
      <c r="BO360" s="43" t="str">
        <f>IFERROR(INDEX('WB HCW &amp; Beds'!$F$286:$BM$286,1,MATCH($BN360,$F360:$BM360,0)),"No reported value")</f>
        <v>No reported value</v>
      </c>
      <c r="BP360" s="43">
        <f>IF(BN360="No reported value",'WB HCW &amp; Beds'!BP$283,BN360)</f>
        <v>0.4</v>
      </c>
    </row>
    <row r="361" spans="2:68" hidden="1" x14ac:dyDescent="0.75">
      <c r="B361" s="43" t="s">
        <v>248</v>
      </c>
      <c r="C361" s="43" t="s">
        <v>44</v>
      </c>
      <c r="D361" s="43" t="s">
        <v>771</v>
      </c>
      <c r="E361" s="43" t="s">
        <v>770</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t="str">
        <f t="shared" si="11"/>
        <v>No reported value</v>
      </c>
      <c r="BO361" s="43" t="str">
        <f>IFERROR(INDEX('WB HCW &amp; Beds'!$F$286:$BM$286,1,MATCH($BN361,$F361:$BM361,0)),"No reported value")</f>
        <v>No reported value</v>
      </c>
      <c r="BP361" s="43">
        <f>IF(BN361="No reported value",'WB HCW &amp; Beds'!BP$283,BN361)</f>
        <v>0.4</v>
      </c>
    </row>
    <row r="362" spans="2:68" hidden="1" x14ac:dyDescent="0.75">
      <c r="B362" s="43" t="s">
        <v>396</v>
      </c>
      <c r="C362" s="43" t="s">
        <v>45</v>
      </c>
      <c r="D362" s="43" t="s">
        <v>771</v>
      </c>
      <c r="E362" s="43" t="s">
        <v>770</v>
      </c>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v>2.8000000000000001E-2</v>
      </c>
      <c r="BB362" s="43"/>
      <c r="BC362" s="43"/>
      <c r="BD362" s="43"/>
      <c r="BE362" s="43"/>
      <c r="BF362" s="43"/>
      <c r="BG362" s="43"/>
      <c r="BH362" s="43"/>
      <c r="BI362" s="43"/>
      <c r="BJ362" s="43"/>
      <c r="BK362" s="43"/>
      <c r="BL362" s="43"/>
      <c r="BM362" s="43"/>
      <c r="BN362" s="43">
        <f t="shared" si="11"/>
        <v>2.8000000000000001E-2</v>
      </c>
      <c r="BO362" s="43">
        <f>IFERROR(INDEX('WB HCW &amp; Beds'!$F$286:$BM$286,1,MATCH($BN362,$F362:$BM362,0)),"No reported value")</f>
        <v>2007</v>
      </c>
      <c r="BP362" s="43">
        <f>IF(BN362="No reported value",'WB HCW &amp; Beds'!BP$283,BN362)</f>
        <v>2.8000000000000001E-2</v>
      </c>
    </row>
    <row r="363" spans="2:68" hidden="1" x14ac:dyDescent="0.75">
      <c r="B363" s="43" t="s">
        <v>391</v>
      </c>
      <c r="C363" s="43" t="s">
        <v>392</v>
      </c>
      <c r="D363" s="43" t="s">
        <v>771</v>
      </c>
      <c r="E363" s="43" t="s">
        <v>770</v>
      </c>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t="str">
        <f t="shared" si="11"/>
        <v>No reported value</v>
      </c>
      <c r="BO363" s="43" t="str">
        <f>IFERROR(INDEX('WB HCW &amp; Beds'!$F$286:$BM$286,1,MATCH($BN363,$F363:$BM363,0)),"No reported value")</f>
        <v>No reported value</v>
      </c>
      <c r="BP363" s="43">
        <f>IF(BN363="No reported value",'WB HCW &amp; Beds'!BP$283,BN363)</f>
        <v>0.4</v>
      </c>
    </row>
    <row r="364" spans="2:68" hidden="1" x14ac:dyDescent="0.75">
      <c r="B364" s="43" t="s">
        <v>464</v>
      </c>
      <c r="C364" s="43" t="s">
        <v>465</v>
      </c>
      <c r="D364" s="43" t="s">
        <v>771</v>
      </c>
      <c r="E364" s="43" t="s">
        <v>770</v>
      </c>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v>0.29699999999999999</v>
      </c>
      <c r="BC364" s="43"/>
      <c r="BD364" s="43"/>
      <c r="BE364" s="43"/>
      <c r="BF364" s="43"/>
      <c r="BG364" s="43"/>
      <c r="BH364" s="43"/>
      <c r="BI364" s="43"/>
      <c r="BJ364" s="43"/>
      <c r="BK364" s="43"/>
      <c r="BL364" s="43"/>
      <c r="BM364" s="43"/>
      <c r="BN364" s="43">
        <f t="shared" si="11"/>
        <v>0.29699999999999999</v>
      </c>
      <c r="BO364" s="43">
        <f>IFERROR(INDEX('WB HCW &amp; Beds'!$F$286:$BM$286,1,MATCH($BN364,$F364:$BM364,0)),"No reported value")</f>
        <v>2008</v>
      </c>
      <c r="BP364" s="43">
        <f>IF(BN364="No reported value",'WB HCW &amp; Beds'!BP$283,BN364)</f>
        <v>0.29699999999999999</v>
      </c>
    </row>
    <row r="365" spans="2:68" hidden="1" x14ac:dyDescent="0.75">
      <c r="B365" s="43" t="s">
        <v>195</v>
      </c>
      <c r="C365" s="43" t="s">
        <v>46</v>
      </c>
      <c r="D365" s="43" t="s">
        <v>771</v>
      </c>
      <c r="E365" s="43" t="s">
        <v>770</v>
      </c>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t="str">
        <f t="shared" si="11"/>
        <v>No reported value</v>
      </c>
      <c r="BO365" s="43" t="str">
        <f>IFERROR(INDEX('WB HCW &amp; Beds'!$F$286:$BM$286,1,MATCH($BN365,$F365:$BM365,0)),"No reported value")</f>
        <v>No reported value</v>
      </c>
      <c r="BP365" s="43">
        <f>IF(BN365="No reported value",'WB HCW &amp; Beds'!BP$283,BN365)</f>
        <v>0.4</v>
      </c>
    </row>
    <row r="366" spans="2:68" hidden="1" x14ac:dyDescent="0.75">
      <c r="B366" s="43" t="s">
        <v>556</v>
      </c>
      <c r="C366" s="43" t="s">
        <v>47</v>
      </c>
      <c r="D366" s="43" t="s">
        <v>771</v>
      </c>
      <c r="E366" s="43" t="s">
        <v>770</v>
      </c>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t="str">
        <f t="shared" si="11"/>
        <v>No reported value</v>
      </c>
      <c r="BO366" s="43" t="str">
        <f>IFERROR(INDEX('WB HCW &amp; Beds'!$F$286:$BM$286,1,MATCH($BN366,$F366:$BM366,0)),"No reported value")</f>
        <v>No reported value</v>
      </c>
      <c r="BP366" s="43">
        <f>IF(BN366="No reported value",'WB HCW &amp; Beds'!BP$283,BN366)</f>
        <v>0.4</v>
      </c>
    </row>
    <row r="367" spans="2:68" hidden="1" x14ac:dyDescent="0.75">
      <c r="B367" s="43" t="s">
        <v>236</v>
      </c>
      <c r="C367" s="43" t="s">
        <v>48</v>
      </c>
      <c r="D367" s="43" t="s">
        <v>771</v>
      </c>
      <c r="E367" s="43" t="s">
        <v>770</v>
      </c>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t="str">
        <f t="shared" si="11"/>
        <v>No reported value</v>
      </c>
      <c r="BO367" s="43" t="str">
        <f>IFERROR(INDEX('WB HCW &amp; Beds'!$F$286:$BM$286,1,MATCH($BN367,$F367:$BM367,0)),"No reported value")</f>
        <v>No reported value</v>
      </c>
      <c r="BP367" s="43">
        <f>IF(BN367="No reported value",'WB HCW &amp; Beds'!BP$283,BN367)</f>
        <v>0.4</v>
      </c>
    </row>
    <row r="368" spans="2:68" hidden="1" x14ac:dyDescent="0.75">
      <c r="B368" s="43" t="s">
        <v>196</v>
      </c>
      <c r="C368" s="43" t="s">
        <v>162</v>
      </c>
      <c r="D368" s="43" t="s">
        <v>771</v>
      </c>
      <c r="E368" s="43" t="s">
        <v>770</v>
      </c>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v>0.48799999999999999</v>
      </c>
      <c r="AS368" s="43">
        <v>0.55600000000000005</v>
      </c>
      <c r="AT368" s="43">
        <v>0.55600000000000005</v>
      </c>
      <c r="AU368" s="43">
        <v>0.55600000000000005</v>
      </c>
      <c r="AV368" s="43">
        <v>0.55600000000000005</v>
      </c>
      <c r="AW368" s="43">
        <v>0.56299999999999994</v>
      </c>
      <c r="AX368" s="43"/>
      <c r="AY368" s="43"/>
      <c r="AZ368" s="43"/>
      <c r="BA368" s="43"/>
      <c r="BB368" s="43">
        <v>0.19500000000000001</v>
      </c>
      <c r="BC368" s="43"/>
      <c r="BD368" s="43"/>
      <c r="BE368" s="43"/>
      <c r="BF368" s="43"/>
      <c r="BG368" s="43"/>
      <c r="BH368" s="43"/>
      <c r="BI368" s="43"/>
      <c r="BJ368" s="43"/>
      <c r="BK368" s="43"/>
      <c r="BL368" s="43"/>
      <c r="BM368" s="43"/>
      <c r="BN368" s="43">
        <f t="shared" si="11"/>
        <v>0.19500000000000001</v>
      </c>
      <c r="BO368" s="43">
        <f>IFERROR(INDEX('WB HCW &amp; Beds'!$F$286:$BM$286,1,MATCH($BN368,$F368:$BM368,0)),"No reported value")</f>
        <v>2008</v>
      </c>
      <c r="BP368" s="43">
        <f>IF(BN368="No reported value",'WB HCW &amp; Beds'!BP$283,BN368)</f>
        <v>0.19500000000000001</v>
      </c>
    </row>
    <row r="369" spans="2:68" hidden="1" x14ac:dyDescent="0.75">
      <c r="B369" s="43" t="s">
        <v>401</v>
      </c>
      <c r="C369" s="43" t="s">
        <v>402</v>
      </c>
      <c r="D369" s="43" t="s">
        <v>771</v>
      </c>
      <c r="E369" s="43" t="s">
        <v>770</v>
      </c>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t="str">
        <f t="shared" si="11"/>
        <v>No reported value</v>
      </c>
      <c r="BO369" s="43" t="str">
        <f>IFERROR(INDEX('WB HCW &amp; Beds'!$F$286:$BM$286,1,MATCH($BN369,$F369:$BM369,0)),"No reported value")</f>
        <v>No reported value</v>
      </c>
      <c r="BP369" s="43">
        <f>IF(BN369="No reported value",'WB HCW &amp; Beds'!BP$283,BN369)</f>
        <v>0.4</v>
      </c>
    </row>
    <row r="370" spans="2:68" hidden="1" x14ac:dyDescent="0.75">
      <c r="B370" s="43" t="s">
        <v>197</v>
      </c>
      <c r="C370" s="43" t="s">
        <v>49</v>
      </c>
      <c r="D370" s="43" t="s">
        <v>771</v>
      </c>
      <c r="E370" s="43" t="s">
        <v>770</v>
      </c>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v>0.51700000000000002</v>
      </c>
      <c r="BK370" s="43"/>
      <c r="BL370" s="43"/>
      <c r="BM370" s="43"/>
      <c r="BN370" s="43">
        <f t="shared" si="11"/>
        <v>0.51700000000000002</v>
      </c>
      <c r="BO370" s="43">
        <f>IFERROR(INDEX('WB HCW &amp; Beds'!$F$286:$BM$286,1,MATCH($BN370,$F370:$BM370,0)),"No reported value")</f>
        <v>2016</v>
      </c>
      <c r="BP370" s="43">
        <f>IF(BN370="No reported value",'WB HCW &amp; Beds'!BP$283,BN370)</f>
        <v>0.51700000000000002</v>
      </c>
    </row>
    <row r="371" spans="2:68" hidden="1" x14ac:dyDescent="0.75">
      <c r="B371" s="43" t="s">
        <v>399</v>
      </c>
      <c r="C371" s="43" t="s">
        <v>50</v>
      </c>
      <c r="D371" s="43" t="s">
        <v>771</v>
      </c>
      <c r="E371" s="43" t="s">
        <v>770</v>
      </c>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v>0.30499999999999999</v>
      </c>
      <c r="AX371" s="43"/>
      <c r="AY371" s="43"/>
      <c r="AZ371" s="43"/>
      <c r="BA371" s="43">
        <v>0.752</v>
      </c>
      <c r="BB371" s="43">
        <v>0.72499999999999998</v>
      </c>
      <c r="BC371" s="43"/>
      <c r="BD371" s="43"/>
      <c r="BE371" s="43"/>
      <c r="BF371" s="43"/>
      <c r="BG371" s="43"/>
      <c r="BH371" s="43"/>
      <c r="BI371" s="43"/>
      <c r="BJ371" s="43"/>
      <c r="BK371" s="43"/>
      <c r="BL371" s="43"/>
      <c r="BM371" s="43"/>
      <c r="BN371" s="43">
        <f t="shared" si="11"/>
        <v>0.72499999999999998</v>
      </c>
      <c r="BO371" s="43">
        <f>IFERROR(INDEX('WB HCW &amp; Beds'!$F$286:$BM$286,1,MATCH($BN371,$F371:$BM371,0)),"No reported value")</f>
        <v>2008</v>
      </c>
      <c r="BP371" s="43">
        <f>IF(BN371="No reported value",'WB HCW &amp; Beds'!BP$283,BN371)</f>
        <v>0.72499999999999998</v>
      </c>
    </row>
    <row r="372" spans="2:68" hidden="1" x14ac:dyDescent="0.75">
      <c r="B372" s="43" t="s">
        <v>198</v>
      </c>
      <c r="C372" s="43" t="s">
        <v>172</v>
      </c>
      <c r="D372" s="43" t="s">
        <v>771</v>
      </c>
      <c r="E372" s="43" t="s">
        <v>770</v>
      </c>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v>1.645</v>
      </c>
      <c r="AY372" s="43"/>
      <c r="AZ372" s="43"/>
      <c r="BA372" s="43"/>
      <c r="BB372" s="43"/>
      <c r="BC372" s="43"/>
      <c r="BD372" s="43"/>
      <c r="BE372" s="43"/>
      <c r="BF372" s="43"/>
      <c r="BG372" s="43"/>
      <c r="BH372" s="43"/>
      <c r="BI372" s="43"/>
      <c r="BJ372" s="43"/>
      <c r="BK372" s="43"/>
      <c r="BL372" s="43"/>
      <c r="BM372" s="43"/>
      <c r="BN372" s="43">
        <f t="shared" si="11"/>
        <v>1.645</v>
      </c>
      <c r="BO372" s="43">
        <f>IFERROR(INDEX('WB HCW &amp; Beds'!$F$286:$BM$286,1,MATCH($BN372,$F372:$BM372,0)),"No reported value")</f>
        <v>2004</v>
      </c>
      <c r="BP372" s="43">
        <f>IF(BN372="No reported value",'WB HCW &amp; Beds'!BP$283,BN372)</f>
        <v>1.645</v>
      </c>
    </row>
    <row r="373" spans="2:68" hidden="1" x14ac:dyDescent="0.75">
      <c r="B373" s="43" t="s">
        <v>191</v>
      </c>
      <c r="C373" s="43" t="s">
        <v>174</v>
      </c>
      <c r="D373" s="43" t="s">
        <v>771</v>
      </c>
      <c r="E373" s="43" t="s">
        <v>770</v>
      </c>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v>0.50800000000000001</v>
      </c>
      <c r="AY373" s="43"/>
      <c r="AZ373" s="43"/>
      <c r="BA373" s="43"/>
      <c r="BB373" s="43"/>
      <c r="BC373" s="43"/>
      <c r="BD373" s="43"/>
      <c r="BE373" s="43"/>
      <c r="BF373" s="43"/>
      <c r="BG373" s="43"/>
      <c r="BH373" s="43"/>
      <c r="BI373" s="43"/>
      <c r="BJ373" s="43"/>
      <c r="BK373" s="43"/>
      <c r="BL373" s="43"/>
      <c r="BM373" s="43"/>
      <c r="BN373" s="43">
        <f t="shared" si="11"/>
        <v>0.50800000000000001</v>
      </c>
      <c r="BO373" s="43">
        <f>IFERROR(INDEX('WB HCW &amp; Beds'!$F$286:$BM$286,1,MATCH($BN373,$F373:$BM373,0)),"No reported value")</f>
        <v>2004</v>
      </c>
      <c r="BP373" s="43">
        <f>IF(BN373="No reported value",'WB HCW &amp; Beds'!BP$283,BN373)</f>
        <v>0.50800000000000001</v>
      </c>
    </row>
    <row r="374" spans="2:68" hidden="1" x14ac:dyDescent="0.75">
      <c r="B374" s="43" t="s">
        <v>403</v>
      </c>
      <c r="C374" s="43" t="s">
        <v>51</v>
      </c>
      <c r="D374" s="43" t="s">
        <v>771</v>
      </c>
      <c r="E374" s="43" t="s">
        <v>770</v>
      </c>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t="str">
        <f t="shared" si="11"/>
        <v>No reported value</v>
      </c>
      <c r="BO374" s="43" t="str">
        <f>IFERROR(INDEX('WB HCW &amp; Beds'!$F$286:$BM$286,1,MATCH($BN374,$F374:$BM374,0)),"No reported value")</f>
        <v>No reported value</v>
      </c>
      <c r="BP374" s="43">
        <f>IF(BN374="No reported value",'WB HCW &amp; Beds'!BP$283,BN374)</f>
        <v>0.4</v>
      </c>
    </row>
    <row r="375" spans="2:68" hidden="1" x14ac:dyDescent="0.75">
      <c r="B375" s="43" t="s">
        <v>406</v>
      </c>
      <c r="C375" s="43" t="s">
        <v>52</v>
      </c>
      <c r="D375" s="43" t="s">
        <v>771</v>
      </c>
      <c r="E375" s="43" t="s">
        <v>770</v>
      </c>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v>0.39500000000000002</v>
      </c>
      <c r="AS375" s="43">
        <v>0.44400000000000001</v>
      </c>
      <c r="AT375" s="43">
        <v>0.443</v>
      </c>
      <c r="AU375" s="43">
        <v>0.442</v>
      </c>
      <c r="AV375" s="43">
        <v>0.441</v>
      </c>
      <c r="AW375" s="43">
        <v>0.44</v>
      </c>
      <c r="AX375" s="43"/>
      <c r="AY375" s="43"/>
      <c r="AZ375" s="43"/>
      <c r="BA375" s="43"/>
      <c r="BB375" s="43"/>
      <c r="BC375" s="43"/>
      <c r="BD375" s="43"/>
      <c r="BE375" s="43"/>
      <c r="BF375" s="43"/>
      <c r="BG375" s="43"/>
      <c r="BH375" s="43"/>
      <c r="BI375" s="43"/>
      <c r="BJ375" s="43"/>
      <c r="BK375" s="43"/>
      <c r="BL375" s="43"/>
      <c r="BM375" s="43"/>
      <c r="BN375" s="43">
        <f t="shared" si="11"/>
        <v>0.44</v>
      </c>
      <c r="BO375" s="43">
        <f>IFERROR(INDEX('WB HCW &amp; Beds'!$F$286:$BM$286,1,MATCH($BN375,$F375:$BM375,0)),"No reported value")</f>
        <v>2003</v>
      </c>
      <c r="BP375" s="43">
        <f>IF(BN375="No reported value",'WB HCW &amp; Beds'!BP$283,BN375)</f>
        <v>0.44</v>
      </c>
    </row>
    <row r="376" spans="2:68" hidden="1" x14ac:dyDescent="0.75">
      <c r="B376" s="43" t="s">
        <v>404</v>
      </c>
      <c r="C376" s="43" t="s">
        <v>405</v>
      </c>
      <c r="D376" s="43" t="s">
        <v>771</v>
      </c>
      <c r="E376" s="43" t="s">
        <v>770</v>
      </c>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t="str">
        <f t="shared" si="11"/>
        <v>No reported value</v>
      </c>
      <c r="BO376" s="43" t="str">
        <f>IFERROR(INDEX('WB HCW &amp; Beds'!$F$286:$BM$286,1,MATCH($BN376,$F376:$BM376,0)),"No reported value")</f>
        <v>No reported value</v>
      </c>
      <c r="BP376" s="43">
        <f>IF(BN376="No reported value",'WB HCW &amp; Beds'!BP$283,BN376)</f>
        <v>0.4</v>
      </c>
    </row>
    <row r="377" spans="2:68" hidden="1" x14ac:dyDescent="0.75">
      <c r="B377" s="43" t="s">
        <v>223</v>
      </c>
      <c r="C377" s="43" t="s">
        <v>53</v>
      </c>
      <c r="D377" s="43" t="s">
        <v>771</v>
      </c>
      <c r="E377" s="43" t="s">
        <v>770</v>
      </c>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t="str">
        <f t="shared" si="11"/>
        <v>No reported value</v>
      </c>
      <c r="BO377" s="43" t="str">
        <f>IFERROR(INDEX('WB HCW &amp; Beds'!$F$286:$BM$286,1,MATCH($BN377,$F377:$BM377,0)),"No reported value")</f>
        <v>No reported value</v>
      </c>
      <c r="BP377" s="43">
        <f>IF(BN377="No reported value",'WB HCW &amp; Beds'!BP$283,BN377)</f>
        <v>0.4</v>
      </c>
    </row>
    <row r="378" spans="2:68" hidden="1" x14ac:dyDescent="0.75">
      <c r="B378" s="43" t="s">
        <v>407</v>
      </c>
      <c r="C378" s="43" t="s">
        <v>408</v>
      </c>
      <c r="D378" s="43" t="s">
        <v>771</v>
      </c>
      <c r="E378" s="43" t="s">
        <v>770</v>
      </c>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t="str">
        <f t="shared" si="11"/>
        <v>No reported value</v>
      </c>
      <c r="BO378" s="43" t="str">
        <f>IFERROR(INDEX('WB HCW &amp; Beds'!$F$286:$BM$286,1,MATCH($BN378,$F378:$BM378,0)),"No reported value")</f>
        <v>No reported value</v>
      </c>
      <c r="BP378" s="43">
        <f>IF(BN378="No reported value",'WB HCW &amp; Beds'!BP$283,BN378)</f>
        <v>0.4</v>
      </c>
    </row>
    <row r="379" spans="2:68" hidden="1" x14ac:dyDescent="0.75">
      <c r="B379" s="43" t="s">
        <v>224</v>
      </c>
      <c r="C379" s="43" t="s">
        <v>54</v>
      </c>
      <c r="D379" s="43" t="s">
        <v>771</v>
      </c>
      <c r="E379" s="43" t="s">
        <v>770</v>
      </c>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v>0.32600000000000001</v>
      </c>
      <c r="BD379" s="43">
        <v>0.32500000000000001</v>
      </c>
      <c r="BE379" s="43"/>
      <c r="BF379" s="43"/>
      <c r="BG379" s="43"/>
      <c r="BH379" s="43"/>
      <c r="BI379" s="43"/>
      <c r="BJ379" s="43"/>
      <c r="BK379" s="43"/>
      <c r="BL379" s="43"/>
      <c r="BM379" s="43"/>
      <c r="BN379" s="43">
        <f t="shared" si="11"/>
        <v>0.32500000000000001</v>
      </c>
      <c r="BO379" s="43">
        <f>IFERROR(INDEX('WB HCW &amp; Beds'!$F$286:$BM$286,1,MATCH($BN379,$F379:$BM379,0)),"No reported value")</f>
        <v>2010</v>
      </c>
      <c r="BP379" s="43">
        <f>IF(BN379="No reported value",'WB HCW &amp; Beds'!BP$283,BN379)</f>
        <v>0.32500000000000001</v>
      </c>
    </row>
    <row r="380" spans="2:68" hidden="1" x14ac:dyDescent="0.75">
      <c r="B380" s="43" t="s">
        <v>411</v>
      </c>
      <c r="C380" s="43" t="s">
        <v>412</v>
      </c>
      <c r="D380" s="43" t="s">
        <v>771</v>
      </c>
      <c r="E380" s="43" t="s">
        <v>770</v>
      </c>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t="str">
        <f t="shared" si="11"/>
        <v>No reported value</v>
      </c>
      <c r="BO380" s="43" t="str">
        <f>IFERROR(INDEX('WB HCW &amp; Beds'!$F$286:$BM$286,1,MATCH($BN380,$F380:$BM380,0)),"No reported value")</f>
        <v>No reported value</v>
      </c>
      <c r="BP380" s="43">
        <f>IF(BN380="No reported value",'WB HCW &amp; Beds'!BP$283,BN380)</f>
        <v>0.4</v>
      </c>
    </row>
    <row r="381" spans="2:68" hidden="1" x14ac:dyDescent="0.75">
      <c r="B381" s="43" t="s">
        <v>413</v>
      </c>
      <c r="C381" s="43" t="s">
        <v>414</v>
      </c>
      <c r="D381" s="43" t="s">
        <v>771</v>
      </c>
      <c r="E381" s="43" t="s">
        <v>770</v>
      </c>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t="str">
        <f t="shared" si="11"/>
        <v>No reported value</v>
      </c>
      <c r="BO381" s="43" t="str">
        <f>IFERROR(INDEX('WB HCW &amp; Beds'!$F$286:$BM$286,1,MATCH($BN381,$F381:$BM381,0)),"No reported value")</f>
        <v>No reported value</v>
      </c>
      <c r="BP381" s="43">
        <f>IF(BN381="No reported value",'WB HCW &amp; Beds'!BP$283,BN381)</f>
        <v>0.4</v>
      </c>
    </row>
    <row r="382" spans="2:68" hidden="1" x14ac:dyDescent="0.75">
      <c r="B382" s="43" t="s">
        <v>226</v>
      </c>
      <c r="C382" s="43" t="s">
        <v>166</v>
      </c>
      <c r="D382" s="43" t="s">
        <v>771</v>
      </c>
      <c r="E382" s="43" t="s">
        <v>770</v>
      </c>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t="str">
        <f t="shared" si="11"/>
        <v>No reported value</v>
      </c>
      <c r="BO382" s="43" t="str">
        <f>IFERROR(INDEX('WB HCW &amp; Beds'!$F$286:$BM$286,1,MATCH($BN382,$F382:$BM382,0)),"No reported value")</f>
        <v>No reported value</v>
      </c>
      <c r="BP382" s="43">
        <f>IF(BN382="No reported value",'WB HCW &amp; Beds'!BP$283,BN382)</f>
        <v>0.4</v>
      </c>
    </row>
    <row r="383" spans="2:68" hidden="1" x14ac:dyDescent="0.75">
      <c r="B383" s="43" t="s">
        <v>409</v>
      </c>
      <c r="C383" s="43" t="s">
        <v>410</v>
      </c>
      <c r="D383" s="43" t="s">
        <v>771</v>
      </c>
      <c r="E383" s="43" t="s">
        <v>770</v>
      </c>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t="str">
        <f t="shared" si="11"/>
        <v>No reported value</v>
      </c>
      <c r="BO383" s="43" t="str">
        <f>IFERROR(INDEX('WB HCW &amp; Beds'!$F$286:$BM$286,1,MATCH($BN383,$F383:$BM383,0)),"No reported value")</f>
        <v>No reported value</v>
      </c>
      <c r="BP383" s="43">
        <f>IF(BN383="No reported value",'WB HCW &amp; Beds'!BP$283,BN383)</f>
        <v>0.4</v>
      </c>
    </row>
    <row r="384" spans="2:68" hidden="1" x14ac:dyDescent="0.75">
      <c r="B384" s="43" t="s">
        <v>359</v>
      </c>
      <c r="C384" s="43" t="s">
        <v>55</v>
      </c>
      <c r="D384" s="43" t="s">
        <v>771</v>
      </c>
      <c r="E384" s="43" t="s">
        <v>770</v>
      </c>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t="str">
        <f t="shared" si="11"/>
        <v>No reported value</v>
      </c>
      <c r="BO384" s="43" t="str">
        <f>IFERROR(INDEX('WB HCW &amp; Beds'!$F$286:$BM$286,1,MATCH($BN384,$F384:$BM384,0)),"No reported value")</f>
        <v>No reported value</v>
      </c>
      <c r="BP384" s="43">
        <f>IF(BN384="No reported value",'WB HCW &amp; Beds'!BP$283,BN384)</f>
        <v>0.4</v>
      </c>
    </row>
    <row r="385" spans="2:68" hidden="1" x14ac:dyDescent="0.75">
      <c r="B385" s="43" t="s">
        <v>225</v>
      </c>
      <c r="C385" s="43" t="s">
        <v>56</v>
      </c>
      <c r="D385" s="43" t="s">
        <v>771</v>
      </c>
      <c r="E385" s="43" t="s">
        <v>770</v>
      </c>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t="str">
        <f t="shared" si="11"/>
        <v>No reported value</v>
      </c>
      <c r="BO385" s="43" t="str">
        <f>IFERROR(INDEX('WB HCW &amp; Beds'!$F$286:$BM$286,1,MATCH($BN385,$F385:$BM385,0)),"No reported value")</f>
        <v>No reported value</v>
      </c>
      <c r="BP385" s="43">
        <f>IF(BN385="No reported value",'WB HCW &amp; Beds'!BP$283,BN385)</f>
        <v>0.4</v>
      </c>
    </row>
    <row r="386" spans="2:68" hidden="1" x14ac:dyDescent="0.75">
      <c r="B386" s="43" t="s">
        <v>415</v>
      </c>
      <c r="C386" s="43" t="s">
        <v>57</v>
      </c>
      <c r="D386" s="43" t="s">
        <v>771</v>
      </c>
      <c r="E386" s="43" t="s">
        <v>770</v>
      </c>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t="str">
        <f t="shared" si="11"/>
        <v>No reported value</v>
      </c>
      <c r="BO386" s="43" t="str">
        <f>IFERROR(INDEX('WB HCW &amp; Beds'!$F$286:$BM$286,1,MATCH($BN386,$F386:$BM386,0)),"No reported value")</f>
        <v>No reported value</v>
      </c>
      <c r="BP386" s="43">
        <f>IF(BN386="No reported value",'WB HCW &amp; Beds'!BP$283,BN386)</f>
        <v>0.4</v>
      </c>
    </row>
    <row r="387" spans="2:68" hidden="1" x14ac:dyDescent="0.75">
      <c r="B387" s="43" t="s">
        <v>634</v>
      </c>
      <c r="C387" s="43" t="s">
        <v>635</v>
      </c>
      <c r="D387" s="43" t="s">
        <v>771</v>
      </c>
      <c r="E387" s="43" t="s">
        <v>770</v>
      </c>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t="str">
        <f t="shared" si="11"/>
        <v>No reported value</v>
      </c>
      <c r="BO387" s="43" t="str">
        <f>IFERROR(INDEX('WB HCW &amp; Beds'!$F$286:$BM$286,1,MATCH($BN387,$F387:$BM387,0)),"No reported value")</f>
        <v>No reported value</v>
      </c>
      <c r="BP387" s="43">
        <f>IF(BN387="No reported value",'WB HCW &amp; Beds'!BP$283,BN387)</f>
        <v>0.4</v>
      </c>
    </row>
    <row r="388" spans="2:68" hidden="1" x14ac:dyDescent="0.75">
      <c r="B388" s="43" t="s">
        <v>636</v>
      </c>
      <c r="C388" s="43" t="s">
        <v>637</v>
      </c>
      <c r="D388" s="43" t="s">
        <v>771</v>
      </c>
      <c r="E388" s="43" t="s">
        <v>770</v>
      </c>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t="str">
        <f t="shared" si="11"/>
        <v>No reported value</v>
      </c>
      <c r="BO388" s="43" t="str">
        <f>IFERROR(INDEX('WB HCW &amp; Beds'!$F$286:$BM$286,1,MATCH($BN388,$F388:$BM388,0)),"No reported value")</f>
        <v>No reported value</v>
      </c>
      <c r="BP388" s="43">
        <f>IF(BN388="No reported value",'WB HCW &amp; Beds'!BP$283,BN388)</f>
        <v>0.4</v>
      </c>
    </row>
    <row r="389" spans="2:68" hidden="1" x14ac:dyDescent="0.75">
      <c r="B389" s="43" t="s">
        <v>638</v>
      </c>
      <c r="C389" s="43" t="s">
        <v>639</v>
      </c>
      <c r="D389" s="43" t="s">
        <v>771</v>
      </c>
      <c r="E389" s="43" t="s">
        <v>770</v>
      </c>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t="str">
        <f t="shared" si="11"/>
        <v>No reported value</v>
      </c>
      <c r="BO389" s="43" t="str">
        <f>IFERROR(INDEX('WB HCW &amp; Beds'!$F$286:$BM$286,1,MATCH($BN389,$F389:$BM389,0)),"No reported value")</f>
        <v>No reported value</v>
      </c>
      <c r="BP389" s="43">
        <f>IF(BN389="No reported value",'WB HCW &amp; Beds'!BP$283,BN389)</f>
        <v>0.4</v>
      </c>
    </row>
    <row r="390" spans="2:68" hidden="1" x14ac:dyDescent="0.75">
      <c r="B390" s="43" t="s">
        <v>640</v>
      </c>
      <c r="C390" s="43" t="s">
        <v>641</v>
      </c>
      <c r="D390" s="43" t="s">
        <v>771</v>
      </c>
      <c r="E390" s="43" t="s">
        <v>770</v>
      </c>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v>0.11693482767002192</v>
      </c>
      <c r="BF390" s="43"/>
      <c r="BG390" s="43"/>
      <c r="BH390" s="43"/>
      <c r="BI390" s="43"/>
      <c r="BJ390" s="43"/>
      <c r="BK390" s="43"/>
      <c r="BL390" s="43"/>
      <c r="BM390" s="43"/>
      <c r="BN390" s="43">
        <f t="shared" si="11"/>
        <v>0.11693482767002192</v>
      </c>
      <c r="BO390" s="43">
        <f>IFERROR(INDEX('WB HCW &amp; Beds'!$F$286:$BM$286,1,MATCH($BN390,$F390:$BM390,0)),"No reported value")</f>
        <v>2011</v>
      </c>
      <c r="BP390" s="43">
        <f>IF(BN390="No reported value",'WB HCW &amp; Beds'!BP$283,BN390)</f>
        <v>0.11693482767002192</v>
      </c>
    </row>
    <row r="391" spans="2:68" hidden="1" x14ac:dyDescent="0.75">
      <c r="B391" s="43" t="s">
        <v>242</v>
      </c>
      <c r="C391" s="43" t="s">
        <v>58</v>
      </c>
      <c r="D391" s="43" t="s">
        <v>771</v>
      </c>
      <c r="E391" s="43" t="s">
        <v>770</v>
      </c>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v>0</v>
      </c>
      <c r="BJ391" s="43"/>
      <c r="BK391" s="43"/>
      <c r="BL391" s="43"/>
      <c r="BM391" s="43"/>
      <c r="BN391" s="43">
        <f t="shared" si="11"/>
        <v>0</v>
      </c>
      <c r="BO391" s="43">
        <f>IFERROR(INDEX('WB HCW &amp; Beds'!$F$286:$BM$286,1,MATCH($BN391,$F391:$BM391,0)),"No reported value")</f>
        <v>2015</v>
      </c>
      <c r="BP391" s="43">
        <f>IF(BN391="No reported value",'WB HCW &amp; Beds'!BP$283,BN391)</f>
        <v>0</v>
      </c>
    </row>
    <row r="392" spans="2:68" hidden="1" x14ac:dyDescent="0.75">
      <c r="B392" s="43" t="s">
        <v>642</v>
      </c>
      <c r="C392" s="43" t="s">
        <v>643</v>
      </c>
      <c r="D392" s="43" t="s">
        <v>771</v>
      </c>
      <c r="E392" s="43" t="s">
        <v>770</v>
      </c>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t="str">
        <f t="shared" si="11"/>
        <v>No reported value</v>
      </c>
      <c r="BO392" s="43" t="str">
        <f>IFERROR(INDEX('WB HCW &amp; Beds'!$F$286:$BM$286,1,MATCH($BN392,$F392:$BM392,0)),"No reported value")</f>
        <v>No reported value</v>
      </c>
      <c r="BP392" s="43">
        <f>IF(BN392="No reported value",'WB HCW &amp; Beds'!BP$283,BN392)</f>
        <v>0.4</v>
      </c>
    </row>
    <row r="393" spans="2:68" hidden="1" x14ac:dyDescent="0.75">
      <c r="B393" s="43" t="s">
        <v>421</v>
      </c>
      <c r="C393" s="43" t="s">
        <v>422</v>
      </c>
      <c r="D393" s="43" t="s">
        <v>771</v>
      </c>
      <c r="E393" s="43" t="s">
        <v>770</v>
      </c>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t="str">
        <f t="shared" si="11"/>
        <v>No reported value</v>
      </c>
      <c r="BO393" s="43" t="str">
        <f>IFERROR(INDEX('WB HCW &amp; Beds'!$F$286:$BM$286,1,MATCH($BN393,$F393:$BM393,0)),"No reported value")</f>
        <v>No reported value</v>
      </c>
      <c r="BP393" s="43">
        <f>IF(BN393="No reported value",'WB HCW &amp; Beds'!BP$283,BN393)</f>
        <v>0.4</v>
      </c>
    </row>
    <row r="394" spans="2:68" hidden="1" x14ac:dyDescent="0.75">
      <c r="B394" s="43" t="s">
        <v>417</v>
      </c>
      <c r="C394" s="43" t="s">
        <v>59</v>
      </c>
      <c r="D394" s="43" t="s">
        <v>771</v>
      </c>
      <c r="E394" s="43" t="s">
        <v>770</v>
      </c>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v>0.154</v>
      </c>
      <c r="AL394" s="43"/>
      <c r="AM394" s="43"/>
      <c r="AN394" s="43"/>
      <c r="AO394" s="43"/>
      <c r="AP394" s="43"/>
      <c r="AQ394" s="43"/>
      <c r="AR394" s="43"/>
      <c r="AS394" s="43"/>
      <c r="AT394" s="43"/>
      <c r="AU394" s="43"/>
      <c r="AV394" s="43"/>
      <c r="AW394" s="43">
        <v>0.627</v>
      </c>
      <c r="AX394" s="43">
        <v>0.621</v>
      </c>
      <c r="AY394" s="43">
        <v>0.627</v>
      </c>
      <c r="AZ394" s="43">
        <v>0.61399999999999999</v>
      </c>
      <c r="BA394" s="43">
        <v>0.61399999999999999</v>
      </c>
      <c r="BB394" s="43">
        <v>0.63</v>
      </c>
      <c r="BC394" s="43">
        <v>0.62</v>
      </c>
      <c r="BD394" s="43">
        <v>0.57799999999999996</v>
      </c>
      <c r="BE394" s="43">
        <v>0.504</v>
      </c>
      <c r="BF394" s="43"/>
      <c r="BG394" s="43"/>
      <c r="BH394" s="43"/>
      <c r="BI394" s="43"/>
      <c r="BJ394" s="43">
        <v>0.58099999999999996</v>
      </c>
      <c r="BK394" s="43"/>
      <c r="BL394" s="43"/>
      <c r="BM394" s="43"/>
      <c r="BN394" s="43">
        <f t="shared" si="11"/>
        <v>0.58099999999999996</v>
      </c>
      <c r="BO394" s="43">
        <f>IFERROR(INDEX('WB HCW &amp; Beds'!$F$286:$BM$286,1,MATCH($BN394,$F394:$BM394,0)),"No reported value")</f>
        <v>2016</v>
      </c>
      <c r="BP394" s="43">
        <f>IF(BN394="No reported value",'WB HCW &amp; Beds'!BP$283,BN394)</f>
        <v>0.58099999999999996</v>
      </c>
    </row>
    <row r="395" spans="2:68" hidden="1" x14ac:dyDescent="0.75">
      <c r="B395" s="43" t="s">
        <v>489</v>
      </c>
      <c r="C395" s="43" t="s">
        <v>490</v>
      </c>
      <c r="D395" s="43" t="s">
        <v>771</v>
      </c>
      <c r="E395" s="43" t="s">
        <v>770</v>
      </c>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t="str">
        <f t="shared" si="11"/>
        <v>No reported value</v>
      </c>
      <c r="BO395" s="43" t="str">
        <f>IFERROR(INDEX('WB HCW &amp; Beds'!$F$286:$BM$286,1,MATCH($BN395,$F395:$BM395,0)),"No reported value")</f>
        <v>No reported value</v>
      </c>
      <c r="BP395" s="43">
        <f>IF(BN395="No reported value",'WB HCW &amp; Beds'!BP$283,BN395)</f>
        <v>0.4</v>
      </c>
    </row>
    <row r="396" spans="2:68" hidden="1" x14ac:dyDescent="0.75">
      <c r="B396" s="43" t="s">
        <v>420</v>
      </c>
      <c r="C396" s="43" t="s">
        <v>60</v>
      </c>
      <c r="D396" s="43" t="s">
        <v>771</v>
      </c>
      <c r="E396" s="43" t="s">
        <v>770</v>
      </c>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t="str">
        <f t="shared" si="11"/>
        <v>No reported value</v>
      </c>
      <c r="BO396" s="43" t="str">
        <f>IFERROR(INDEX('WB HCW &amp; Beds'!$F$286:$BM$286,1,MATCH($BN396,$F396:$BM396,0)),"No reported value")</f>
        <v>No reported value</v>
      </c>
      <c r="BP396" s="43">
        <f>IF(BN396="No reported value",'WB HCW &amp; Beds'!BP$283,BN396)</f>
        <v>0.4</v>
      </c>
    </row>
    <row r="397" spans="2:68" hidden="1" x14ac:dyDescent="0.75">
      <c r="B397" s="43" t="s">
        <v>418</v>
      </c>
      <c r="C397" s="43" t="s">
        <v>61</v>
      </c>
      <c r="D397" s="43" t="s">
        <v>771</v>
      </c>
      <c r="E397" s="43" t="s">
        <v>770</v>
      </c>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v>0.36399999999999999</v>
      </c>
      <c r="AY397" s="43"/>
      <c r="AZ397" s="43"/>
      <c r="BA397" s="43"/>
      <c r="BB397" s="43"/>
      <c r="BC397" s="43"/>
      <c r="BD397" s="43"/>
      <c r="BE397" s="43"/>
      <c r="BF397" s="43"/>
      <c r="BG397" s="43"/>
      <c r="BH397" s="43"/>
      <c r="BI397" s="43"/>
      <c r="BJ397" s="43"/>
      <c r="BK397" s="43"/>
      <c r="BL397" s="43"/>
      <c r="BM397" s="43"/>
      <c r="BN397" s="43">
        <f t="shared" si="11"/>
        <v>0.36399999999999999</v>
      </c>
      <c r="BO397" s="43">
        <f>IFERROR(INDEX('WB HCW &amp; Beds'!$F$286:$BM$286,1,MATCH($BN397,$F397:$BM397,0)),"No reported value")</f>
        <v>2004</v>
      </c>
      <c r="BP397" s="43">
        <f>IF(BN397="No reported value",'WB HCW &amp; Beds'!BP$283,BN397)</f>
        <v>0.36399999999999999</v>
      </c>
    </row>
    <row r="398" spans="2:68" hidden="1" x14ac:dyDescent="0.75">
      <c r="B398" s="43" t="s">
        <v>419</v>
      </c>
      <c r="C398" s="43" t="s">
        <v>62</v>
      </c>
      <c r="D398" s="43" t="s">
        <v>771</v>
      </c>
      <c r="E398" s="43" t="s">
        <v>770</v>
      </c>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v>6.0000000000000001E-3</v>
      </c>
      <c r="AY398" s="43"/>
      <c r="AZ398" s="43"/>
      <c r="BA398" s="43"/>
      <c r="BB398" s="43"/>
      <c r="BC398" s="43"/>
      <c r="BD398" s="43"/>
      <c r="BE398" s="43"/>
      <c r="BF398" s="43"/>
      <c r="BG398" s="43"/>
      <c r="BH398" s="43"/>
      <c r="BI398" s="43"/>
      <c r="BJ398" s="43"/>
      <c r="BK398" s="43"/>
      <c r="BL398" s="43"/>
      <c r="BM398" s="43"/>
      <c r="BN398" s="43">
        <f t="shared" si="11"/>
        <v>6.0000000000000001E-3</v>
      </c>
      <c r="BO398" s="43">
        <f>IFERROR(INDEX('WB HCW &amp; Beds'!$F$286:$BM$286,1,MATCH($BN398,$F398:$BM398,0)),"No reported value")</f>
        <v>2004</v>
      </c>
      <c r="BP398" s="43">
        <f>IF(BN398="No reported value",'WB HCW &amp; Beds'!BP$283,BN398)</f>
        <v>6.0000000000000001E-3</v>
      </c>
    </row>
    <row r="399" spans="2:68" hidden="1" x14ac:dyDescent="0.75">
      <c r="B399" s="43" t="s">
        <v>416</v>
      </c>
      <c r="C399" s="43" t="s">
        <v>63</v>
      </c>
      <c r="D399" s="43" t="s">
        <v>771</v>
      </c>
      <c r="E399" s="43" t="s">
        <v>770</v>
      </c>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t="str">
        <f t="shared" si="11"/>
        <v>No reported value</v>
      </c>
      <c r="BO399" s="43" t="str">
        <f>IFERROR(INDEX('WB HCW &amp; Beds'!$F$286:$BM$286,1,MATCH($BN399,$F399:$BM399,0)),"No reported value")</f>
        <v>No reported value</v>
      </c>
      <c r="BP399" s="43">
        <f>IF(BN399="No reported value",'WB HCW &amp; Beds'!BP$283,BN399)</f>
        <v>0.4</v>
      </c>
    </row>
    <row r="400" spans="2:68" hidden="1" x14ac:dyDescent="0.75">
      <c r="B400" s="43" t="s">
        <v>423</v>
      </c>
      <c r="C400" s="43" t="s">
        <v>64</v>
      </c>
      <c r="D400" s="43" t="s">
        <v>771</v>
      </c>
      <c r="E400" s="43" t="s">
        <v>770</v>
      </c>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t="str">
        <f t="shared" si="11"/>
        <v>No reported value</v>
      </c>
      <c r="BO400" s="43" t="str">
        <f>IFERROR(INDEX('WB HCW &amp; Beds'!$F$286:$BM$286,1,MATCH($BN400,$F400:$BM400,0)),"No reported value")</f>
        <v>No reported value</v>
      </c>
      <c r="BP400" s="43">
        <f>IF(BN400="No reported value",'WB HCW &amp; Beds'!BP$283,BN400)</f>
        <v>0.4</v>
      </c>
    </row>
    <row r="401" spans="2:68" hidden="1" x14ac:dyDescent="0.75">
      <c r="B401" s="43" t="s">
        <v>424</v>
      </c>
      <c r="C401" s="43" t="s">
        <v>65</v>
      </c>
      <c r="D401" s="43" t="s">
        <v>771</v>
      </c>
      <c r="E401" s="43" t="s">
        <v>770</v>
      </c>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t="str">
        <f t="shared" si="11"/>
        <v>No reported value</v>
      </c>
      <c r="BO401" s="43" t="str">
        <f>IFERROR(INDEX('WB HCW &amp; Beds'!$F$286:$BM$286,1,MATCH($BN401,$F401:$BM401,0)),"No reported value")</f>
        <v>No reported value</v>
      </c>
      <c r="BP401" s="43">
        <f>IF(BN401="No reported value",'WB HCW &amp; Beds'!BP$283,BN401)</f>
        <v>0.4</v>
      </c>
    </row>
    <row r="402" spans="2:68" hidden="1" x14ac:dyDescent="0.75">
      <c r="B402" s="43" t="s">
        <v>425</v>
      </c>
      <c r="C402" s="43" t="s">
        <v>66</v>
      </c>
      <c r="D402" s="43" t="s">
        <v>771</v>
      </c>
      <c r="E402" s="43" t="s">
        <v>770</v>
      </c>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v>0.26800000000000002</v>
      </c>
      <c r="BC402" s="43"/>
      <c r="BD402" s="43"/>
      <c r="BE402" s="43"/>
      <c r="BF402" s="43">
        <v>0.23300000000000001</v>
      </c>
      <c r="BG402" s="43">
        <v>0.251</v>
      </c>
      <c r="BH402" s="43">
        <v>0.255</v>
      </c>
      <c r="BI402" s="43">
        <v>0.307</v>
      </c>
      <c r="BJ402" s="43">
        <v>0.31900000000000001</v>
      </c>
      <c r="BK402" s="43"/>
      <c r="BL402" s="43"/>
      <c r="BM402" s="43"/>
      <c r="BN402" s="43">
        <f t="shared" si="11"/>
        <v>0.31900000000000001</v>
      </c>
      <c r="BO402" s="43">
        <f>IFERROR(INDEX('WB HCW &amp; Beds'!$F$286:$BM$286,1,MATCH($BN402,$F402:$BM402,0)),"No reported value")</f>
        <v>2016</v>
      </c>
      <c r="BP402" s="43">
        <f>IF(BN402="No reported value",'WB HCW &amp; Beds'!BP$283,BN402)</f>
        <v>0.31900000000000001</v>
      </c>
    </row>
    <row r="403" spans="2:68" hidden="1" x14ac:dyDescent="0.75">
      <c r="B403" s="43" t="s">
        <v>427</v>
      </c>
      <c r="C403" s="43" t="s">
        <v>67</v>
      </c>
      <c r="D403" s="43" t="s">
        <v>771</v>
      </c>
      <c r="E403" s="43" t="s">
        <v>770</v>
      </c>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v>0.193</v>
      </c>
      <c r="AY403" s="43"/>
      <c r="AZ403" s="43"/>
      <c r="BA403" s="43"/>
      <c r="BB403" s="43"/>
      <c r="BC403" s="43"/>
      <c r="BD403" s="43"/>
      <c r="BE403" s="43"/>
      <c r="BF403" s="43"/>
      <c r="BG403" s="43"/>
      <c r="BH403" s="43"/>
      <c r="BI403" s="43"/>
      <c r="BJ403" s="43"/>
      <c r="BK403" s="43"/>
      <c r="BL403" s="43"/>
      <c r="BM403" s="43"/>
      <c r="BN403" s="43">
        <f t="shared" si="11"/>
        <v>0.193</v>
      </c>
      <c r="BO403" s="43">
        <f>IFERROR(INDEX('WB HCW &amp; Beds'!$F$286:$BM$286,1,MATCH($BN403,$F403:$BM403,0)),"No reported value")</f>
        <v>2004</v>
      </c>
      <c r="BP403" s="43">
        <f>IF(BN403="No reported value",'WB HCW &amp; Beds'!BP$283,BN403)</f>
        <v>0.193</v>
      </c>
    </row>
    <row r="404" spans="2:68" hidden="1" x14ac:dyDescent="0.75">
      <c r="B404" s="43" t="s">
        <v>426</v>
      </c>
      <c r="C404" s="43" t="s">
        <v>68</v>
      </c>
      <c r="D404" s="43" t="s">
        <v>771</v>
      </c>
      <c r="E404" s="43" t="s">
        <v>770</v>
      </c>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t="str">
        <f t="shared" si="11"/>
        <v>No reported value</v>
      </c>
      <c r="BO404" s="43" t="str">
        <f>IFERROR(INDEX('WB HCW &amp; Beds'!$F$286:$BM$286,1,MATCH($BN404,$F404:$BM404,0)),"No reported value")</f>
        <v>No reported value</v>
      </c>
      <c r="BP404" s="43">
        <f>IF(BN404="No reported value",'WB HCW &amp; Beds'!BP$283,BN404)</f>
        <v>0.4</v>
      </c>
    </row>
    <row r="405" spans="2:68" hidden="1" x14ac:dyDescent="0.75">
      <c r="B405" s="43" t="s">
        <v>428</v>
      </c>
      <c r="C405" s="43" t="s">
        <v>69</v>
      </c>
      <c r="D405" s="43" t="s">
        <v>771</v>
      </c>
      <c r="E405" s="43" t="s">
        <v>770</v>
      </c>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t="str">
        <f t="shared" si="11"/>
        <v>No reported value</v>
      </c>
      <c r="BO405" s="43" t="str">
        <f>IFERROR(INDEX('WB HCW &amp; Beds'!$F$286:$BM$286,1,MATCH($BN405,$F405:$BM405,0)),"No reported value")</f>
        <v>No reported value</v>
      </c>
      <c r="BP405" s="43">
        <f>IF(BN405="No reported value",'WB HCW &amp; Beds'!BP$283,BN405)</f>
        <v>0.4</v>
      </c>
    </row>
    <row r="406" spans="2:68" hidden="1" x14ac:dyDescent="0.75">
      <c r="B406" s="43" t="s">
        <v>199</v>
      </c>
      <c r="C406" s="43" t="s">
        <v>70</v>
      </c>
      <c r="D406" s="43" t="s">
        <v>771</v>
      </c>
      <c r="E406" s="43" t="s">
        <v>770</v>
      </c>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t="str">
        <f t="shared" si="11"/>
        <v>No reported value</v>
      </c>
      <c r="BO406" s="43" t="str">
        <f>IFERROR(INDEX('WB HCW &amp; Beds'!$F$286:$BM$286,1,MATCH($BN406,$F406:$BM406,0)),"No reported value")</f>
        <v>No reported value</v>
      </c>
      <c r="BP406" s="43">
        <f>IF(BN406="No reported value",'WB HCW &amp; Beds'!BP$283,BN406)</f>
        <v>0.4</v>
      </c>
    </row>
    <row r="407" spans="2:68" hidden="1" x14ac:dyDescent="0.75">
      <c r="B407" s="43" t="s">
        <v>433</v>
      </c>
      <c r="C407" s="43" t="s">
        <v>71</v>
      </c>
      <c r="D407" s="43" t="s">
        <v>771</v>
      </c>
      <c r="E407" s="43" t="s">
        <v>770</v>
      </c>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t="str">
        <f t="shared" si="11"/>
        <v>No reported value</v>
      </c>
      <c r="BO407" s="43" t="str">
        <f>IFERROR(INDEX('WB HCW &amp; Beds'!$F$286:$BM$286,1,MATCH($BN407,$F407:$BM407,0)),"No reported value")</f>
        <v>No reported value</v>
      </c>
      <c r="BP407" s="43">
        <f>IF(BN407="No reported value",'WB HCW &amp; Beds'!BP$283,BN407)</f>
        <v>0.4</v>
      </c>
    </row>
    <row r="408" spans="2:68" hidden="1" x14ac:dyDescent="0.75">
      <c r="B408" s="43" t="s">
        <v>247</v>
      </c>
      <c r="C408" s="43" t="s">
        <v>72</v>
      </c>
      <c r="D408" s="43" t="s">
        <v>771</v>
      </c>
      <c r="E408" s="43" t="s">
        <v>770</v>
      </c>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v>0.125</v>
      </c>
      <c r="AY408" s="43"/>
      <c r="AZ408" s="43"/>
      <c r="BA408" s="43"/>
      <c r="BB408" s="43"/>
      <c r="BC408" s="43"/>
      <c r="BD408" s="43"/>
      <c r="BE408" s="43"/>
      <c r="BF408" s="43"/>
      <c r="BG408" s="43"/>
      <c r="BH408" s="43"/>
      <c r="BI408" s="43"/>
      <c r="BJ408" s="43"/>
      <c r="BK408" s="43"/>
      <c r="BL408" s="43"/>
      <c r="BM408" s="43"/>
      <c r="BN408" s="43">
        <f t="shared" si="11"/>
        <v>0.125</v>
      </c>
      <c r="BO408" s="43">
        <f>IFERROR(INDEX('WB HCW &amp; Beds'!$F$286:$BM$286,1,MATCH($BN408,$F408:$BM408,0)),"No reported value")</f>
        <v>2004</v>
      </c>
      <c r="BP408" s="43">
        <f>IF(BN408="No reported value",'WB HCW &amp; Beds'!BP$283,BN408)</f>
        <v>0.125</v>
      </c>
    </row>
    <row r="409" spans="2:68" hidden="1" x14ac:dyDescent="0.75">
      <c r="B409" s="43" t="s">
        <v>249</v>
      </c>
      <c r="C409" s="43" t="s">
        <v>73</v>
      </c>
      <c r="D409" s="43" t="s">
        <v>771</v>
      </c>
      <c r="E409" s="43" t="s">
        <v>770</v>
      </c>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t="str">
        <f t="shared" si="11"/>
        <v>No reported value</v>
      </c>
      <c r="BO409" s="43" t="str">
        <f>IFERROR(INDEX('WB HCW &amp; Beds'!$F$286:$BM$286,1,MATCH($BN409,$F409:$BM409,0)),"No reported value")</f>
        <v>No reported value</v>
      </c>
      <c r="BP409" s="43">
        <f>IF(BN409="No reported value",'WB HCW &amp; Beds'!BP$283,BN409)</f>
        <v>0.4</v>
      </c>
    </row>
    <row r="410" spans="2:68" hidden="1" x14ac:dyDescent="0.75">
      <c r="B410" s="43" t="s">
        <v>531</v>
      </c>
      <c r="C410" s="43" t="s">
        <v>532</v>
      </c>
      <c r="D410" s="43" t="s">
        <v>771</v>
      </c>
      <c r="E410" s="43" t="s">
        <v>770</v>
      </c>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v>0.41599999999999998</v>
      </c>
      <c r="AK410" s="43">
        <v>0.41499999999999998</v>
      </c>
      <c r="AL410" s="43">
        <v>0.41099999999999998</v>
      </c>
      <c r="AM410" s="43">
        <v>0.40600000000000003</v>
      </c>
      <c r="AN410" s="43">
        <v>0.40100000000000002</v>
      </c>
      <c r="AO410" s="43">
        <v>0.39600000000000002</v>
      </c>
      <c r="AP410" s="43">
        <v>0.39200000000000002</v>
      </c>
      <c r="AQ410" s="43">
        <v>0.38700000000000001</v>
      </c>
      <c r="AR410" s="43">
        <v>0.72099999999999997</v>
      </c>
      <c r="AS410" s="43">
        <v>0.71199999999999997</v>
      </c>
      <c r="AT410" s="43"/>
      <c r="AU410" s="43">
        <v>1.0389999999999999</v>
      </c>
      <c r="AV410" s="43"/>
      <c r="AW410" s="43"/>
      <c r="AX410" s="43"/>
      <c r="AY410" s="43"/>
      <c r="AZ410" s="43"/>
      <c r="BA410" s="43"/>
      <c r="BB410" s="43"/>
      <c r="BC410" s="43"/>
      <c r="BD410" s="43"/>
      <c r="BE410" s="43"/>
      <c r="BF410" s="43"/>
      <c r="BG410" s="43"/>
      <c r="BH410" s="43"/>
      <c r="BI410" s="43"/>
      <c r="BJ410" s="43"/>
      <c r="BK410" s="43"/>
      <c r="BL410" s="43"/>
      <c r="BM410" s="43"/>
      <c r="BN410" s="43">
        <f t="shared" si="11"/>
        <v>1.0389999999999999</v>
      </c>
      <c r="BO410" s="43">
        <f>IFERROR(INDEX('WB HCW &amp; Beds'!$F$286:$BM$286,1,MATCH($BN410,$F410:$BM410,0)),"No reported value")</f>
        <v>2001</v>
      </c>
      <c r="BP410" s="43">
        <f>IF(BN410="No reported value",'WB HCW &amp; Beds'!BP$283,BN410)</f>
        <v>1.0389999999999999</v>
      </c>
    </row>
    <row r="411" spans="2:68" hidden="1" x14ac:dyDescent="0.75">
      <c r="B411" s="43" t="s">
        <v>430</v>
      </c>
      <c r="C411" s="43" t="s">
        <v>74</v>
      </c>
      <c r="D411" s="43" t="s">
        <v>771</v>
      </c>
      <c r="E411" s="43" t="s">
        <v>770</v>
      </c>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v>0.32600000000000001</v>
      </c>
      <c r="AY411" s="43">
        <v>0.32100000000000001</v>
      </c>
      <c r="AZ411" s="43">
        <v>0.33200000000000002</v>
      </c>
      <c r="BA411" s="43">
        <v>0.34699999999999998</v>
      </c>
      <c r="BB411" s="43">
        <v>0.36199999999999999</v>
      </c>
      <c r="BC411" s="43">
        <v>0.377</v>
      </c>
      <c r="BD411" s="43"/>
      <c r="BE411" s="43"/>
      <c r="BF411" s="43"/>
      <c r="BG411" s="43"/>
      <c r="BH411" s="43"/>
      <c r="BI411" s="43"/>
      <c r="BJ411" s="43"/>
      <c r="BK411" s="43"/>
      <c r="BL411" s="43"/>
      <c r="BM411" s="43"/>
      <c r="BN411" s="43">
        <f t="shared" si="11"/>
        <v>0.377</v>
      </c>
      <c r="BO411" s="43">
        <f>IFERROR(INDEX('WB HCW &amp; Beds'!$F$286:$BM$286,1,MATCH($BN411,$F411:$BM411,0)),"No reported value")</f>
        <v>2009</v>
      </c>
      <c r="BP411" s="43">
        <f>IF(BN411="No reported value",'WB HCW &amp; Beds'!BP$283,BN411)</f>
        <v>0.377</v>
      </c>
    </row>
    <row r="412" spans="2:68" hidden="1" x14ac:dyDescent="0.75">
      <c r="B412" s="43" t="s">
        <v>432</v>
      </c>
      <c r="C412" s="43" t="s">
        <v>75</v>
      </c>
      <c r="D412" s="43" t="s">
        <v>771</v>
      </c>
      <c r="E412" s="43" t="s">
        <v>770</v>
      </c>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t="str">
        <f t="shared" si="11"/>
        <v>No reported value</v>
      </c>
      <c r="BO412" s="43" t="str">
        <f>IFERROR(INDEX('WB HCW &amp; Beds'!$F$286:$BM$286,1,MATCH($BN412,$F412:$BM412,0)),"No reported value")</f>
        <v>No reported value</v>
      </c>
      <c r="BP412" s="43">
        <f>IF(BN412="No reported value",'WB HCW &amp; Beds'!BP$283,BN412)</f>
        <v>0.4</v>
      </c>
    </row>
    <row r="413" spans="2:68" hidden="1" x14ac:dyDescent="0.75">
      <c r="B413" s="43" t="s">
        <v>439</v>
      </c>
      <c r="C413" s="43" t="s">
        <v>440</v>
      </c>
      <c r="D413" s="43" t="s">
        <v>771</v>
      </c>
      <c r="E413" s="43" t="s">
        <v>770</v>
      </c>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t="str">
        <f t="shared" si="11"/>
        <v>No reported value</v>
      </c>
      <c r="BO413" s="43" t="str">
        <f>IFERROR(INDEX('WB HCW &amp; Beds'!$F$286:$BM$286,1,MATCH($BN413,$F413:$BM413,0)),"No reported value")</f>
        <v>No reported value</v>
      </c>
      <c r="BP413" s="43">
        <f>IF(BN413="No reported value",'WB HCW &amp; Beds'!BP$283,BN413)</f>
        <v>0.4</v>
      </c>
    </row>
    <row r="414" spans="2:68" hidden="1" x14ac:dyDescent="0.75">
      <c r="B414" s="43" t="s">
        <v>434</v>
      </c>
      <c r="C414" s="43" t="s">
        <v>76</v>
      </c>
      <c r="D414" s="43" t="s">
        <v>771</v>
      </c>
      <c r="E414" s="43" t="s">
        <v>770</v>
      </c>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t="str">
        <f t="shared" si="11"/>
        <v>No reported value</v>
      </c>
      <c r="BO414" s="43" t="str">
        <f>IFERROR(INDEX('WB HCW &amp; Beds'!$F$286:$BM$286,1,MATCH($BN414,$F414:$BM414,0)),"No reported value")</f>
        <v>No reported value</v>
      </c>
      <c r="BP414" s="43">
        <f>IF(BN414="No reported value",'WB HCW &amp; Beds'!BP$283,BN414)</f>
        <v>0.4</v>
      </c>
    </row>
    <row r="415" spans="2:68" hidden="1" x14ac:dyDescent="0.75">
      <c r="B415" s="43" t="s">
        <v>446</v>
      </c>
      <c r="C415" s="43" t="s">
        <v>77</v>
      </c>
      <c r="D415" s="43" t="s">
        <v>771</v>
      </c>
      <c r="E415" s="43" t="s">
        <v>770</v>
      </c>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t="str">
        <f t="shared" ref="BN415:BN478" si="12">IFERROR(LOOKUP(2,1/(ISNUMBER(F415:BM415)),F415:BM415),"No reported value")</f>
        <v>No reported value</v>
      </c>
      <c r="BO415" s="43" t="str">
        <f>IFERROR(INDEX('WB HCW &amp; Beds'!$F$286:$BM$286,1,MATCH($BN415,$F415:$BM415,0)),"No reported value")</f>
        <v>No reported value</v>
      </c>
      <c r="BP415" s="43">
        <f>IF(BN415="No reported value",'WB HCW &amp; Beds'!BP$283,BN415)</f>
        <v>0.4</v>
      </c>
    </row>
    <row r="416" spans="2:68" hidden="1" x14ac:dyDescent="0.75">
      <c r="B416" s="43" t="s">
        <v>201</v>
      </c>
      <c r="C416" s="43" t="s">
        <v>78</v>
      </c>
      <c r="D416" s="43" t="s">
        <v>771</v>
      </c>
      <c r="E416" s="43" t="s">
        <v>770</v>
      </c>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v>6.0999999999999999E-2</v>
      </c>
      <c r="BE416" s="43"/>
      <c r="BF416" s="43"/>
      <c r="BG416" s="43"/>
      <c r="BH416" s="43"/>
      <c r="BI416" s="43"/>
      <c r="BJ416" s="43"/>
      <c r="BK416" s="43"/>
      <c r="BL416" s="43"/>
      <c r="BM416" s="43"/>
      <c r="BN416" s="43">
        <f t="shared" si="12"/>
        <v>6.0999999999999999E-2</v>
      </c>
      <c r="BO416" s="43">
        <f>IFERROR(INDEX('WB HCW &amp; Beds'!$F$286:$BM$286,1,MATCH($BN416,$F416:$BM416,0)),"No reported value")</f>
        <v>2010</v>
      </c>
      <c r="BP416" s="43">
        <f>IF(BN416="No reported value",'WB HCW &amp; Beds'!BP$283,BN416)</f>
        <v>6.0999999999999999E-2</v>
      </c>
    </row>
    <row r="417" spans="2:68" hidden="1" x14ac:dyDescent="0.75">
      <c r="B417" s="43" t="s">
        <v>447</v>
      </c>
      <c r="C417" s="43" t="s">
        <v>79</v>
      </c>
      <c r="D417" s="43" t="s">
        <v>771</v>
      </c>
      <c r="E417" s="43" t="s">
        <v>770</v>
      </c>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t="str">
        <f t="shared" si="12"/>
        <v>No reported value</v>
      </c>
      <c r="BO417" s="43" t="str">
        <f>IFERROR(INDEX('WB HCW &amp; Beds'!$F$286:$BM$286,1,MATCH($BN417,$F417:$BM417,0)),"No reported value")</f>
        <v>No reported value</v>
      </c>
      <c r="BP417" s="43">
        <f>IF(BN417="No reported value",'WB HCW &amp; Beds'!BP$283,BN417)</f>
        <v>0.4</v>
      </c>
    </row>
    <row r="418" spans="2:68" hidden="1" x14ac:dyDescent="0.75">
      <c r="B418" s="43" t="s">
        <v>533</v>
      </c>
      <c r="C418" s="43" t="s">
        <v>80</v>
      </c>
      <c r="D418" s="43" t="s">
        <v>771</v>
      </c>
      <c r="E418" s="43" t="s">
        <v>770</v>
      </c>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t="str">
        <f t="shared" si="12"/>
        <v>No reported value</v>
      </c>
      <c r="BO418" s="43" t="str">
        <f>IFERROR(INDEX('WB HCW &amp; Beds'!$F$286:$BM$286,1,MATCH($BN418,$F418:$BM418,0)),"No reported value")</f>
        <v>No reported value</v>
      </c>
      <c r="BP418" s="43">
        <f>IF(BN418="No reported value",'WB HCW &amp; Beds'!BP$283,BN418)</f>
        <v>0.4</v>
      </c>
    </row>
    <row r="419" spans="2:68" hidden="1" x14ac:dyDescent="0.75">
      <c r="B419" s="43" t="s">
        <v>437</v>
      </c>
      <c r="C419" s="43" t="s">
        <v>438</v>
      </c>
      <c r="D419" s="43" t="s">
        <v>771</v>
      </c>
      <c r="E419" s="43" t="s">
        <v>770</v>
      </c>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t="str">
        <f t="shared" si="12"/>
        <v>No reported value</v>
      </c>
      <c r="BO419" s="43" t="str">
        <f>IFERROR(INDEX('WB HCW &amp; Beds'!$F$286:$BM$286,1,MATCH($BN419,$F419:$BM419,0)),"No reported value")</f>
        <v>No reported value</v>
      </c>
      <c r="BP419" s="43">
        <f>IF(BN419="No reported value",'WB HCW &amp; Beds'!BP$283,BN419)</f>
        <v>0.4</v>
      </c>
    </row>
    <row r="420" spans="2:68" hidden="1" x14ac:dyDescent="0.75">
      <c r="B420" s="43" t="s">
        <v>444</v>
      </c>
      <c r="C420" s="43" t="s">
        <v>445</v>
      </c>
      <c r="D420" s="43" t="s">
        <v>771</v>
      </c>
      <c r="E420" s="43" t="s">
        <v>770</v>
      </c>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t="str">
        <f t="shared" si="12"/>
        <v>No reported value</v>
      </c>
      <c r="BO420" s="43" t="str">
        <f>IFERROR(INDEX('WB HCW &amp; Beds'!$F$286:$BM$286,1,MATCH($BN420,$F420:$BM420,0)),"No reported value")</f>
        <v>No reported value</v>
      </c>
      <c r="BP420" s="43">
        <f>IF(BN420="No reported value",'WB HCW &amp; Beds'!BP$283,BN420)</f>
        <v>0.4</v>
      </c>
    </row>
    <row r="421" spans="2:68" hidden="1" x14ac:dyDescent="0.75">
      <c r="B421" s="43" t="s">
        <v>453</v>
      </c>
      <c r="C421" s="43" t="s">
        <v>454</v>
      </c>
      <c r="D421" s="43" t="s">
        <v>771</v>
      </c>
      <c r="E421" s="43" t="s">
        <v>770</v>
      </c>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t="str">
        <f t="shared" si="12"/>
        <v>No reported value</v>
      </c>
      <c r="BO421" s="43" t="str">
        <f>IFERROR(INDEX('WB HCW &amp; Beds'!$F$286:$BM$286,1,MATCH($BN421,$F421:$BM421,0)),"No reported value")</f>
        <v>No reported value</v>
      </c>
      <c r="BP421" s="43">
        <f>IF(BN421="No reported value",'WB HCW &amp; Beds'!BP$283,BN421)</f>
        <v>0.4</v>
      </c>
    </row>
    <row r="422" spans="2:68" hidden="1" x14ac:dyDescent="0.75">
      <c r="B422" s="43" t="s">
        <v>448</v>
      </c>
      <c r="C422" s="43" t="s">
        <v>449</v>
      </c>
      <c r="D422" s="43" t="s">
        <v>771</v>
      </c>
      <c r="E422" s="43" t="s">
        <v>770</v>
      </c>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t="str">
        <f t="shared" si="12"/>
        <v>No reported value</v>
      </c>
      <c r="BO422" s="43" t="str">
        <f>IFERROR(INDEX('WB HCW &amp; Beds'!$F$286:$BM$286,1,MATCH($BN422,$F422:$BM422,0)),"No reported value")</f>
        <v>No reported value</v>
      </c>
      <c r="BP422" s="43">
        <f>IF(BN422="No reported value",'WB HCW &amp; Beds'!BP$283,BN422)</f>
        <v>0.4</v>
      </c>
    </row>
    <row r="423" spans="2:68" hidden="1" x14ac:dyDescent="0.75">
      <c r="B423" s="43" t="s">
        <v>245</v>
      </c>
      <c r="C423" s="43" t="s">
        <v>81</v>
      </c>
      <c r="D423" s="43" t="s">
        <v>771</v>
      </c>
      <c r="E423" s="43" t="s">
        <v>770</v>
      </c>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t="str">
        <f t="shared" si="12"/>
        <v>No reported value</v>
      </c>
      <c r="BO423" s="43" t="str">
        <f>IFERROR(INDEX('WB HCW &amp; Beds'!$F$286:$BM$286,1,MATCH($BN423,$F423:$BM423,0)),"No reported value")</f>
        <v>No reported value</v>
      </c>
      <c r="BP423" s="43">
        <f>IF(BN423="No reported value",'WB HCW &amp; Beds'!BP$283,BN423)</f>
        <v>0.4</v>
      </c>
    </row>
    <row r="424" spans="2:68" hidden="1" x14ac:dyDescent="0.75">
      <c r="B424" s="43" t="s">
        <v>455</v>
      </c>
      <c r="C424" s="43" t="s">
        <v>456</v>
      </c>
      <c r="D424" s="43" t="s">
        <v>771</v>
      </c>
      <c r="E424" s="43" t="s">
        <v>770</v>
      </c>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v>0.40748886297282155</v>
      </c>
      <c r="BF424" s="43"/>
      <c r="BG424" s="43"/>
      <c r="BH424" s="43"/>
      <c r="BI424" s="43"/>
      <c r="BJ424" s="43"/>
      <c r="BK424" s="43"/>
      <c r="BL424" s="43"/>
      <c r="BM424" s="43"/>
      <c r="BN424" s="43">
        <f t="shared" si="12"/>
        <v>0.40748886297282155</v>
      </c>
      <c r="BO424" s="43">
        <f>IFERROR(INDEX('WB HCW &amp; Beds'!$F$286:$BM$286,1,MATCH($BN424,$F424:$BM424,0)),"No reported value")</f>
        <v>2011</v>
      </c>
      <c r="BP424" s="43">
        <f>IF(BN424="No reported value",'WB HCW &amp; Beds'!BP$283,BN424)</f>
        <v>0.40748886297282155</v>
      </c>
    </row>
    <row r="425" spans="2:68" hidden="1" x14ac:dyDescent="0.75">
      <c r="B425" s="43" t="s">
        <v>451</v>
      </c>
      <c r="C425" s="43" t="s">
        <v>452</v>
      </c>
      <c r="D425" s="43" t="s">
        <v>771</v>
      </c>
      <c r="E425" s="43" t="s">
        <v>770</v>
      </c>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t="str">
        <f t="shared" si="12"/>
        <v>No reported value</v>
      </c>
      <c r="BO425" s="43" t="str">
        <f>IFERROR(INDEX('WB HCW &amp; Beds'!$F$286:$BM$286,1,MATCH($BN425,$F425:$BM425,0)),"No reported value")</f>
        <v>No reported value</v>
      </c>
      <c r="BP425" s="43">
        <f>IF(BN425="No reported value",'WB HCW &amp; Beds'!BP$283,BN425)</f>
        <v>0.4</v>
      </c>
    </row>
    <row r="426" spans="2:68" hidden="1" x14ac:dyDescent="0.75">
      <c r="B426" s="43" t="s">
        <v>200</v>
      </c>
      <c r="C426" s="43" t="s">
        <v>167</v>
      </c>
      <c r="D426" s="43" t="s">
        <v>771</v>
      </c>
      <c r="E426" s="43" t="s">
        <v>770</v>
      </c>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t="str">
        <f t="shared" si="12"/>
        <v>No reported value</v>
      </c>
      <c r="BO426" s="43" t="str">
        <f>IFERROR(INDEX('WB HCW &amp; Beds'!$F$286:$BM$286,1,MATCH($BN426,$F426:$BM426,0)),"No reported value")</f>
        <v>No reported value</v>
      </c>
      <c r="BP426" s="43">
        <f>IF(BN426="No reported value",'WB HCW &amp; Beds'!BP$283,BN426)</f>
        <v>0.4</v>
      </c>
    </row>
    <row r="427" spans="2:68" hidden="1" x14ac:dyDescent="0.75">
      <c r="B427" s="43" t="s">
        <v>435</v>
      </c>
      <c r="C427" s="43" t="s">
        <v>436</v>
      </c>
      <c r="D427" s="43" t="s">
        <v>771</v>
      </c>
      <c r="E427" s="43" t="s">
        <v>770</v>
      </c>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t="str">
        <f t="shared" si="12"/>
        <v>No reported value</v>
      </c>
      <c r="BO427" s="43" t="str">
        <f>IFERROR(INDEX('WB HCW &amp; Beds'!$F$286:$BM$286,1,MATCH($BN427,$F427:$BM427,0)),"No reported value")</f>
        <v>No reported value</v>
      </c>
      <c r="BP427" s="43">
        <f>IF(BN427="No reported value",'WB HCW &amp; Beds'!BP$283,BN427)</f>
        <v>0.4</v>
      </c>
    </row>
    <row r="428" spans="2:68" hidden="1" x14ac:dyDescent="0.75">
      <c r="B428" s="43" t="s">
        <v>450</v>
      </c>
      <c r="C428" s="43" t="s">
        <v>82</v>
      </c>
      <c r="D428" s="43" t="s">
        <v>771</v>
      </c>
      <c r="E428" s="43" t="s">
        <v>770</v>
      </c>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t="str">
        <f t="shared" si="12"/>
        <v>No reported value</v>
      </c>
      <c r="BO428" s="43" t="str">
        <f>IFERROR(INDEX('WB HCW &amp; Beds'!$F$286:$BM$286,1,MATCH($BN428,$F428:$BM428,0)),"No reported value")</f>
        <v>No reported value</v>
      </c>
      <c r="BP428" s="43">
        <f>IF(BN428="No reported value",'WB HCW &amp; Beds'!BP$283,BN428)</f>
        <v>0.4</v>
      </c>
    </row>
    <row r="429" spans="2:68" hidden="1" x14ac:dyDescent="0.75">
      <c r="B429" s="43" t="s">
        <v>457</v>
      </c>
      <c r="C429" s="43" t="s">
        <v>83</v>
      </c>
      <c r="D429" s="43" t="s">
        <v>771</v>
      </c>
      <c r="E429" s="43" t="s">
        <v>770</v>
      </c>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t="str">
        <f t="shared" si="12"/>
        <v>No reported value</v>
      </c>
      <c r="BO429" s="43" t="str">
        <f>IFERROR(INDEX('WB HCW &amp; Beds'!$F$286:$BM$286,1,MATCH($BN429,$F429:$BM429,0)),"No reported value")</f>
        <v>No reported value</v>
      </c>
      <c r="BP429" s="43">
        <f>IF(BN429="No reported value",'WB HCW &amp; Beds'!BP$283,BN429)</f>
        <v>0.4</v>
      </c>
    </row>
    <row r="430" spans="2:68" hidden="1" x14ac:dyDescent="0.75">
      <c r="B430" s="43" t="s">
        <v>443</v>
      </c>
      <c r="C430" s="43" t="s">
        <v>84</v>
      </c>
      <c r="D430" s="43" t="s">
        <v>771</v>
      </c>
      <c r="E430" s="43" t="s">
        <v>770</v>
      </c>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t="str">
        <f t="shared" si="12"/>
        <v>No reported value</v>
      </c>
      <c r="BO430" s="43" t="str">
        <f>IFERROR(INDEX('WB HCW &amp; Beds'!$F$286:$BM$286,1,MATCH($BN430,$F430:$BM430,0)),"No reported value")</f>
        <v>No reported value</v>
      </c>
      <c r="BP430" s="43">
        <f>IF(BN430="No reported value",'WB HCW &amp; Beds'!BP$283,BN430)</f>
        <v>0.4</v>
      </c>
    </row>
    <row r="431" spans="2:68" hidden="1" x14ac:dyDescent="0.75">
      <c r="B431" s="43" t="s">
        <v>458</v>
      </c>
      <c r="C431" s="43" t="s">
        <v>459</v>
      </c>
      <c r="D431" s="43" t="s">
        <v>771</v>
      </c>
      <c r="E431" s="43" t="s">
        <v>770</v>
      </c>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t="str">
        <f t="shared" si="12"/>
        <v>No reported value</v>
      </c>
      <c r="BO431" s="43" t="str">
        <f>IFERROR(INDEX('WB HCW &amp; Beds'!$F$286:$BM$286,1,MATCH($BN431,$F431:$BM431,0)),"No reported value")</f>
        <v>No reported value</v>
      </c>
      <c r="BP431" s="43">
        <f>IF(BN431="No reported value",'WB HCW &amp; Beds'!BP$283,BN431)</f>
        <v>0.4</v>
      </c>
    </row>
    <row r="432" spans="2:68" hidden="1" x14ac:dyDescent="0.75">
      <c r="B432" s="43" t="s">
        <v>534</v>
      </c>
      <c r="C432" s="43" t="s">
        <v>535</v>
      </c>
      <c r="D432" s="43" t="s">
        <v>771</v>
      </c>
      <c r="E432" s="43" t="s">
        <v>770</v>
      </c>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t="str">
        <f t="shared" si="12"/>
        <v>No reported value</v>
      </c>
      <c r="BO432" s="43" t="str">
        <f>IFERROR(INDEX('WB HCW &amp; Beds'!$F$286:$BM$286,1,MATCH($BN432,$F432:$BM432,0)),"No reported value")</f>
        <v>No reported value</v>
      </c>
      <c r="BP432" s="43">
        <f>IF(BN432="No reported value",'WB HCW &amp; Beds'!BP$283,BN432)</f>
        <v>0.4</v>
      </c>
    </row>
    <row r="433" spans="2:68" hidden="1" x14ac:dyDescent="0.75">
      <c r="B433" s="43" t="s">
        <v>477</v>
      </c>
      <c r="C433" s="43" t="s">
        <v>85</v>
      </c>
      <c r="D433" s="43" t="s">
        <v>771</v>
      </c>
      <c r="E433" s="43" t="s">
        <v>770</v>
      </c>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t="str">
        <f t="shared" si="12"/>
        <v>No reported value</v>
      </c>
      <c r="BO433" s="43" t="str">
        <f>IFERROR(INDEX('WB HCW &amp; Beds'!$F$286:$BM$286,1,MATCH($BN433,$F433:$BM433,0)),"No reported value")</f>
        <v>No reported value</v>
      </c>
      <c r="BP433" s="43">
        <f>IF(BN433="No reported value",'WB HCW &amp; Beds'!BP$283,BN433)</f>
        <v>0.4</v>
      </c>
    </row>
    <row r="434" spans="2:68" hidden="1" x14ac:dyDescent="0.75">
      <c r="B434" s="43" t="s">
        <v>475</v>
      </c>
      <c r="C434" s="43" t="s">
        <v>86</v>
      </c>
      <c r="D434" s="43" t="s">
        <v>771</v>
      </c>
      <c r="E434" s="43" t="s">
        <v>770</v>
      </c>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t="str">
        <f t="shared" si="12"/>
        <v>No reported value</v>
      </c>
      <c r="BO434" s="43" t="str">
        <f>IFERROR(INDEX('WB HCW &amp; Beds'!$F$286:$BM$286,1,MATCH($BN434,$F434:$BM434,0)),"No reported value")</f>
        <v>No reported value</v>
      </c>
      <c r="BP434" s="43">
        <f>IF(BN434="No reported value",'WB HCW &amp; Beds'!BP$283,BN434)</f>
        <v>0.4</v>
      </c>
    </row>
    <row r="435" spans="2:68" hidden="1" x14ac:dyDescent="0.75">
      <c r="B435" s="43" t="s">
        <v>474</v>
      </c>
      <c r="C435" s="43" t="s">
        <v>87</v>
      </c>
      <c r="D435" s="43" t="s">
        <v>771</v>
      </c>
      <c r="E435" s="43" t="s">
        <v>770</v>
      </c>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t="str">
        <f t="shared" si="12"/>
        <v>No reported value</v>
      </c>
      <c r="BO435" s="43" t="str">
        <f>IFERROR(INDEX('WB HCW &amp; Beds'!$F$286:$BM$286,1,MATCH($BN435,$F435:$BM435,0)),"No reported value")</f>
        <v>No reported value</v>
      </c>
      <c r="BP435" s="43">
        <f>IF(BN435="No reported value",'WB HCW &amp; Beds'!BP$283,BN435)</f>
        <v>0.4</v>
      </c>
    </row>
    <row r="436" spans="2:68" hidden="1" x14ac:dyDescent="0.75">
      <c r="B436" s="43" t="s">
        <v>202</v>
      </c>
      <c r="C436" s="43" t="s">
        <v>88</v>
      </c>
      <c r="D436" s="43" t="s">
        <v>771</v>
      </c>
      <c r="E436" s="43" t="s">
        <v>770</v>
      </c>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t="str">
        <f t="shared" si="12"/>
        <v>No reported value</v>
      </c>
      <c r="BO436" s="43" t="str">
        <f>IFERROR(INDEX('WB HCW &amp; Beds'!$F$286:$BM$286,1,MATCH($BN436,$F436:$BM436,0)),"No reported value")</f>
        <v>No reported value</v>
      </c>
      <c r="BP436" s="43">
        <f>IF(BN436="No reported value",'WB HCW &amp; Beds'!BP$283,BN436)</f>
        <v>0.4</v>
      </c>
    </row>
    <row r="437" spans="2:68" hidden="1" x14ac:dyDescent="0.75">
      <c r="B437" s="43" t="s">
        <v>243</v>
      </c>
      <c r="C437" s="43" t="s">
        <v>89</v>
      </c>
      <c r="D437" s="43" t="s">
        <v>771</v>
      </c>
      <c r="E437" s="43" t="s">
        <v>770</v>
      </c>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v>1.0189999999999999</v>
      </c>
      <c r="AL437" s="43"/>
      <c r="AM437" s="43">
        <v>1.181</v>
      </c>
      <c r="AN437" s="43"/>
      <c r="AO437" s="43"/>
      <c r="AP437" s="43">
        <v>1.244</v>
      </c>
      <c r="AQ437" s="43"/>
      <c r="AR437" s="43"/>
      <c r="AS437" s="43"/>
      <c r="AT437" s="43"/>
      <c r="AU437" s="43"/>
      <c r="AV437" s="43"/>
      <c r="AW437" s="43"/>
      <c r="AX437" s="43">
        <v>1.7170000000000001</v>
      </c>
      <c r="AY437" s="43"/>
      <c r="AZ437" s="43"/>
      <c r="BA437" s="43">
        <v>1.5149999999999999</v>
      </c>
      <c r="BB437" s="43"/>
      <c r="BC437" s="43">
        <v>1.57</v>
      </c>
      <c r="BD437" s="43">
        <v>1.7769999999999999</v>
      </c>
      <c r="BE437" s="43"/>
      <c r="BF437" s="43"/>
      <c r="BG437" s="43"/>
      <c r="BH437" s="43">
        <v>1.4239999999999999</v>
      </c>
      <c r="BI437" s="43"/>
      <c r="BJ437" s="43"/>
      <c r="BK437" s="43"/>
      <c r="BL437" s="43"/>
      <c r="BM437" s="43"/>
      <c r="BN437" s="43">
        <f t="shared" si="12"/>
        <v>1.4239999999999999</v>
      </c>
      <c r="BO437" s="43">
        <f>IFERROR(INDEX('WB HCW &amp; Beds'!$F$286:$BM$286,1,MATCH($BN437,$F437:$BM437,0)),"No reported value")</f>
        <v>2014</v>
      </c>
      <c r="BP437" s="43">
        <f>IF(BN437="No reported value",'WB HCW &amp; Beds'!BP$283,BN437)</f>
        <v>1.4239999999999999</v>
      </c>
    </row>
    <row r="438" spans="2:68" hidden="1" x14ac:dyDescent="0.75">
      <c r="B438" s="43" t="s">
        <v>466</v>
      </c>
      <c r="C438" s="43" t="s">
        <v>467</v>
      </c>
      <c r="D438" s="43" t="s">
        <v>771</v>
      </c>
      <c r="E438" s="43" t="s">
        <v>770</v>
      </c>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t="str">
        <f t="shared" si="12"/>
        <v>No reported value</v>
      </c>
      <c r="BO438" s="43" t="str">
        <f>IFERROR(INDEX('WB HCW &amp; Beds'!$F$286:$BM$286,1,MATCH($BN438,$F438:$BM438,0)),"No reported value")</f>
        <v>No reported value</v>
      </c>
      <c r="BP438" s="43">
        <f>IF(BN438="No reported value",'WB HCW &amp; Beds'!BP$283,BN438)</f>
        <v>0.4</v>
      </c>
    </row>
    <row r="439" spans="2:68" hidden="1" x14ac:dyDescent="0.75">
      <c r="B439" s="43" t="s">
        <v>463</v>
      </c>
      <c r="C439" s="43" t="s">
        <v>90</v>
      </c>
      <c r="D439" s="43" t="s">
        <v>771</v>
      </c>
      <c r="E439" s="43" t="s">
        <v>770</v>
      </c>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t="str">
        <f t="shared" si="12"/>
        <v>No reported value</v>
      </c>
      <c r="BO439" s="43" t="str">
        <f>IFERROR(INDEX('WB HCW &amp; Beds'!$F$286:$BM$286,1,MATCH($BN439,$F439:$BM439,0)),"No reported value")</f>
        <v>No reported value</v>
      </c>
      <c r="BP439" s="43">
        <f>IF(BN439="No reported value",'WB HCW &amp; Beds'!BP$283,BN439)</f>
        <v>0.4</v>
      </c>
    </row>
    <row r="440" spans="2:68" hidden="1" x14ac:dyDescent="0.75">
      <c r="B440" s="43" t="s">
        <v>462</v>
      </c>
      <c r="C440" s="43" t="s">
        <v>91</v>
      </c>
      <c r="D440" s="43" t="s">
        <v>771</v>
      </c>
      <c r="E440" s="43" t="s">
        <v>770</v>
      </c>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t="str">
        <f t="shared" si="12"/>
        <v>No reported value</v>
      </c>
      <c r="BO440" s="43" t="str">
        <f>IFERROR(INDEX('WB HCW &amp; Beds'!$F$286:$BM$286,1,MATCH($BN440,$F440:$BM440,0)),"No reported value")</f>
        <v>No reported value</v>
      </c>
      <c r="BP440" s="43">
        <f>IF(BN440="No reported value",'WB HCW &amp; Beds'!BP$283,BN440)</f>
        <v>0.4</v>
      </c>
    </row>
    <row r="441" spans="2:68" hidden="1" x14ac:dyDescent="0.75">
      <c r="B441" s="43" t="s">
        <v>472</v>
      </c>
      <c r="C441" s="43" t="s">
        <v>473</v>
      </c>
      <c r="D441" s="43" t="s">
        <v>771</v>
      </c>
      <c r="E441" s="43" t="s">
        <v>770</v>
      </c>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t="str">
        <f t="shared" si="12"/>
        <v>No reported value</v>
      </c>
      <c r="BO441" s="43" t="str">
        <f>IFERROR(INDEX('WB HCW &amp; Beds'!$F$286:$BM$286,1,MATCH($BN441,$F441:$BM441,0)),"No reported value")</f>
        <v>No reported value</v>
      </c>
      <c r="BP441" s="43">
        <f>IF(BN441="No reported value",'WB HCW &amp; Beds'!BP$283,BN441)</f>
        <v>0.4</v>
      </c>
    </row>
    <row r="442" spans="2:68" hidden="1" x14ac:dyDescent="0.75">
      <c r="B442" s="43" t="s">
        <v>484</v>
      </c>
      <c r="C442" s="43" t="s">
        <v>485</v>
      </c>
      <c r="D442" s="43" t="s">
        <v>771</v>
      </c>
      <c r="E442" s="43" t="s">
        <v>770</v>
      </c>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t="str">
        <f t="shared" si="12"/>
        <v>No reported value</v>
      </c>
      <c r="BO442" s="43" t="str">
        <f>IFERROR(INDEX('WB HCW &amp; Beds'!$F$286:$BM$286,1,MATCH($BN442,$F442:$BM442,0)),"No reported value")</f>
        <v>No reported value</v>
      </c>
      <c r="BP442" s="43">
        <f>IF(BN442="No reported value",'WB HCW &amp; Beds'!BP$283,BN442)</f>
        <v>0.4</v>
      </c>
    </row>
    <row r="443" spans="2:68" hidden="1" x14ac:dyDescent="0.75">
      <c r="B443" s="43" t="s">
        <v>204</v>
      </c>
      <c r="C443" s="43" t="s">
        <v>92</v>
      </c>
      <c r="D443" s="43" t="s">
        <v>771</v>
      </c>
      <c r="E443" s="43" t="s">
        <v>770</v>
      </c>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v>8.0000000000000002E-3</v>
      </c>
      <c r="BD443" s="43">
        <v>7.0000000000000001E-3</v>
      </c>
      <c r="BE443" s="43"/>
      <c r="BF443" s="43"/>
      <c r="BG443" s="43"/>
      <c r="BH443" s="43"/>
      <c r="BI443" s="43"/>
      <c r="BJ443" s="43"/>
      <c r="BK443" s="43"/>
      <c r="BL443" s="43"/>
      <c r="BM443" s="43"/>
      <c r="BN443" s="43">
        <f t="shared" si="12"/>
        <v>7.0000000000000001E-3</v>
      </c>
      <c r="BO443" s="43">
        <f>IFERROR(INDEX('WB HCW &amp; Beds'!$F$286:$BM$286,1,MATCH($BN443,$F443:$BM443,0)),"No reported value")</f>
        <v>2010</v>
      </c>
      <c r="BP443" s="43">
        <f>IF(BN443="No reported value",'WB HCW &amp; Beds'!BP$283,BN443)</f>
        <v>7.0000000000000001E-3</v>
      </c>
    </row>
    <row r="444" spans="2:68" hidden="1" x14ac:dyDescent="0.75">
      <c r="B444" s="43" t="s">
        <v>461</v>
      </c>
      <c r="C444" s="43" t="s">
        <v>93</v>
      </c>
      <c r="D444" s="43" t="s">
        <v>771</v>
      </c>
      <c r="E444" s="43" t="s">
        <v>770</v>
      </c>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t="str">
        <f t="shared" si="12"/>
        <v>No reported value</v>
      </c>
      <c r="BO444" s="43" t="str">
        <f>IFERROR(INDEX('WB HCW &amp; Beds'!$F$286:$BM$286,1,MATCH($BN444,$F444:$BM444,0)),"No reported value")</f>
        <v>No reported value</v>
      </c>
      <c r="BP444" s="43">
        <f>IF(BN444="No reported value",'WB HCW &amp; Beds'!BP$283,BN444)</f>
        <v>0.4</v>
      </c>
    </row>
    <row r="445" spans="2:68" hidden="1" x14ac:dyDescent="0.75">
      <c r="B445" s="43" t="s">
        <v>244</v>
      </c>
      <c r="C445" s="43" t="s">
        <v>94</v>
      </c>
      <c r="D445" s="43" t="s">
        <v>771</v>
      </c>
      <c r="E445" s="43" t="s">
        <v>770</v>
      </c>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v>0.999</v>
      </c>
      <c r="AY445" s="43">
        <v>7.6999999999999999E-2</v>
      </c>
      <c r="AZ445" s="43">
        <v>0.08</v>
      </c>
      <c r="BA445" s="43">
        <v>8.2000000000000003E-2</v>
      </c>
      <c r="BB445" s="43">
        <v>8.2000000000000003E-2</v>
      </c>
      <c r="BC445" s="43">
        <v>0.193</v>
      </c>
      <c r="BD445" s="43">
        <v>0.193</v>
      </c>
      <c r="BE445" s="43">
        <v>0.19400000000000001</v>
      </c>
      <c r="BF445" s="43">
        <v>0.19500000000000001</v>
      </c>
      <c r="BG445" s="43"/>
      <c r="BH445" s="43"/>
      <c r="BI445" s="43"/>
      <c r="BJ445" s="43"/>
      <c r="BK445" s="43"/>
      <c r="BL445" s="43"/>
      <c r="BM445" s="43"/>
      <c r="BN445" s="43">
        <f t="shared" si="12"/>
        <v>0.19500000000000001</v>
      </c>
      <c r="BO445" s="43">
        <f>IFERROR(INDEX('WB HCW &amp; Beds'!$F$286:$BM$286,1,MATCH($BN445,$F445:$BM445,0)),"No reported value")</f>
        <v>2012</v>
      </c>
      <c r="BP445" s="43">
        <f>IF(BN445="No reported value",'WB HCW &amp; Beds'!BP$283,BN445)</f>
        <v>0.19500000000000001</v>
      </c>
    </row>
    <row r="446" spans="2:68" hidden="1" x14ac:dyDescent="0.75">
      <c r="B446" s="43" t="s">
        <v>468</v>
      </c>
      <c r="C446" s="43" t="s">
        <v>469</v>
      </c>
      <c r="D446" s="43" t="s">
        <v>771</v>
      </c>
      <c r="E446" s="43" t="s">
        <v>770</v>
      </c>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t="str">
        <f t="shared" si="12"/>
        <v>No reported value</v>
      </c>
      <c r="BO446" s="43" t="str">
        <f>IFERROR(INDEX('WB HCW &amp; Beds'!$F$286:$BM$286,1,MATCH($BN446,$F446:$BM446,0)),"No reported value")</f>
        <v>No reported value</v>
      </c>
      <c r="BP446" s="43">
        <f>IF(BN446="No reported value",'WB HCW &amp; Beds'!BP$283,BN446)</f>
        <v>0.4</v>
      </c>
    </row>
    <row r="447" spans="2:68" hidden="1" x14ac:dyDescent="0.75">
      <c r="B447" s="43" t="s">
        <v>476</v>
      </c>
      <c r="C447" s="43" t="s">
        <v>95</v>
      </c>
      <c r="D447" s="43" t="s">
        <v>771</v>
      </c>
      <c r="E447" s="43" t="s">
        <v>770</v>
      </c>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t="str">
        <f t="shared" si="12"/>
        <v>No reported value</v>
      </c>
      <c r="BO447" s="43" t="str">
        <f>IFERROR(INDEX('WB HCW &amp; Beds'!$F$286:$BM$286,1,MATCH($BN447,$F447:$BM447,0)),"No reported value")</f>
        <v>No reported value</v>
      </c>
      <c r="BP447" s="43">
        <f>IF(BN447="No reported value",'WB HCW &amp; Beds'!BP$283,BN447)</f>
        <v>0.4</v>
      </c>
    </row>
    <row r="448" spans="2:68" hidden="1" x14ac:dyDescent="0.75">
      <c r="B448" s="43" t="s">
        <v>250</v>
      </c>
      <c r="C448" s="43" t="s">
        <v>96</v>
      </c>
      <c r="D448" s="43" t="s">
        <v>771</v>
      </c>
      <c r="E448" s="43" t="s">
        <v>770</v>
      </c>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v>2.3E-2</v>
      </c>
      <c r="BC448" s="43">
        <v>0.123</v>
      </c>
      <c r="BD448" s="43">
        <v>0.161</v>
      </c>
      <c r="BE448" s="43"/>
      <c r="BF448" s="43"/>
      <c r="BG448" s="43"/>
      <c r="BH448" s="43"/>
      <c r="BI448" s="43"/>
      <c r="BJ448" s="43"/>
      <c r="BK448" s="43"/>
      <c r="BL448" s="43"/>
      <c r="BM448" s="43"/>
      <c r="BN448" s="43">
        <f t="shared" si="12"/>
        <v>0.161</v>
      </c>
      <c r="BO448" s="43">
        <f>IFERROR(INDEX('WB HCW &amp; Beds'!$F$286:$BM$286,1,MATCH($BN448,$F448:$BM448,0)),"No reported value")</f>
        <v>2010</v>
      </c>
      <c r="BP448" s="43">
        <f>IF(BN448="No reported value",'WB HCW &amp; Beds'!BP$283,BN448)</f>
        <v>0.161</v>
      </c>
    </row>
    <row r="449" spans="2:68" hidden="1" x14ac:dyDescent="0.75">
      <c r="B449" s="43" t="s">
        <v>486</v>
      </c>
      <c r="C449" s="43" t="s">
        <v>487</v>
      </c>
      <c r="D449" s="43" t="s">
        <v>771</v>
      </c>
      <c r="E449" s="43" t="s">
        <v>770</v>
      </c>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t="str">
        <f t="shared" si="12"/>
        <v>No reported value</v>
      </c>
      <c r="BO449" s="43" t="str">
        <f>IFERROR(INDEX('WB HCW &amp; Beds'!$F$286:$BM$286,1,MATCH($BN449,$F449:$BM449,0)),"No reported value")</f>
        <v>No reported value</v>
      </c>
      <c r="BP449" s="43">
        <f>IF(BN449="No reported value",'WB HCW &amp; Beds'!BP$283,BN449)</f>
        <v>0.4</v>
      </c>
    </row>
    <row r="450" spans="2:68" hidden="1" x14ac:dyDescent="0.75">
      <c r="B450" s="43" t="s">
        <v>207</v>
      </c>
      <c r="C450" s="43" t="s">
        <v>97</v>
      </c>
      <c r="D450" s="43" t="s">
        <v>771</v>
      </c>
      <c r="E450" s="43" t="s">
        <v>770</v>
      </c>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v>4.7E-2</v>
      </c>
      <c r="BG450" s="43">
        <v>4.4999999999999998E-2</v>
      </c>
      <c r="BH450" s="43"/>
      <c r="BI450" s="43"/>
      <c r="BJ450" s="43"/>
      <c r="BK450" s="43"/>
      <c r="BL450" s="43"/>
      <c r="BM450" s="43"/>
      <c r="BN450" s="43">
        <f t="shared" si="12"/>
        <v>4.4999999999999998E-2</v>
      </c>
      <c r="BO450" s="43">
        <f>IFERROR(INDEX('WB HCW &amp; Beds'!$F$286:$BM$286,1,MATCH($BN450,$F450:$BM450,0)),"No reported value")</f>
        <v>2013</v>
      </c>
      <c r="BP450" s="43">
        <f>IF(BN450="No reported value",'WB HCW &amp; Beds'!BP$283,BN450)</f>
        <v>4.4999999999999998E-2</v>
      </c>
    </row>
    <row r="451" spans="2:68" hidden="1" x14ac:dyDescent="0.75">
      <c r="B451" s="43" t="s">
        <v>205</v>
      </c>
      <c r="C451" s="43" t="s">
        <v>98</v>
      </c>
      <c r="D451" s="43" t="s">
        <v>771</v>
      </c>
      <c r="E451" s="43" t="s">
        <v>770</v>
      </c>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v>0.3</v>
      </c>
      <c r="BH451" s="43"/>
      <c r="BI451" s="43"/>
      <c r="BJ451" s="43"/>
      <c r="BK451" s="43"/>
      <c r="BL451" s="43"/>
      <c r="BM451" s="43"/>
      <c r="BN451" s="43">
        <f t="shared" si="12"/>
        <v>0.3</v>
      </c>
      <c r="BO451" s="43">
        <f>IFERROR(INDEX('WB HCW &amp; Beds'!$F$286:$BM$286,1,MATCH($BN451,$F451:$BM451,0)),"No reported value")</f>
        <v>2013</v>
      </c>
      <c r="BP451" s="43">
        <f>IF(BN451="No reported value",'WB HCW &amp; Beds'!BP$283,BN451)</f>
        <v>0.3</v>
      </c>
    </row>
    <row r="452" spans="2:68" hidden="1" x14ac:dyDescent="0.75">
      <c r="B452" s="43" t="s">
        <v>206</v>
      </c>
      <c r="C452" s="43" t="s">
        <v>99</v>
      </c>
      <c r="D452" s="43" t="s">
        <v>771</v>
      </c>
      <c r="E452" s="43" t="s">
        <v>770</v>
      </c>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v>0.19400000000000001</v>
      </c>
      <c r="AY452" s="43"/>
      <c r="AZ452" s="43"/>
      <c r="BA452" s="43"/>
      <c r="BB452" s="43"/>
      <c r="BC452" s="43"/>
      <c r="BD452" s="43"/>
      <c r="BE452" s="43"/>
      <c r="BF452" s="43"/>
      <c r="BG452" s="43"/>
      <c r="BH452" s="43"/>
      <c r="BI452" s="43"/>
      <c r="BJ452" s="43"/>
      <c r="BK452" s="43"/>
      <c r="BL452" s="43"/>
      <c r="BM452" s="43"/>
      <c r="BN452" s="43">
        <f t="shared" si="12"/>
        <v>0.19400000000000001</v>
      </c>
      <c r="BO452" s="43">
        <f>IFERROR(INDEX('WB HCW &amp; Beds'!$F$286:$BM$286,1,MATCH($BN452,$F452:$BM452,0)),"No reported value")</f>
        <v>2004</v>
      </c>
      <c r="BP452" s="43">
        <f>IF(BN452="No reported value",'WB HCW &amp; Beds'!BP$283,BN452)</f>
        <v>0.19400000000000001</v>
      </c>
    </row>
    <row r="453" spans="2:68" hidden="1" x14ac:dyDescent="0.75">
      <c r="B453" s="43" t="s">
        <v>203</v>
      </c>
      <c r="C453" s="43" t="s">
        <v>100</v>
      </c>
      <c r="D453" s="43" t="s">
        <v>771</v>
      </c>
      <c r="E453" s="43" t="s">
        <v>770</v>
      </c>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v>0.72299999999999998</v>
      </c>
      <c r="BC453" s="43"/>
      <c r="BD453" s="43"/>
      <c r="BE453" s="43"/>
      <c r="BF453" s="43"/>
      <c r="BG453" s="43"/>
      <c r="BH453" s="43"/>
      <c r="BI453" s="43"/>
      <c r="BJ453" s="43"/>
      <c r="BK453" s="43"/>
      <c r="BL453" s="43"/>
      <c r="BM453" s="43"/>
      <c r="BN453" s="43">
        <f t="shared" si="12"/>
        <v>0.72299999999999998</v>
      </c>
      <c r="BO453" s="43">
        <f>IFERROR(INDEX('WB HCW &amp; Beds'!$F$286:$BM$286,1,MATCH($BN453,$F453:$BM453,0)),"No reported value")</f>
        <v>2008</v>
      </c>
      <c r="BP453" s="43">
        <f>IF(BN453="No reported value",'WB HCW &amp; Beds'!BP$283,BN453)</f>
        <v>0.72299999999999998</v>
      </c>
    </row>
    <row r="454" spans="2:68" hidden="1" x14ac:dyDescent="0.75">
      <c r="B454" s="43" t="s">
        <v>460</v>
      </c>
      <c r="C454" s="43" t="s">
        <v>101</v>
      </c>
      <c r="D454" s="43" t="s">
        <v>771</v>
      </c>
      <c r="E454" s="43" t="s">
        <v>770</v>
      </c>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v>0.435</v>
      </c>
      <c r="BE454" s="43"/>
      <c r="BF454" s="43"/>
      <c r="BG454" s="43"/>
      <c r="BH454" s="43"/>
      <c r="BI454" s="43"/>
      <c r="BJ454" s="43"/>
      <c r="BK454" s="43"/>
      <c r="BL454" s="43"/>
      <c r="BM454" s="43"/>
      <c r="BN454" s="43">
        <f t="shared" si="12"/>
        <v>0.435</v>
      </c>
      <c r="BO454" s="43">
        <f>IFERROR(INDEX('WB HCW &amp; Beds'!$F$286:$BM$286,1,MATCH($BN454,$F454:$BM454,0)),"No reported value")</f>
        <v>2010</v>
      </c>
      <c r="BP454" s="43">
        <f>IF(BN454="No reported value",'WB HCW &amp; Beds'!BP$283,BN454)</f>
        <v>0.435</v>
      </c>
    </row>
    <row r="455" spans="2:68" hidden="1" x14ac:dyDescent="0.75">
      <c r="B455" s="43" t="s">
        <v>482</v>
      </c>
      <c r="C455" s="43" t="s">
        <v>483</v>
      </c>
      <c r="D455" s="43" t="s">
        <v>771</v>
      </c>
      <c r="E455" s="43" t="s">
        <v>770</v>
      </c>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t="str">
        <f t="shared" si="12"/>
        <v>No reported value</v>
      </c>
      <c r="BO455" s="43" t="str">
        <f>IFERROR(INDEX('WB HCW &amp; Beds'!$F$286:$BM$286,1,MATCH($BN455,$F455:$BM455,0)),"No reported value")</f>
        <v>No reported value</v>
      </c>
      <c r="BP455" s="43">
        <f>IF(BN455="No reported value",'WB HCW &amp; Beds'!BP$283,BN455)</f>
        <v>0.4</v>
      </c>
    </row>
    <row r="456" spans="2:68" hidden="1" x14ac:dyDescent="0.75">
      <c r="B456" s="43" t="s">
        <v>208</v>
      </c>
      <c r="C456" s="43" t="s">
        <v>102</v>
      </c>
      <c r="D456" s="43" t="s">
        <v>771</v>
      </c>
      <c r="E456" s="43" t="s">
        <v>770</v>
      </c>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t="str">
        <f t="shared" si="12"/>
        <v>No reported value</v>
      </c>
      <c r="BO456" s="43" t="str">
        <f>IFERROR(INDEX('WB HCW &amp; Beds'!$F$286:$BM$286,1,MATCH($BN456,$F456:$BM456,0)),"No reported value")</f>
        <v>No reported value</v>
      </c>
      <c r="BP456" s="43">
        <f>IF(BN456="No reported value",'WB HCW &amp; Beds'!BP$283,BN456)</f>
        <v>0.4</v>
      </c>
    </row>
    <row r="457" spans="2:68" hidden="1" x14ac:dyDescent="0.75">
      <c r="B457" s="43" t="s">
        <v>479</v>
      </c>
      <c r="C457" s="43" t="s">
        <v>480</v>
      </c>
      <c r="D457" s="43" t="s">
        <v>771</v>
      </c>
      <c r="E457" s="43" t="s">
        <v>770</v>
      </c>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t="str">
        <f t="shared" si="12"/>
        <v>No reported value</v>
      </c>
      <c r="BO457" s="43" t="str">
        <f>IFERROR(INDEX('WB HCW &amp; Beds'!$F$286:$BM$286,1,MATCH($BN457,$F457:$BM457,0)),"No reported value")</f>
        <v>No reported value</v>
      </c>
      <c r="BP457" s="43">
        <f>IF(BN457="No reported value",'WB HCW &amp; Beds'!BP$283,BN457)</f>
        <v>0.4</v>
      </c>
    </row>
    <row r="458" spans="2:68" hidden="1" x14ac:dyDescent="0.75">
      <c r="B458" s="43" t="s">
        <v>209</v>
      </c>
      <c r="C458" s="43" t="s">
        <v>103</v>
      </c>
      <c r="D458" s="43" t="s">
        <v>771</v>
      </c>
      <c r="E458" s="43" t="s">
        <v>770</v>
      </c>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t="str">
        <f t="shared" si="12"/>
        <v>No reported value</v>
      </c>
      <c r="BO458" s="43" t="str">
        <f>IFERROR(INDEX('WB HCW &amp; Beds'!$F$286:$BM$286,1,MATCH($BN458,$F458:$BM458,0)),"No reported value")</f>
        <v>No reported value</v>
      </c>
      <c r="BP458" s="43">
        <f>IF(BN458="No reported value",'WB HCW &amp; Beds'!BP$283,BN458)</f>
        <v>0.4</v>
      </c>
    </row>
    <row r="459" spans="2:68" hidden="1" x14ac:dyDescent="0.75">
      <c r="B459" s="43" t="s">
        <v>177</v>
      </c>
      <c r="C459" s="43" t="s">
        <v>104</v>
      </c>
      <c r="D459" s="43" t="s">
        <v>771</v>
      </c>
      <c r="E459" s="43" t="s">
        <v>770</v>
      </c>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v>0.13100000000000001</v>
      </c>
      <c r="BB459" s="43">
        <v>0.128</v>
      </c>
      <c r="BC459" s="43"/>
      <c r="BD459" s="43"/>
      <c r="BE459" s="43"/>
      <c r="BF459" s="43"/>
      <c r="BG459" s="43"/>
      <c r="BH459" s="43"/>
      <c r="BI459" s="43"/>
      <c r="BJ459" s="43"/>
      <c r="BK459" s="43"/>
      <c r="BL459" s="43"/>
      <c r="BM459" s="43"/>
      <c r="BN459" s="43">
        <f t="shared" si="12"/>
        <v>0.128</v>
      </c>
      <c r="BO459" s="43">
        <f>IFERROR(INDEX('WB HCW &amp; Beds'!$F$286:$BM$286,1,MATCH($BN459,$F459:$BM459,0)),"No reported value")</f>
        <v>2008</v>
      </c>
      <c r="BP459" s="43">
        <f>IF(BN459="No reported value",'WB HCW &amp; Beds'!BP$283,BN459)</f>
        <v>0.128</v>
      </c>
    </row>
    <row r="460" spans="2:68" hidden="1" x14ac:dyDescent="0.75">
      <c r="B460" s="43" t="s">
        <v>227</v>
      </c>
      <c r="C460" s="43" t="s">
        <v>105</v>
      </c>
      <c r="D460" s="43" t="s">
        <v>771</v>
      </c>
      <c r="E460" s="43" t="s">
        <v>770</v>
      </c>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t="str">
        <f t="shared" si="12"/>
        <v>No reported value</v>
      </c>
      <c r="BO460" s="43" t="str">
        <f>IFERROR(INDEX('WB HCW &amp; Beds'!$F$286:$BM$286,1,MATCH($BN460,$F460:$BM460,0)),"No reported value")</f>
        <v>No reported value</v>
      </c>
      <c r="BP460" s="43">
        <f>IF(BN460="No reported value",'WB HCW &amp; Beds'!BP$283,BN460)</f>
        <v>0.4</v>
      </c>
    </row>
    <row r="461" spans="2:68" hidden="1" x14ac:dyDescent="0.75">
      <c r="B461" s="43" t="s">
        <v>478</v>
      </c>
      <c r="C461" s="43" t="s">
        <v>106</v>
      </c>
      <c r="D461" s="43" t="s">
        <v>771</v>
      </c>
      <c r="E461" s="43" t="s">
        <v>770</v>
      </c>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t="str">
        <f t="shared" si="12"/>
        <v>No reported value</v>
      </c>
      <c r="BO461" s="43" t="str">
        <f>IFERROR(INDEX('WB HCW &amp; Beds'!$F$286:$BM$286,1,MATCH($BN461,$F461:$BM461,0)),"No reported value")</f>
        <v>No reported value</v>
      </c>
      <c r="BP461" s="43">
        <f>IF(BN461="No reported value",'WB HCW &amp; Beds'!BP$283,BN461)</f>
        <v>0.4</v>
      </c>
    </row>
    <row r="462" spans="2:68" hidden="1" x14ac:dyDescent="0.75">
      <c r="B462" s="43" t="s">
        <v>488</v>
      </c>
      <c r="C462" s="43" t="s">
        <v>107</v>
      </c>
      <c r="D462" s="43" t="s">
        <v>771</v>
      </c>
      <c r="E462" s="43" t="s">
        <v>770</v>
      </c>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t="str">
        <f t="shared" si="12"/>
        <v>No reported value</v>
      </c>
      <c r="BO462" s="43" t="str">
        <f>IFERROR(INDEX('WB HCW &amp; Beds'!$F$286:$BM$286,1,MATCH($BN462,$F462:$BM462,0)),"No reported value")</f>
        <v>No reported value</v>
      </c>
      <c r="BP462" s="43">
        <f>IF(BN462="No reported value",'WB HCW &amp; Beds'!BP$283,BN462)</f>
        <v>0.4</v>
      </c>
    </row>
    <row r="463" spans="2:68" hidden="1" x14ac:dyDescent="0.75">
      <c r="B463" s="43" t="s">
        <v>179</v>
      </c>
      <c r="C463" s="43" t="s">
        <v>108</v>
      </c>
      <c r="D463" s="43" t="s">
        <v>771</v>
      </c>
      <c r="E463" s="43" t="s">
        <v>770</v>
      </c>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v>0.68400000000000005</v>
      </c>
      <c r="AY463" s="43"/>
      <c r="AZ463" s="43"/>
      <c r="BA463" s="43"/>
      <c r="BB463" s="43"/>
      <c r="BC463" s="43"/>
      <c r="BD463" s="43"/>
      <c r="BE463" s="43"/>
      <c r="BF463" s="43"/>
      <c r="BG463" s="43"/>
      <c r="BH463" s="43"/>
      <c r="BI463" s="43"/>
      <c r="BJ463" s="43"/>
      <c r="BK463" s="43"/>
      <c r="BL463" s="43"/>
      <c r="BM463" s="43"/>
      <c r="BN463" s="43">
        <f t="shared" si="12"/>
        <v>0.68400000000000005</v>
      </c>
      <c r="BO463" s="43">
        <f>IFERROR(INDEX('WB HCW &amp; Beds'!$F$286:$BM$286,1,MATCH($BN463,$F463:$BM463,0)),"No reported value")</f>
        <v>2004</v>
      </c>
      <c r="BP463" s="43">
        <f>IF(BN463="No reported value",'WB HCW &amp; Beds'!BP$283,BN463)</f>
        <v>0.68400000000000005</v>
      </c>
    </row>
    <row r="464" spans="2:68" hidden="1" x14ac:dyDescent="0.75">
      <c r="B464" s="43" t="s">
        <v>251</v>
      </c>
      <c r="C464" s="43" t="s">
        <v>109</v>
      </c>
      <c r="D464" s="43" t="s">
        <v>771</v>
      </c>
      <c r="E464" s="43" t="s">
        <v>770</v>
      </c>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v>1.393</v>
      </c>
      <c r="BC464" s="43">
        <v>0.29899999999999999</v>
      </c>
      <c r="BD464" s="43"/>
      <c r="BE464" s="43">
        <v>1.6930000000000001</v>
      </c>
      <c r="BF464" s="43"/>
      <c r="BG464" s="43"/>
      <c r="BH464" s="43"/>
      <c r="BI464" s="43"/>
      <c r="BJ464" s="43"/>
      <c r="BK464" s="43"/>
      <c r="BL464" s="43"/>
      <c r="BM464" s="43"/>
      <c r="BN464" s="43">
        <f t="shared" si="12"/>
        <v>1.6930000000000001</v>
      </c>
      <c r="BO464" s="43">
        <f>IFERROR(INDEX('WB HCW &amp; Beds'!$F$286:$BM$286,1,MATCH($BN464,$F464:$BM464,0)),"No reported value")</f>
        <v>2011</v>
      </c>
      <c r="BP464" s="43">
        <f>IF(BN464="No reported value",'WB HCW &amp; Beds'!BP$283,BN464)</f>
        <v>1.6930000000000001</v>
      </c>
    </row>
    <row r="465" spans="2:68" hidden="1" x14ac:dyDescent="0.75">
      <c r="B465" s="43" t="s">
        <v>481</v>
      </c>
      <c r="C465" s="43" t="s">
        <v>110</v>
      </c>
      <c r="D465" s="43" t="s">
        <v>771</v>
      </c>
      <c r="E465" s="43" t="s">
        <v>770</v>
      </c>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t="str">
        <f t="shared" si="12"/>
        <v>No reported value</v>
      </c>
      <c r="BO465" s="43" t="str">
        <f>IFERROR(INDEX('WB HCW &amp; Beds'!$F$286:$BM$286,1,MATCH($BN465,$F465:$BM465,0)),"No reported value")</f>
        <v>No reported value</v>
      </c>
      <c r="BP465" s="43">
        <f>IF(BN465="No reported value",'WB HCW &amp; Beds'!BP$283,BN465)</f>
        <v>0.4</v>
      </c>
    </row>
    <row r="466" spans="2:68" hidden="1" x14ac:dyDescent="0.75">
      <c r="B466" s="43" t="s">
        <v>491</v>
      </c>
      <c r="C466" s="43" t="s">
        <v>492</v>
      </c>
      <c r="D466" s="43" t="s">
        <v>771</v>
      </c>
      <c r="E466" s="43" t="s">
        <v>770</v>
      </c>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t="str">
        <f t="shared" si="12"/>
        <v>No reported value</v>
      </c>
      <c r="BO466" s="43" t="str">
        <f>IFERROR(INDEX('WB HCW &amp; Beds'!$F$286:$BM$286,1,MATCH($BN466,$F466:$BM466,0)),"No reported value")</f>
        <v>No reported value</v>
      </c>
      <c r="BP466" s="43">
        <f>IF(BN466="No reported value",'WB HCW &amp; Beds'!BP$283,BN466)</f>
        <v>0.4</v>
      </c>
    </row>
    <row r="467" spans="2:68" hidden="1" x14ac:dyDescent="0.75">
      <c r="B467" s="43" t="s">
        <v>493</v>
      </c>
      <c r="C467" s="43" t="s">
        <v>111</v>
      </c>
      <c r="D467" s="43" t="s">
        <v>771</v>
      </c>
      <c r="E467" s="43" t="s">
        <v>770</v>
      </c>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t="str">
        <f t="shared" si="12"/>
        <v>No reported value</v>
      </c>
      <c r="BO467" s="43" t="str">
        <f>IFERROR(INDEX('WB HCW &amp; Beds'!$F$286:$BM$286,1,MATCH($BN467,$F467:$BM467,0)),"No reported value")</f>
        <v>No reported value</v>
      </c>
      <c r="BP467" s="43">
        <f>IF(BN467="No reported value",'WB HCW &amp; Beds'!BP$283,BN467)</f>
        <v>0.4</v>
      </c>
    </row>
    <row r="468" spans="2:68" hidden="1" x14ac:dyDescent="0.75">
      <c r="B468" s="43" t="s">
        <v>494</v>
      </c>
      <c r="C468" s="43" t="s">
        <v>495</v>
      </c>
      <c r="D468" s="43" t="s">
        <v>771</v>
      </c>
      <c r="E468" s="43" t="s">
        <v>770</v>
      </c>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t="str">
        <f t="shared" si="12"/>
        <v>No reported value</v>
      </c>
      <c r="BO468" s="43" t="str">
        <f>IFERROR(INDEX('WB HCW &amp; Beds'!$F$286:$BM$286,1,MATCH($BN468,$F468:$BM468,0)),"No reported value")</f>
        <v>No reported value</v>
      </c>
      <c r="BP468" s="43">
        <f>IF(BN468="No reported value",'WB HCW &amp; Beds'!BP$283,BN468)</f>
        <v>0.4</v>
      </c>
    </row>
    <row r="469" spans="2:68" hidden="1" x14ac:dyDescent="0.75">
      <c r="B469" s="43" t="s">
        <v>176</v>
      </c>
      <c r="C469" s="43" t="s">
        <v>112</v>
      </c>
      <c r="D469" s="43" t="s">
        <v>771</v>
      </c>
      <c r="E469" s="43" t="s">
        <v>770</v>
      </c>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v>3.3000000000000002E-2</v>
      </c>
      <c r="AM469" s="43">
        <v>3.4000000000000002E-2</v>
      </c>
      <c r="AN469" s="43">
        <v>3.4000000000000002E-2</v>
      </c>
      <c r="AO469" s="43">
        <v>3.4000000000000002E-2</v>
      </c>
      <c r="AP469" s="43">
        <v>3.5000000000000003E-2</v>
      </c>
      <c r="AQ469" s="43">
        <v>3.5999999999999997E-2</v>
      </c>
      <c r="AR469" s="43">
        <v>3.7999999999999999E-2</v>
      </c>
      <c r="AS469" s="43">
        <v>3.9E-2</v>
      </c>
      <c r="AT469" s="43">
        <v>3.9E-2</v>
      </c>
      <c r="AU469" s="43">
        <v>0.04</v>
      </c>
      <c r="AV469" s="43"/>
      <c r="AW469" s="43"/>
      <c r="AX469" s="43"/>
      <c r="AY469" s="43"/>
      <c r="AZ469" s="43"/>
      <c r="BA469" s="43"/>
      <c r="BB469" s="43">
        <v>6.0999999999999999E-2</v>
      </c>
      <c r="BC469" s="43">
        <v>6.4000000000000001E-2</v>
      </c>
      <c r="BD469" s="43">
        <v>6.8000000000000005E-2</v>
      </c>
      <c r="BE469" s="43">
        <v>7.2999999999999995E-2</v>
      </c>
      <c r="BF469" s="43"/>
      <c r="BG469" s="43"/>
      <c r="BH469" s="43"/>
      <c r="BI469" s="43">
        <v>8.6999999999999994E-2</v>
      </c>
      <c r="BJ469" s="43"/>
      <c r="BK469" s="43"/>
      <c r="BL469" s="43"/>
      <c r="BM469" s="43"/>
      <c r="BN469" s="43">
        <f t="shared" si="12"/>
        <v>8.6999999999999994E-2</v>
      </c>
      <c r="BO469" s="43">
        <f>IFERROR(INDEX('WB HCW &amp; Beds'!$F$286:$BM$286,1,MATCH($BN469,$F469:$BM469,0)),"No reported value")</f>
        <v>2015</v>
      </c>
      <c r="BP469" s="43">
        <f>IF(BN469="No reported value",'WB HCW &amp; Beds'!BP$283,BN469)</f>
        <v>8.6999999999999994E-2</v>
      </c>
    </row>
    <row r="470" spans="2:68" hidden="1" x14ac:dyDescent="0.75">
      <c r="B470" s="43" t="s">
        <v>500</v>
      </c>
      <c r="C470" s="43" t="s">
        <v>113</v>
      </c>
      <c r="D470" s="43" t="s">
        <v>771</v>
      </c>
      <c r="E470" s="43" t="s">
        <v>770</v>
      </c>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v>0.46</v>
      </c>
      <c r="AU470" s="43"/>
      <c r="AV470" s="43"/>
      <c r="AW470" s="43"/>
      <c r="AX470" s="43"/>
      <c r="AY470" s="43"/>
      <c r="AZ470" s="43"/>
      <c r="BA470" s="43"/>
      <c r="BB470" s="43"/>
      <c r="BC470" s="43"/>
      <c r="BD470" s="43"/>
      <c r="BE470" s="43"/>
      <c r="BF470" s="43"/>
      <c r="BG470" s="43"/>
      <c r="BH470" s="43"/>
      <c r="BI470" s="43"/>
      <c r="BJ470" s="43"/>
      <c r="BK470" s="43"/>
      <c r="BL470" s="43"/>
      <c r="BM470" s="43"/>
      <c r="BN470" s="43">
        <f t="shared" si="12"/>
        <v>0.46</v>
      </c>
      <c r="BO470" s="43">
        <f>IFERROR(INDEX('WB HCW &amp; Beds'!$F$286:$BM$286,1,MATCH($BN470,$F470:$BM470,0)),"No reported value")</f>
        <v>2000</v>
      </c>
      <c r="BP470" s="43">
        <f>IF(BN470="No reported value",'WB HCW &amp; Beds'!BP$283,BN470)</f>
        <v>0.46</v>
      </c>
    </row>
    <row r="471" spans="2:68" hidden="1" x14ac:dyDescent="0.75">
      <c r="B471" s="43" t="s">
        <v>501</v>
      </c>
      <c r="C471" s="43" t="s">
        <v>114</v>
      </c>
      <c r="D471" s="43" t="s">
        <v>771</v>
      </c>
      <c r="E471" s="43" t="s">
        <v>770</v>
      </c>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t="str">
        <f t="shared" si="12"/>
        <v>No reported value</v>
      </c>
      <c r="BO471" s="43" t="str">
        <f>IFERROR(INDEX('WB HCW &amp; Beds'!$F$286:$BM$286,1,MATCH($BN471,$F471:$BM471,0)),"No reported value")</f>
        <v>No reported value</v>
      </c>
      <c r="BP471" s="43">
        <f>IF(BN471="No reported value",'WB HCW &amp; Beds'!BP$283,BN471)</f>
        <v>0.4</v>
      </c>
    </row>
    <row r="472" spans="2:68" hidden="1" x14ac:dyDescent="0.75">
      <c r="B472" s="43" t="s">
        <v>253</v>
      </c>
      <c r="C472" s="43" t="s">
        <v>115</v>
      </c>
      <c r="D472" s="43" t="s">
        <v>771</v>
      </c>
      <c r="E472" s="43" t="s">
        <v>770</v>
      </c>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t="str">
        <f t="shared" si="12"/>
        <v>No reported value</v>
      </c>
      <c r="BO472" s="43" t="str">
        <f>IFERROR(INDEX('WB HCW &amp; Beds'!$F$286:$BM$286,1,MATCH($BN472,$F472:$BM472,0)),"No reported value")</f>
        <v>No reported value</v>
      </c>
      <c r="BP472" s="43">
        <f>IF(BN472="No reported value",'WB HCW &amp; Beds'!BP$283,BN472)</f>
        <v>0.4</v>
      </c>
    </row>
    <row r="473" spans="2:68" hidden="1" x14ac:dyDescent="0.75">
      <c r="B473" s="43" t="s">
        <v>498</v>
      </c>
      <c r="C473" s="43" t="s">
        <v>499</v>
      </c>
      <c r="D473" s="43" t="s">
        <v>771</v>
      </c>
      <c r="E473" s="43" t="s">
        <v>770</v>
      </c>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t="str">
        <f t="shared" si="12"/>
        <v>No reported value</v>
      </c>
      <c r="BO473" s="43" t="str">
        <f>IFERROR(INDEX('WB HCW &amp; Beds'!$F$286:$BM$286,1,MATCH($BN473,$F473:$BM473,0)),"No reported value")</f>
        <v>No reported value</v>
      </c>
      <c r="BP473" s="43">
        <f>IF(BN473="No reported value",'WB HCW &amp; Beds'!BP$283,BN473)</f>
        <v>0.4</v>
      </c>
    </row>
    <row r="474" spans="2:68" hidden="1" x14ac:dyDescent="0.75">
      <c r="B474" s="43" t="s">
        <v>252</v>
      </c>
      <c r="C474" s="43" t="s">
        <v>116</v>
      </c>
      <c r="D474" s="43" t="s">
        <v>771</v>
      </c>
      <c r="E474" s="43" t="s">
        <v>770</v>
      </c>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v>0.59399999999999997</v>
      </c>
      <c r="BC474" s="43"/>
      <c r="BD474" s="43"/>
      <c r="BE474" s="43"/>
      <c r="BF474" s="43"/>
      <c r="BG474" s="43"/>
      <c r="BH474" s="43"/>
      <c r="BI474" s="43"/>
      <c r="BJ474" s="43"/>
      <c r="BK474" s="43"/>
      <c r="BL474" s="43"/>
      <c r="BM474" s="43"/>
      <c r="BN474" s="43">
        <f t="shared" si="12"/>
        <v>0.59399999999999997</v>
      </c>
      <c r="BO474" s="43">
        <f>IFERROR(INDEX('WB HCW &amp; Beds'!$F$286:$BM$286,1,MATCH($BN474,$F474:$BM474,0)),"No reported value")</f>
        <v>2008</v>
      </c>
      <c r="BP474" s="43">
        <f>IF(BN474="No reported value",'WB HCW &amp; Beds'!BP$283,BN474)</f>
        <v>0.59399999999999997</v>
      </c>
    </row>
    <row r="475" spans="2:68" hidden="1" x14ac:dyDescent="0.75">
      <c r="B475" s="43" t="s">
        <v>502</v>
      </c>
      <c r="C475" s="43" t="s">
        <v>117</v>
      </c>
      <c r="D475" s="43" t="s">
        <v>771</v>
      </c>
      <c r="E475" s="43" t="s">
        <v>770</v>
      </c>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t="str">
        <f t="shared" si="12"/>
        <v>No reported value</v>
      </c>
      <c r="BO475" s="43" t="str">
        <f>IFERROR(INDEX('WB HCW &amp; Beds'!$F$286:$BM$286,1,MATCH($BN475,$F475:$BM475,0)),"No reported value")</f>
        <v>No reported value</v>
      </c>
      <c r="BP475" s="43">
        <f>IF(BN475="No reported value",'WB HCW &amp; Beds'!BP$283,BN475)</f>
        <v>0.4</v>
      </c>
    </row>
    <row r="476" spans="2:68" hidden="1" x14ac:dyDescent="0.75">
      <c r="B476" s="43" t="s">
        <v>506</v>
      </c>
      <c r="C476" s="43" t="s">
        <v>507</v>
      </c>
      <c r="D476" s="43" t="s">
        <v>771</v>
      </c>
      <c r="E476" s="43" t="s">
        <v>770</v>
      </c>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t="str">
        <f t="shared" si="12"/>
        <v>No reported value</v>
      </c>
      <c r="BO476" s="43" t="str">
        <f>IFERROR(INDEX('WB HCW &amp; Beds'!$F$286:$BM$286,1,MATCH($BN476,$F476:$BM476,0)),"No reported value")</f>
        <v>No reported value</v>
      </c>
      <c r="BP476" s="43">
        <f>IF(BN476="No reported value",'WB HCW &amp; Beds'!BP$283,BN476)</f>
        <v>0.4</v>
      </c>
    </row>
    <row r="477" spans="2:68" hidden="1" x14ac:dyDescent="0.75">
      <c r="B477" s="43" t="s">
        <v>508</v>
      </c>
      <c r="C477" s="43" t="s">
        <v>509</v>
      </c>
      <c r="D477" s="43" t="s">
        <v>771</v>
      </c>
      <c r="E477" s="43" t="s">
        <v>770</v>
      </c>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t="str">
        <f t="shared" si="12"/>
        <v>No reported value</v>
      </c>
      <c r="BO477" s="43" t="str">
        <f>IFERROR(INDEX('WB HCW &amp; Beds'!$F$286:$BM$286,1,MATCH($BN477,$F477:$BM477,0)),"No reported value")</f>
        <v>No reported value</v>
      </c>
      <c r="BP477" s="43">
        <f>IF(BN477="No reported value",'WB HCW &amp; Beds'!BP$283,BN477)</f>
        <v>0.4</v>
      </c>
    </row>
    <row r="478" spans="2:68" hidden="1" x14ac:dyDescent="0.75">
      <c r="B478" s="43" t="s">
        <v>429</v>
      </c>
      <c r="C478" s="43" t="s">
        <v>158</v>
      </c>
      <c r="D478" s="43" t="s">
        <v>771</v>
      </c>
      <c r="E478" s="43" t="s">
        <v>770</v>
      </c>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t="str">
        <f t="shared" si="12"/>
        <v>No reported value</v>
      </c>
      <c r="BO478" s="43" t="str">
        <f>IFERROR(INDEX('WB HCW &amp; Beds'!$F$286:$BM$286,1,MATCH($BN478,$F478:$BM478,0)),"No reported value")</f>
        <v>No reported value</v>
      </c>
      <c r="BP478" s="43">
        <f>IF(BN478="No reported value",'WB HCW &amp; Beds'!BP$283,BN478)</f>
        <v>0.4</v>
      </c>
    </row>
    <row r="479" spans="2:68" hidden="1" x14ac:dyDescent="0.75">
      <c r="B479" s="43" t="s">
        <v>503</v>
      </c>
      <c r="C479" s="43" t="s">
        <v>118</v>
      </c>
      <c r="D479" s="43" t="s">
        <v>771</v>
      </c>
      <c r="E479" s="43" t="s">
        <v>770</v>
      </c>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t="str">
        <f t="shared" ref="BN479:BN542" si="13">IFERROR(LOOKUP(2,1/(ISNUMBER(F479:BM479)),F479:BM479),"No reported value")</f>
        <v>No reported value</v>
      </c>
      <c r="BO479" s="43" t="str">
        <f>IFERROR(INDEX('WB HCW &amp; Beds'!$F$286:$BM$286,1,MATCH($BN479,$F479:$BM479,0)),"No reported value")</f>
        <v>No reported value</v>
      </c>
      <c r="BP479" s="43">
        <f>IF(BN479="No reported value",'WB HCW &amp; Beds'!BP$283,BN479)</f>
        <v>0.4</v>
      </c>
    </row>
    <row r="480" spans="2:68" hidden="1" x14ac:dyDescent="0.75">
      <c r="B480" s="43" t="s">
        <v>228</v>
      </c>
      <c r="C480" s="43" t="s">
        <v>119</v>
      </c>
      <c r="D480" s="43" t="s">
        <v>771</v>
      </c>
      <c r="E480" s="43" t="s">
        <v>770</v>
      </c>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t="str">
        <f t="shared" si="13"/>
        <v>No reported value</v>
      </c>
      <c r="BO480" s="43" t="str">
        <f>IFERROR(INDEX('WB HCW &amp; Beds'!$F$286:$BM$286,1,MATCH($BN480,$F480:$BM480,0)),"No reported value")</f>
        <v>No reported value</v>
      </c>
      <c r="BP480" s="43">
        <f>IF(BN480="No reported value",'WB HCW &amp; Beds'!BP$283,BN480)</f>
        <v>0.4</v>
      </c>
    </row>
    <row r="481" spans="2:68" hidden="1" x14ac:dyDescent="0.75">
      <c r="B481" s="43" t="s">
        <v>568</v>
      </c>
      <c r="C481" s="43" t="s">
        <v>569</v>
      </c>
      <c r="D481" s="43" t="s">
        <v>771</v>
      </c>
      <c r="E481" s="43" t="s">
        <v>770</v>
      </c>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t="str">
        <f t="shared" si="13"/>
        <v>No reported value</v>
      </c>
      <c r="BO481" s="43" t="str">
        <f>IFERROR(INDEX('WB HCW &amp; Beds'!$F$286:$BM$286,1,MATCH($BN481,$F481:$BM481,0)),"No reported value")</f>
        <v>No reported value</v>
      </c>
      <c r="BP481" s="43">
        <f>IF(BN481="No reported value",'WB HCW &amp; Beds'!BP$283,BN481)</f>
        <v>0.4</v>
      </c>
    </row>
    <row r="482" spans="2:68" hidden="1" x14ac:dyDescent="0.75">
      <c r="B482" s="43" t="s">
        <v>496</v>
      </c>
      <c r="C482" s="43" t="s">
        <v>497</v>
      </c>
      <c r="D482" s="43" t="s">
        <v>771</v>
      </c>
      <c r="E482" s="43" t="s">
        <v>770</v>
      </c>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t="str">
        <f t="shared" si="13"/>
        <v>No reported value</v>
      </c>
      <c r="BO482" s="43" t="str">
        <f>IFERROR(INDEX('WB HCW &amp; Beds'!$F$286:$BM$286,1,MATCH($BN482,$F482:$BM482,0)),"No reported value")</f>
        <v>No reported value</v>
      </c>
      <c r="BP482" s="43">
        <f>IF(BN482="No reported value",'WB HCW &amp; Beds'!BP$283,BN482)</f>
        <v>0.4</v>
      </c>
    </row>
    <row r="483" spans="2:68" hidden="1" x14ac:dyDescent="0.75">
      <c r="B483" s="43" t="s">
        <v>504</v>
      </c>
      <c r="C483" s="43" t="s">
        <v>505</v>
      </c>
      <c r="D483" s="43" t="s">
        <v>771</v>
      </c>
      <c r="E483" s="43" t="s">
        <v>770</v>
      </c>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t="str">
        <f t="shared" si="13"/>
        <v>No reported value</v>
      </c>
      <c r="BO483" s="43" t="str">
        <f>IFERROR(INDEX('WB HCW &amp; Beds'!$F$286:$BM$286,1,MATCH($BN483,$F483:$BM483,0)),"No reported value")</f>
        <v>No reported value</v>
      </c>
      <c r="BP483" s="43">
        <f>IF(BN483="No reported value",'WB HCW &amp; Beds'!BP$283,BN483)</f>
        <v>0.4</v>
      </c>
    </row>
    <row r="484" spans="2:68" hidden="1" x14ac:dyDescent="0.75">
      <c r="B484" s="43" t="s">
        <v>397</v>
      </c>
      <c r="C484" s="43" t="s">
        <v>398</v>
      </c>
      <c r="D484" s="43" t="s">
        <v>771</v>
      </c>
      <c r="E484" s="43" t="s">
        <v>770</v>
      </c>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t="str">
        <f t="shared" si="13"/>
        <v>No reported value</v>
      </c>
      <c r="BO484" s="43" t="str">
        <f>IFERROR(INDEX('WB HCW &amp; Beds'!$F$286:$BM$286,1,MATCH($BN484,$F484:$BM484,0)),"No reported value")</f>
        <v>No reported value</v>
      </c>
      <c r="BP484" s="43">
        <f>IF(BN484="No reported value",'WB HCW &amp; Beds'!BP$283,BN484)</f>
        <v>0.4</v>
      </c>
    </row>
    <row r="485" spans="2:68" hidden="1" x14ac:dyDescent="0.75">
      <c r="B485" s="43" t="s">
        <v>510</v>
      </c>
      <c r="C485" s="43" t="s">
        <v>120</v>
      </c>
      <c r="D485" s="43" t="s">
        <v>771</v>
      </c>
      <c r="E485" s="43" t="s">
        <v>770</v>
      </c>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t="str">
        <f t="shared" si="13"/>
        <v>No reported value</v>
      </c>
      <c r="BO485" s="43" t="str">
        <f>IFERROR(INDEX('WB HCW &amp; Beds'!$F$286:$BM$286,1,MATCH($BN485,$F485:$BM485,0)),"No reported value")</f>
        <v>No reported value</v>
      </c>
      <c r="BP485" s="43">
        <f>IF(BN485="No reported value",'WB HCW &amp; Beds'!BP$283,BN485)</f>
        <v>0.4</v>
      </c>
    </row>
    <row r="486" spans="2:68" hidden="1" x14ac:dyDescent="0.75">
      <c r="B486" s="43" t="s">
        <v>511</v>
      </c>
      <c r="C486" s="43" t="s">
        <v>121</v>
      </c>
      <c r="D486" s="43" t="s">
        <v>771</v>
      </c>
      <c r="E486" s="43" t="s">
        <v>770</v>
      </c>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t="str">
        <f t="shared" si="13"/>
        <v>No reported value</v>
      </c>
      <c r="BO486" s="43" t="str">
        <f>IFERROR(INDEX('WB HCW &amp; Beds'!$F$286:$BM$286,1,MATCH($BN486,$F486:$BM486,0)),"No reported value")</f>
        <v>No reported value</v>
      </c>
      <c r="BP486" s="43">
        <f>IF(BN486="No reported value",'WB HCW &amp; Beds'!BP$283,BN486)</f>
        <v>0.4</v>
      </c>
    </row>
    <row r="487" spans="2:68" hidden="1" x14ac:dyDescent="0.75">
      <c r="B487" s="43" t="s">
        <v>512</v>
      </c>
      <c r="C487" s="43" t="s">
        <v>122</v>
      </c>
      <c r="D487" s="43" t="s">
        <v>771</v>
      </c>
      <c r="E487" s="43" t="s">
        <v>770</v>
      </c>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t="str">
        <f t="shared" si="13"/>
        <v>No reported value</v>
      </c>
      <c r="BO487" s="43" t="str">
        <f>IFERROR(INDEX('WB HCW &amp; Beds'!$F$286:$BM$286,1,MATCH($BN487,$F487:$BM487,0)),"No reported value")</f>
        <v>No reported value</v>
      </c>
      <c r="BP487" s="43">
        <f>IF(BN487="No reported value",'WB HCW &amp; Beds'!BP$283,BN487)</f>
        <v>0.4</v>
      </c>
    </row>
    <row r="488" spans="2:68" hidden="1" x14ac:dyDescent="0.75">
      <c r="B488" s="43" t="s">
        <v>210</v>
      </c>
      <c r="C488" s="43" t="s">
        <v>123</v>
      </c>
      <c r="D488" s="43" t="s">
        <v>771</v>
      </c>
      <c r="E488" s="43" t="s">
        <v>770</v>
      </c>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v>1.359</v>
      </c>
      <c r="AY488" s="43"/>
      <c r="AZ488" s="43"/>
      <c r="BA488" s="43"/>
      <c r="BB488" s="43"/>
      <c r="BC488" s="43"/>
      <c r="BD488" s="43"/>
      <c r="BE488" s="43"/>
      <c r="BF488" s="43"/>
      <c r="BG488" s="43"/>
      <c r="BH488" s="43"/>
      <c r="BI488" s="43"/>
      <c r="BJ488" s="43"/>
      <c r="BK488" s="43"/>
      <c r="BL488" s="43"/>
      <c r="BM488" s="43"/>
      <c r="BN488" s="43">
        <f t="shared" si="13"/>
        <v>1.359</v>
      </c>
      <c r="BO488" s="43">
        <f>IFERROR(INDEX('WB HCW &amp; Beds'!$F$286:$BM$286,1,MATCH($BN488,$F488:$BM488,0)),"No reported value")</f>
        <v>2004</v>
      </c>
      <c r="BP488" s="43">
        <f>IF(BN488="No reported value",'WB HCW &amp; Beds'!BP$283,BN488)</f>
        <v>1.359</v>
      </c>
    </row>
    <row r="489" spans="2:68" hidden="1" x14ac:dyDescent="0.75">
      <c r="B489" s="43" t="s">
        <v>524</v>
      </c>
      <c r="C489" s="43" t="s">
        <v>525</v>
      </c>
      <c r="D489" s="43" t="s">
        <v>771</v>
      </c>
      <c r="E489" s="43" t="s">
        <v>770</v>
      </c>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v>0.14092108091665279</v>
      </c>
      <c r="AK489" s="43"/>
      <c r="AL489" s="43"/>
      <c r="AM489" s="43"/>
      <c r="AN489" s="43"/>
      <c r="AO489" s="43"/>
      <c r="AP489" s="43"/>
      <c r="AQ489" s="43"/>
      <c r="AR489" s="43"/>
      <c r="AS489" s="43"/>
      <c r="AT489" s="43"/>
      <c r="AU489" s="43"/>
      <c r="AV489" s="43"/>
      <c r="AW489" s="43"/>
      <c r="AX489" s="43"/>
      <c r="AY489" s="43"/>
      <c r="AZ489" s="43"/>
      <c r="BA489" s="43"/>
      <c r="BB489" s="43"/>
      <c r="BC489" s="43"/>
      <c r="BD489" s="43"/>
      <c r="BE489" s="43">
        <v>0.51390419136430165</v>
      </c>
      <c r="BF489" s="43"/>
      <c r="BG489" s="43"/>
      <c r="BH489" s="43"/>
      <c r="BI489" s="43"/>
      <c r="BJ489" s="43"/>
      <c r="BK489" s="43"/>
      <c r="BL489" s="43"/>
      <c r="BM489" s="43"/>
      <c r="BN489" s="43">
        <f t="shared" si="13"/>
        <v>0.51390419136430165</v>
      </c>
      <c r="BO489" s="43">
        <f>IFERROR(INDEX('WB HCW &amp; Beds'!$F$286:$BM$286,1,MATCH($BN489,$F489:$BM489,0)),"No reported value")</f>
        <v>2011</v>
      </c>
      <c r="BP489" s="43">
        <f>IF(BN489="No reported value",'WB HCW &amp; Beds'!BP$283,BN489)</f>
        <v>0.51390419136430165</v>
      </c>
    </row>
    <row r="490" spans="2:68" hidden="1" x14ac:dyDescent="0.75">
      <c r="B490" s="43" t="s">
        <v>514</v>
      </c>
      <c r="C490" s="43" t="s">
        <v>124</v>
      </c>
      <c r="D490" s="43" t="s">
        <v>771</v>
      </c>
      <c r="E490" s="43" t="s">
        <v>770</v>
      </c>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t="str">
        <f t="shared" si="13"/>
        <v>No reported value</v>
      </c>
      <c r="BO490" s="43" t="str">
        <f>IFERROR(INDEX('WB HCW &amp; Beds'!$F$286:$BM$286,1,MATCH($BN490,$F490:$BM490,0)),"No reported value")</f>
        <v>No reported value</v>
      </c>
      <c r="BP490" s="43">
        <f>IF(BN490="No reported value",'WB HCW &amp; Beds'!BP$283,BN490)</f>
        <v>0.4</v>
      </c>
    </row>
    <row r="491" spans="2:68" hidden="1" x14ac:dyDescent="0.75">
      <c r="B491" s="43" t="s">
        <v>233</v>
      </c>
      <c r="C491" s="43" t="s">
        <v>125</v>
      </c>
      <c r="D491" s="43" t="s">
        <v>771</v>
      </c>
      <c r="E491" s="43" t="s">
        <v>770</v>
      </c>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v>0.151</v>
      </c>
      <c r="AY491" s="43"/>
      <c r="AZ491" s="43"/>
      <c r="BA491" s="43"/>
      <c r="BB491" s="43"/>
      <c r="BC491" s="43"/>
      <c r="BD491" s="43"/>
      <c r="BE491" s="43"/>
      <c r="BF491" s="43"/>
      <c r="BG491" s="43"/>
      <c r="BH491" s="43"/>
      <c r="BI491" s="43"/>
      <c r="BJ491" s="43"/>
      <c r="BK491" s="43"/>
      <c r="BL491" s="43"/>
      <c r="BM491" s="43"/>
      <c r="BN491" s="43">
        <f t="shared" si="13"/>
        <v>0.151</v>
      </c>
      <c r="BO491" s="43">
        <f>IFERROR(INDEX('WB HCW &amp; Beds'!$F$286:$BM$286,1,MATCH($BN491,$F491:$BM491,0)),"No reported value")</f>
        <v>2004</v>
      </c>
      <c r="BP491" s="43">
        <f>IF(BN491="No reported value",'WB HCW &amp; Beds'!BP$283,BN491)</f>
        <v>0.151</v>
      </c>
    </row>
    <row r="492" spans="2:68" hidden="1" x14ac:dyDescent="0.75">
      <c r="B492" s="43" t="s">
        <v>212</v>
      </c>
      <c r="C492" s="43" t="s">
        <v>126</v>
      </c>
      <c r="D492" s="43" t="s">
        <v>771</v>
      </c>
      <c r="E492" s="43" t="s">
        <v>770</v>
      </c>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v>0</v>
      </c>
      <c r="BK492" s="43"/>
      <c r="BL492" s="43"/>
      <c r="BM492" s="43"/>
      <c r="BN492" s="43">
        <f t="shared" si="13"/>
        <v>0</v>
      </c>
      <c r="BO492" s="43">
        <f>IFERROR(INDEX('WB HCW &amp; Beds'!$F$286:$BM$286,1,MATCH($BN492,$F492:$BM492,0)),"No reported value")</f>
        <v>2016</v>
      </c>
      <c r="BP492" s="43">
        <f>IF(BN492="No reported value",'WB HCW &amp; Beds'!BP$283,BN492)</f>
        <v>0</v>
      </c>
    </row>
    <row r="493" spans="2:68" hidden="1" x14ac:dyDescent="0.75">
      <c r="B493" s="43" t="s">
        <v>516</v>
      </c>
      <c r="C493" s="43" t="s">
        <v>127</v>
      </c>
      <c r="D493" s="43" t="s">
        <v>771</v>
      </c>
      <c r="E493" s="43" t="s">
        <v>770</v>
      </c>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v>0.40200000000000002</v>
      </c>
      <c r="BG493" s="43">
        <v>0.39900000000000002</v>
      </c>
      <c r="BH493" s="43"/>
      <c r="BI493" s="43"/>
      <c r="BJ493" s="43">
        <v>0.503</v>
      </c>
      <c r="BK493" s="43"/>
      <c r="BL493" s="43"/>
      <c r="BM493" s="43"/>
      <c r="BN493" s="43">
        <f t="shared" si="13"/>
        <v>0.503</v>
      </c>
      <c r="BO493" s="43">
        <f>IFERROR(INDEX('WB HCW &amp; Beds'!$F$286:$BM$286,1,MATCH($BN493,$F493:$BM493,0)),"No reported value")</f>
        <v>2016</v>
      </c>
      <c r="BP493" s="43">
        <f>IF(BN493="No reported value",'WB HCW &amp; Beds'!BP$283,BN493)</f>
        <v>0.503</v>
      </c>
    </row>
    <row r="494" spans="2:68" hidden="1" x14ac:dyDescent="0.75">
      <c r="B494" s="43" t="s">
        <v>255</v>
      </c>
      <c r="C494" s="43" t="s">
        <v>128</v>
      </c>
      <c r="D494" s="43" t="s">
        <v>771</v>
      </c>
      <c r="E494" s="43" t="s">
        <v>770</v>
      </c>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t="str">
        <f t="shared" si="13"/>
        <v>No reported value</v>
      </c>
      <c r="BO494" s="43" t="str">
        <f>IFERROR(INDEX('WB HCW &amp; Beds'!$F$286:$BM$286,1,MATCH($BN494,$F494:$BM494,0)),"No reported value")</f>
        <v>No reported value</v>
      </c>
      <c r="BP494" s="43">
        <f>IF(BN494="No reported value",'WB HCW &amp; Beds'!BP$283,BN494)</f>
        <v>0.4</v>
      </c>
    </row>
    <row r="495" spans="2:68" hidden="1" x14ac:dyDescent="0.75">
      <c r="B495" s="43" t="s">
        <v>214</v>
      </c>
      <c r="C495" s="43" t="s">
        <v>129</v>
      </c>
      <c r="D495" s="43" t="s">
        <v>771</v>
      </c>
      <c r="E495" s="43" t="s">
        <v>770</v>
      </c>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v>0.115</v>
      </c>
      <c r="AY495" s="43"/>
      <c r="AZ495" s="43"/>
      <c r="BA495" s="43"/>
      <c r="BB495" s="43">
        <v>2.4E-2</v>
      </c>
      <c r="BC495" s="43"/>
      <c r="BD495" s="43">
        <v>2.3E-2</v>
      </c>
      <c r="BE495" s="43"/>
      <c r="BF495" s="43"/>
      <c r="BG495" s="43"/>
      <c r="BH495" s="43"/>
      <c r="BI495" s="43"/>
      <c r="BJ495" s="43"/>
      <c r="BK495" s="43"/>
      <c r="BL495" s="43"/>
      <c r="BM495" s="43"/>
      <c r="BN495" s="43">
        <f t="shared" si="13"/>
        <v>2.3E-2</v>
      </c>
      <c r="BO495" s="43">
        <f>IFERROR(INDEX('WB HCW &amp; Beds'!$F$286:$BM$286,1,MATCH($BN495,$F495:$BM495,0)),"No reported value")</f>
        <v>2010</v>
      </c>
      <c r="BP495" s="43">
        <f>IF(BN495="No reported value",'WB HCW &amp; Beds'!BP$283,BN495)</f>
        <v>2.3E-2</v>
      </c>
    </row>
    <row r="496" spans="2:68" hidden="1" x14ac:dyDescent="0.75">
      <c r="B496" s="43" t="s">
        <v>222</v>
      </c>
      <c r="C496" s="43" t="s">
        <v>164</v>
      </c>
      <c r="D496" s="43" t="s">
        <v>771</v>
      </c>
      <c r="E496" s="43" t="s">
        <v>770</v>
      </c>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t="str">
        <f t="shared" si="13"/>
        <v>No reported value</v>
      </c>
      <c r="BO496" s="43" t="str">
        <f>IFERROR(INDEX('WB HCW &amp; Beds'!$F$286:$BM$286,1,MATCH($BN496,$F496:$BM496,0)),"No reported value")</f>
        <v>No reported value</v>
      </c>
      <c r="BP496" s="43">
        <f>IF(BN496="No reported value",'WB HCW &amp; Beds'!BP$283,BN496)</f>
        <v>0.4</v>
      </c>
    </row>
    <row r="497" spans="2:68" hidden="1" x14ac:dyDescent="0.75">
      <c r="B497" s="43" t="s">
        <v>513</v>
      </c>
      <c r="C497" s="43" t="s">
        <v>130</v>
      </c>
      <c r="D497" s="43" t="s">
        <v>771</v>
      </c>
      <c r="E497" s="43" t="s">
        <v>770</v>
      </c>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t="str">
        <f t="shared" si="13"/>
        <v>No reported value</v>
      </c>
      <c r="BO497" s="43" t="str">
        <f>IFERROR(INDEX('WB HCW &amp; Beds'!$F$286:$BM$286,1,MATCH($BN497,$F497:$BM497,0)),"No reported value")</f>
        <v>No reported value</v>
      </c>
      <c r="BP497" s="43">
        <f>IF(BN497="No reported value",'WB HCW &amp; Beds'!BP$283,BN497)</f>
        <v>0.4</v>
      </c>
    </row>
    <row r="498" spans="2:68" hidden="1" x14ac:dyDescent="0.75">
      <c r="B498" s="43" t="s">
        <v>232</v>
      </c>
      <c r="C498" s="43" t="s">
        <v>171</v>
      </c>
      <c r="D498" s="43" t="s">
        <v>771</v>
      </c>
      <c r="E498" s="43" t="s">
        <v>770</v>
      </c>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t="str">
        <f t="shared" si="13"/>
        <v>No reported value</v>
      </c>
      <c r="BO498" s="43" t="str">
        <f>IFERROR(INDEX('WB HCW &amp; Beds'!$F$286:$BM$286,1,MATCH($BN498,$F498:$BM498,0)),"No reported value")</f>
        <v>No reported value</v>
      </c>
      <c r="BP498" s="43">
        <f>IF(BN498="No reported value",'WB HCW &amp; Beds'!BP$283,BN498)</f>
        <v>0.4</v>
      </c>
    </row>
    <row r="499" spans="2:68" hidden="1" x14ac:dyDescent="0.75">
      <c r="B499" s="43" t="s">
        <v>515</v>
      </c>
      <c r="C499" s="43" t="s">
        <v>131</v>
      </c>
      <c r="D499" s="43" t="s">
        <v>771</v>
      </c>
      <c r="E499" s="43" t="s">
        <v>770</v>
      </c>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t="str">
        <f t="shared" si="13"/>
        <v>No reported value</v>
      </c>
      <c r="BO499" s="43" t="str">
        <f>IFERROR(INDEX('WB HCW &amp; Beds'!$F$286:$BM$286,1,MATCH($BN499,$F499:$BM499,0)),"No reported value")</f>
        <v>No reported value</v>
      </c>
      <c r="BP499" s="43">
        <f>IF(BN499="No reported value",'WB HCW &amp; Beds'!BP$283,BN499)</f>
        <v>0.4</v>
      </c>
    </row>
    <row r="500" spans="2:68" hidden="1" x14ac:dyDescent="0.75">
      <c r="B500" s="43" t="s">
        <v>540</v>
      </c>
      <c r="C500" s="43" t="s">
        <v>541</v>
      </c>
      <c r="D500" s="43" t="s">
        <v>771</v>
      </c>
      <c r="E500" s="43" t="s">
        <v>770</v>
      </c>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t="str">
        <f t="shared" si="13"/>
        <v>No reported value</v>
      </c>
      <c r="BO500" s="43" t="str">
        <f>IFERROR(INDEX('WB HCW &amp; Beds'!$F$286:$BM$286,1,MATCH($BN500,$F500:$BM500,0)),"No reported value")</f>
        <v>No reported value</v>
      </c>
      <c r="BP500" s="43">
        <f>IF(BN500="No reported value",'WB HCW &amp; Beds'!BP$283,BN500)</f>
        <v>0.4</v>
      </c>
    </row>
    <row r="501" spans="2:68" hidden="1" x14ac:dyDescent="0.75">
      <c r="B501" s="43" t="s">
        <v>528</v>
      </c>
      <c r="C501" s="43" t="s">
        <v>529</v>
      </c>
      <c r="D501" s="43" t="s">
        <v>771</v>
      </c>
      <c r="E501" s="43" t="s">
        <v>770</v>
      </c>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t="str">
        <f t="shared" si="13"/>
        <v>No reported value</v>
      </c>
      <c r="BO501" s="43" t="str">
        <f>IFERROR(INDEX('WB HCW &amp; Beds'!$F$286:$BM$286,1,MATCH($BN501,$F501:$BM501,0)),"No reported value")</f>
        <v>No reported value</v>
      </c>
      <c r="BP501" s="43">
        <f>IF(BN501="No reported value",'WB HCW &amp; Beds'!BP$283,BN501)</f>
        <v>0.4</v>
      </c>
    </row>
    <row r="502" spans="2:68" hidden="1" x14ac:dyDescent="0.75">
      <c r="B502" s="43" t="s">
        <v>538</v>
      </c>
      <c r="C502" s="43" t="s">
        <v>539</v>
      </c>
      <c r="D502" s="43" t="s">
        <v>771</v>
      </c>
      <c r="E502" s="43" t="s">
        <v>770</v>
      </c>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t="str">
        <f t="shared" si="13"/>
        <v>No reported value</v>
      </c>
      <c r="BO502" s="43" t="str">
        <f>IFERROR(INDEX('WB HCW &amp; Beds'!$F$286:$BM$286,1,MATCH($BN502,$F502:$BM502,0)),"No reported value")</f>
        <v>No reported value</v>
      </c>
      <c r="BP502" s="43">
        <f>IF(BN502="No reported value",'WB HCW &amp; Beds'!BP$283,BN502)</f>
        <v>0.4</v>
      </c>
    </row>
    <row r="503" spans="2:68" hidden="1" x14ac:dyDescent="0.75">
      <c r="B503" s="43" t="s">
        <v>522</v>
      </c>
      <c r="C503" s="43" t="s">
        <v>523</v>
      </c>
      <c r="D503" s="43" t="s">
        <v>771</v>
      </c>
      <c r="E503" s="43" t="s">
        <v>770</v>
      </c>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t="str">
        <f t="shared" si="13"/>
        <v>No reported value</v>
      </c>
      <c r="BO503" s="43" t="str">
        <f>IFERROR(INDEX('WB HCW &amp; Beds'!$F$286:$BM$286,1,MATCH($BN503,$F503:$BM503,0)),"No reported value")</f>
        <v>No reported value</v>
      </c>
      <c r="BP503" s="43">
        <f>IF(BN503="No reported value",'WB HCW &amp; Beds'!BP$283,BN503)</f>
        <v>0.4</v>
      </c>
    </row>
    <row r="504" spans="2:68" hidden="1" x14ac:dyDescent="0.75">
      <c r="B504" s="43" t="s">
        <v>211</v>
      </c>
      <c r="C504" s="43" t="s">
        <v>175</v>
      </c>
      <c r="D504" s="43" t="s">
        <v>771</v>
      </c>
      <c r="E504" s="43" t="s">
        <v>770</v>
      </c>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v>1.002</v>
      </c>
      <c r="AY504" s="43"/>
      <c r="AZ504" s="43"/>
      <c r="BA504" s="43"/>
      <c r="BB504" s="43"/>
      <c r="BC504" s="43"/>
      <c r="BD504" s="43"/>
      <c r="BE504" s="43"/>
      <c r="BF504" s="43"/>
      <c r="BG504" s="43"/>
      <c r="BH504" s="43"/>
      <c r="BI504" s="43"/>
      <c r="BJ504" s="43"/>
      <c r="BK504" s="43"/>
      <c r="BL504" s="43"/>
      <c r="BM504" s="43"/>
      <c r="BN504" s="43">
        <f t="shared" si="13"/>
        <v>1.002</v>
      </c>
      <c r="BO504" s="43">
        <f>IFERROR(INDEX('WB HCW &amp; Beds'!$F$286:$BM$286,1,MATCH($BN504,$F504:$BM504,0)),"No reported value")</f>
        <v>2004</v>
      </c>
      <c r="BP504" s="43">
        <f>IF(BN504="No reported value",'WB HCW &amp; Beds'!BP$283,BN504)</f>
        <v>1.002</v>
      </c>
    </row>
    <row r="505" spans="2:68" hidden="1" x14ac:dyDescent="0.75">
      <c r="B505" s="43" t="s">
        <v>229</v>
      </c>
      <c r="C505" s="43" t="s">
        <v>170</v>
      </c>
      <c r="D505" s="43" t="s">
        <v>771</v>
      </c>
      <c r="E505" s="43" t="s">
        <v>770</v>
      </c>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t="str">
        <f t="shared" si="13"/>
        <v>No reported value</v>
      </c>
      <c r="BO505" s="43" t="str">
        <f>IFERROR(INDEX('WB HCW &amp; Beds'!$F$286:$BM$286,1,MATCH($BN505,$F505:$BM505,0)),"No reported value")</f>
        <v>No reported value</v>
      </c>
      <c r="BP505" s="43">
        <f>IF(BN505="No reported value",'WB HCW &amp; Beds'!BP$283,BN505)</f>
        <v>0.4</v>
      </c>
    </row>
    <row r="506" spans="2:68" hidden="1" x14ac:dyDescent="0.75">
      <c r="B506" s="43" t="s">
        <v>519</v>
      </c>
      <c r="C506" s="43" t="s">
        <v>520</v>
      </c>
      <c r="D506" s="43" t="s">
        <v>771</v>
      </c>
      <c r="E506" s="43" t="s">
        <v>770</v>
      </c>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v>1.7999999999999999E-2</v>
      </c>
      <c r="BH506" s="43"/>
      <c r="BI506" s="43"/>
      <c r="BJ506" s="43"/>
      <c r="BK506" s="43"/>
      <c r="BL506" s="43"/>
      <c r="BM506" s="43"/>
      <c r="BN506" s="43">
        <f t="shared" si="13"/>
        <v>1.7999999999999999E-2</v>
      </c>
      <c r="BO506" s="43">
        <f>IFERROR(INDEX('WB HCW &amp; Beds'!$F$286:$BM$286,1,MATCH($BN506,$F506:$BM506,0)),"No reported value")</f>
        <v>2013</v>
      </c>
      <c r="BP506" s="43">
        <f>IF(BN506="No reported value",'WB HCW &amp; Beds'!BP$283,BN506)</f>
        <v>1.7999999999999999E-2</v>
      </c>
    </row>
    <row r="507" spans="2:68" hidden="1" x14ac:dyDescent="0.75">
      <c r="B507" s="43" t="s">
        <v>521</v>
      </c>
      <c r="C507" s="43" t="s">
        <v>132</v>
      </c>
      <c r="D507" s="43" t="s">
        <v>771</v>
      </c>
      <c r="E507" s="43" t="s">
        <v>770</v>
      </c>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t="str">
        <f t="shared" si="13"/>
        <v>No reported value</v>
      </c>
      <c r="BO507" s="43" t="str">
        <f>IFERROR(INDEX('WB HCW &amp; Beds'!$F$286:$BM$286,1,MATCH($BN507,$F507:$BM507,0)),"No reported value")</f>
        <v>No reported value</v>
      </c>
      <c r="BP507" s="43">
        <f>IF(BN507="No reported value",'WB HCW &amp; Beds'!BP$283,BN507)</f>
        <v>0.4</v>
      </c>
    </row>
    <row r="508" spans="2:68" hidden="1" x14ac:dyDescent="0.75">
      <c r="B508" s="43" t="s">
        <v>544</v>
      </c>
      <c r="C508" s="43" t="s">
        <v>133</v>
      </c>
      <c r="D508" s="43" t="s">
        <v>771</v>
      </c>
      <c r="E508" s="43" t="s">
        <v>770</v>
      </c>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t="str">
        <f t="shared" si="13"/>
        <v>No reported value</v>
      </c>
      <c r="BO508" s="43" t="str">
        <f>IFERROR(INDEX('WB HCW &amp; Beds'!$F$286:$BM$286,1,MATCH($BN508,$F508:$BM508,0)),"No reported value")</f>
        <v>No reported value</v>
      </c>
      <c r="BP508" s="43">
        <f>IF(BN508="No reported value",'WB HCW &amp; Beds'!BP$283,BN508)</f>
        <v>0.4</v>
      </c>
    </row>
    <row r="509" spans="2:68" hidden="1" x14ac:dyDescent="0.75">
      <c r="B509" s="43" t="s">
        <v>380</v>
      </c>
      <c r="C509" s="43" t="s">
        <v>134</v>
      </c>
      <c r="D509" s="43" t="s">
        <v>771</v>
      </c>
      <c r="E509" s="43" t="s">
        <v>770</v>
      </c>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v>3.6539999999999999</v>
      </c>
      <c r="AY509" s="43"/>
      <c r="AZ509" s="43"/>
      <c r="BA509" s="43"/>
      <c r="BB509" s="43"/>
      <c r="BC509" s="43"/>
      <c r="BD509" s="43"/>
      <c r="BE509" s="43"/>
      <c r="BF509" s="43"/>
      <c r="BG509" s="43"/>
      <c r="BH509" s="43"/>
      <c r="BI509" s="43"/>
      <c r="BJ509" s="43"/>
      <c r="BK509" s="43"/>
      <c r="BL509" s="43"/>
      <c r="BM509" s="43"/>
      <c r="BN509" s="43">
        <f t="shared" si="13"/>
        <v>3.6539999999999999</v>
      </c>
      <c r="BO509" s="43">
        <f>IFERROR(INDEX('WB HCW &amp; Beds'!$F$286:$BM$286,1,MATCH($BN509,$F509:$BM509,0)),"No reported value")</f>
        <v>2004</v>
      </c>
      <c r="BP509" s="43">
        <f>IF(BN509="No reported value",'WB HCW &amp; Beds'!BP$283,BN509)</f>
        <v>3.6539999999999999</v>
      </c>
    </row>
    <row r="510" spans="2:68" hidden="1" x14ac:dyDescent="0.75">
      <c r="B510" s="43" t="s">
        <v>517</v>
      </c>
      <c r="C510" s="43" t="s">
        <v>518</v>
      </c>
      <c r="D510" s="43" t="s">
        <v>771</v>
      </c>
      <c r="E510" s="43" t="s">
        <v>770</v>
      </c>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t="str">
        <f t="shared" si="13"/>
        <v>No reported value</v>
      </c>
      <c r="BO510" s="43" t="str">
        <f>IFERROR(INDEX('WB HCW &amp; Beds'!$F$286:$BM$286,1,MATCH($BN510,$F510:$BM510,0)),"No reported value")</f>
        <v>No reported value</v>
      </c>
      <c r="BP510" s="43">
        <f>IF(BN510="No reported value",'WB HCW &amp; Beds'!BP$283,BN510)</f>
        <v>0.4</v>
      </c>
    </row>
    <row r="511" spans="2:68" hidden="1" x14ac:dyDescent="0.75">
      <c r="B511" s="43" t="s">
        <v>213</v>
      </c>
      <c r="C511" s="43" t="s">
        <v>135</v>
      </c>
      <c r="D511" s="43" t="s">
        <v>771</v>
      </c>
      <c r="E511" s="43" t="s">
        <v>770</v>
      </c>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t="str">
        <f t="shared" si="13"/>
        <v>No reported value</v>
      </c>
      <c r="BO511" s="43" t="str">
        <f>IFERROR(INDEX('WB HCW &amp; Beds'!$F$286:$BM$286,1,MATCH($BN511,$F511:$BM511,0)),"No reported value")</f>
        <v>No reported value</v>
      </c>
      <c r="BP511" s="43">
        <f>IF(BN511="No reported value",'WB HCW &amp; Beds'!BP$283,BN511)</f>
        <v>0.4</v>
      </c>
    </row>
    <row r="512" spans="2:68" hidden="1" x14ac:dyDescent="0.75">
      <c r="B512" s="43" t="s">
        <v>546</v>
      </c>
      <c r="C512" s="43" t="s">
        <v>136</v>
      </c>
      <c r="D512" s="43" t="s">
        <v>771</v>
      </c>
      <c r="E512" s="43" t="s">
        <v>770</v>
      </c>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t="str">
        <f t="shared" si="13"/>
        <v>No reported value</v>
      </c>
      <c r="BO512" s="43" t="str">
        <f>IFERROR(INDEX('WB HCW &amp; Beds'!$F$286:$BM$286,1,MATCH($BN512,$F512:$BM512,0)),"No reported value")</f>
        <v>No reported value</v>
      </c>
      <c r="BP512" s="43">
        <f>IF(BN512="No reported value",'WB HCW &amp; Beds'!BP$283,BN512)</f>
        <v>0.4</v>
      </c>
    </row>
    <row r="513" spans="2:68" hidden="1" x14ac:dyDescent="0.75">
      <c r="B513" s="43" t="s">
        <v>553</v>
      </c>
      <c r="C513" s="43" t="s">
        <v>554</v>
      </c>
      <c r="D513" s="43" t="s">
        <v>771</v>
      </c>
      <c r="E513" s="43" t="s">
        <v>770</v>
      </c>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t="str">
        <f t="shared" si="13"/>
        <v>No reported value</v>
      </c>
      <c r="BO513" s="43" t="str">
        <f>IFERROR(INDEX('WB HCW &amp; Beds'!$F$286:$BM$286,1,MATCH($BN513,$F513:$BM513,0)),"No reported value")</f>
        <v>No reported value</v>
      </c>
      <c r="BP513" s="43">
        <f>IF(BN513="No reported value",'WB HCW &amp; Beds'!BP$283,BN513)</f>
        <v>0.4</v>
      </c>
    </row>
    <row r="514" spans="2:68" hidden="1" x14ac:dyDescent="0.75">
      <c r="B514" s="43" t="s">
        <v>189</v>
      </c>
      <c r="C514" s="43" t="s">
        <v>169</v>
      </c>
      <c r="D514" s="43" t="s">
        <v>771</v>
      </c>
      <c r="E514" s="43" t="s">
        <v>770</v>
      </c>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v>1.6E-2</v>
      </c>
      <c r="AY514" s="43"/>
      <c r="AZ514" s="43"/>
      <c r="BA514" s="43"/>
      <c r="BB514" s="43"/>
      <c r="BC514" s="43"/>
      <c r="BD514" s="43"/>
      <c r="BE514" s="43"/>
      <c r="BF514" s="43"/>
      <c r="BG514" s="43"/>
      <c r="BH514" s="43"/>
      <c r="BI514" s="43"/>
      <c r="BJ514" s="43"/>
      <c r="BK514" s="43"/>
      <c r="BL514" s="43"/>
      <c r="BM514" s="43"/>
      <c r="BN514" s="43">
        <f t="shared" si="13"/>
        <v>1.6E-2</v>
      </c>
      <c r="BO514" s="43">
        <f>IFERROR(INDEX('WB HCW &amp; Beds'!$F$286:$BM$286,1,MATCH($BN514,$F514:$BM514,0)),"No reported value")</f>
        <v>2004</v>
      </c>
      <c r="BP514" s="43">
        <f>IF(BN514="No reported value",'WB HCW &amp; Beds'!BP$283,BN514)</f>
        <v>1.6E-2</v>
      </c>
    </row>
    <row r="515" spans="2:68" hidden="1" x14ac:dyDescent="0.75">
      <c r="B515" s="43" t="s">
        <v>375</v>
      </c>
      <c r="C515" s="43" t="s">
        <v>376</v>
      </c>
      <c r="D515" s="43" t="s">
        <v>771</v>
      </c>
      <c r="E515" s="43" t="s">
        <v>770</v>
      </c>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v>1.0609999999999999</v>
      </c>
      <c r="AK515" s="43"/>
      <c r="AL515" s="43"/>
      <c r="AM515" s="43"/>
      <c r="AN515" s="43"/>
      <c r="AO515" s="43"/>
      <c r="AP515" s="43"/>
      <c r="AQ515" s="43"/>
      <c r="AR515" s="43"/>
      <c r="AS515" s="43"/>
      <c r="AT515" s="43">
        <v>0.98674473266602269</v>
      </c>
      <c r="AU515" s="43"/>
      <c r="AV515" s="43"/>
      <c r="AW515" s="43"/>
      <c r="AX515" s="43"/>
      <c r="AY515" s="43"/>
      <c r="AZ515" s="43"/>
      <c r="BA515" s="43"/>
      <c r="BB515" s="43"/>
      <c r="BC515" s="43"/>
      <c r="BD515" s="43"/>
      <c r="BE515" s="43">
        <v>0.6814814941465519</v>
      </c>
      <c r="BF515" s="43"/>
      <c r="BG515" s="43"/>
      <c r="BH515" s="43"/>
      <c r="BI515" s="43"/>
      <c r="BJ515" s="43"/>
      <c r="BK515" s="43"/>
      <c r="BL515" s="43"/>
      <c r="BM515" s="43"/>
      <c r="BN515" s="43">
        <f t="shared" si="13"/>
        <v>0.6814814941465519</v>
      </c>
      <c r="BO515" s="43">
        <f>IFERROR(INDEX('WB HCW &amp; Beds'!$F$286:$BM$286,1,MATCH($BN515,$F515:$BM515,0)),"No reported value")</f>
        <v>2011</v>
      </c>
      <c r="BP515" s="43">
        <f>IF(BN515="No reported value",'WB HCW &amp; Beds'!BP$283,BN515)</f>
        <v>0.6814814941465519</v>
      </c>
    </row>
    <row r="516" spans="2:68" hidden="1" x14ac:dyDescent="0.75">
      <c r="B516" s="43" t="s">
        <v>387</v>
      </c>
      <c r="C516" s="43" t="s">
        <v>388</v>
      </c>
      <c r="D516" s="43" t="s">
        <v>771</v>
      </c>
      <c r="E516" s="43" t="s">
        <v>770</v>
      </c>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t="str">
        <f t="shared" si="13"/>
        <v>No reported value</v>
      </c>
      <c r="BO516" s="43" t="str">
        <f>IFERROR(INDEX('WB HCW &amp; Beds'!$F$286:$BM$286,1,MATCH($BN516,$F516:$BM516,0)),"No reported value")</f>
        <v>No reported value</v>
      </c>
      <c r="BP516" s="43">
        <f>IF(BN516="No reported value",'WB HCW &amp; Beds'!BP$283,BN516)</f>
        <v>0.4</v>
      </c>
    </row>
    <row r="517" spans="2:68" hidden="1" x14ac:dyDescent="0.75">
      <c r="B517" s="43" t="s">
        <v>215</v>
      </c>
      <c r="C517" s="43" t="s">
        <v>137</v>
      </c>
      <c r="D517" s="43" t="s">
        <v>771</v>
      </c>
      <c r="E517" s="43" t="s">
        <v>770</v>
      </c>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t="str">
        <f t="shared" si="13"/>
        <v>No reported value</v>
      </c>
      <c r="BO517" s="43" t="str">
        <f>IFERROR(INDEX('WB HCW &amp; Beds'!$F$286:$BM$286,1,MATCH($BN517,$F517:$BM517,0)),"No reported value")</f>
        <v>No reported value</v>
      </c>
      <c r="BP517" s="43">
        <f>IF(BN517="No reported value",'WB HCW &amp; Beds'!BP$283,BN517)</f>
        <v>0.4</v>
      </c>
    </row>
    <row r="518" spans="2:68" hidden="1" x14ac:dyDescent="0.75">
      <c r="B518" s="43" t="s">
        <v>548</v>
      </c>
      <c r="C518" s="43" t="s">
        <v>138</v>
      </c>
      <c r="D518" s="43" t="s">
        <v>771</v>
      </c>
      <c r="E518" s="43" t="s">
        <v>770</v>
      </c>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v>5.8999999999999997E-2</v>
      </c>
      <c r="AU518" s="43"/>
      <c r="AV518" s="43"/>
      <c r="AW518" s="43"/>
      <c r="AX518" s="43"/>
      <c r="AY518" s="43"/>
      <c r="AZ518" s="43"/>
      <c r="BA518" s="43"/>
      <c r="BB518" s="43"/>
      <c r="BC518" s="43"/>
      <c r="BD518" s="43"/>
      <c r="BE518" s="43"/>
      <c r="BF518" s="43"/>
      <c r="BG518" s="43"/>
      <c r="BH518" s="43"/>
      <c r="BI518" s="43"/>
      <c r="BJ518" s="43"/>
      <c r="BK518" s="43"/>
      <c r="BL518" s="43"/>
      <c r="BM518" s="43"/>
      <c r="BN518" s="43">
        <f t="shared" si="13"/>
        <v>5.8999999999999997E-2</v>
      </c>
      <c r="BO518" s="43">
        <f>IFERROR(INDEX('WB HCW &amp; Beds'!$F$286:$BM$286,1,MATCH($BN518,$F518:$BM518,0)),"No reported value")</f>
        <v>2000</v>
      </c>
      <c r="BP518" s="43">
        <f>IF(BN518="No reported value",'WB HCW &amp; Beds'!BP$283,BN518)</f>
        <v>5.8999999999999997E-2</v>
      </c>
    </row>
    <row r="519" spans="2:68" hidden="1" x14ac:dyDescent="0.75">
      <c r="B519" s="43" t="s">
        <v>238</v>
      </c>
      <c r="C519" s="43" t="s">
        <v>163</v>
      </c>
      <c r="D519" s="43" t="s">
        <v>771</v>
      </c>
      <c r="E519" s="43" t="s">
        <v>770</v>
      </c>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t="str">
        <f t="shared" si="13"/>
        <v>No reported value</v>
      </c>
      <c r="BO519" s="43" t="str">
        <f>IFERROR(INDEX('WB HCW &amp; Beds'!$F$286:$BM$286,1,MATCH($BN519,$F519:$BM519,0)),"No reported value")</f>
        <v>No reported value</v>
      </c>
      <c r="BP519" s="43">
        <f>IF(BN519="No reported value",'WB HCW &amp; Beds'!BP$283,BN519)</f>
        <v>0.4</v>
      </c>
    </row>
    <row r="520" spans="2:68" hidden="1" x14ac:dyDescent="0.75">
      <c r="B520" s="43" t="s">
        <v>552</v>
      </c>
      <c r="C520" s="43" t="s">
        <v>139</v>
      </c>
      <c r="D520" s="43" t="s">
        <v>771</v>
      </c>
      <c r="E520" s="43" t="s">
        <v>770</v>
      </c>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t="str">
        <f t="shared" si="13"/>
        <v>No reported value</v>
      </c>
      <c r="BO520" s="43" t="str">
        <f>IFERROR(INDEX('WB HCW &amp; Beds'!$F$286:$BM$286,1,MATCH($BN520,$F520:$BM520,0)),"No reported value")</f>
        <v>No reported value</v>
      </c>
      <c r="BP520" s="43">
        <f>IF(BN520="No reported value",'WB HCW &amp; Beds'!BP$283,BN520)</f>
        <v>0.4</v>
      </c>
    </row>
    <row r="521" spans="2:68" hidden="1" x14ac:dyDescent="0.75">
      <c r="B521" s="43" t="s">
        <v>441</v>
      </c>
      <c r="C521" s="43" t="s">
        <v>442</v>
      </c>
      <c r="D521" s="43" t="s">
        <v>771</v>
      </c>
      <c r="E521" s="43" t="s">
        <v>770</v>
      </c>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t="str">
        <f t="shared" si="13"/>
        <v>No reported value</v>
      </c>
      <c r="BO521" s="43" t="str">
        <f>IFERROR(INDEX('WB HCW &amp; Beds'!$F$286:$BM$286,1,MATCH($BN521,$F521:$BM521,0)),"No reported value")</f>
        <v>No reported value</v>
      </c>
      <c r="BP521" s="43">
        <f>IF(BN521="No reported value",'WB HCW &amp; Beds'!BP$283,BN521)</f>
        <v>0.4</v>
      </c>
    </row>
    <row r="522" spans="2:68" hidden="1" x14ac:dyDescent="0.75">
      <c r="B522" s="43" t="s">
        <v>246</v>
      </c>
      <c r="C522" s="43" t="s">
        <v>140</v>
      </c>
      <c r="D522" s="43" t="s">
        <v>771</v>
      </c>
      <c r="E522" s="43" t="s">
        <v>770</v>
      </c>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v>0.01</v>
      </c>
      <c r="AY522" s="43"/>
      <c r="AZ522" s="43"/>
      <c r="BA522" s="43"/>
      <c r="BB522" s="43"/>
      <c r="BC522" s="43"/>
      <c r="BD522" s="43"/>
      <c r="BE522" s="43"/>
      <c r="BF522" s="43"/>
      <c r="BG522" s="43"/>
      <c r="BH522" s="43"/>
      <c r="BI522" s="43"/>
      <c r="BJ522" s="43"/>
      <c r="BK522" s="43"/>
      <c r="BL522" s="43"/>
      <c r="BM522" s="43"/>
      <c r="BN522" s="43">
        <f t="shared" si="13"/>
        <v>0.01</v>
      </c>
      <c r="BO522" s="43">
        <f>IFERROR(INDEX('WB HCW &amp; Beds'!$F$286:$BM$286,1,MATCH($BN522,$F522:$BM522,0)),"No reported value")</f>
        <v>2004</v>
      </c>
      <c r="BP522" s="43">
        <f>IF(BN522="No reported value",'WB HCW &amp; Beds'!BP$283,BN522)</f>
        <v>0.01</v>
      </c>
    </row>
    <row r="523" spans="2:68" hidden="1" x14ac:dyDescent="0.75">
      <c r="B523" s="43" t="s">
        <v>470</v>
      </c>
      <c r="C523" s="43" t="s">
        <v>471</v>
      </c>
      <c r="D523" s="43" t="s">
        <v>771</v>
      </c>
      <c r="E523" s="43" t="s">
        <v>770</v>
      </c>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t="str">
        <f t="shared" si="13"/>
        <v>No reported value</v>
      </c>
      <c r="BO523" s="43" t="str">
        <f>IFERROR(INDEX('WB HCW &amp; Beds'!$F$286:$BM$286,1,MATCH($BN523,$F523:$BM523,0)),"No reported value")</f>
        <v>No reported value</v>
      </c>
      <c r="BP523" s="43">
        <f>IF(BN523="No reported value",'WB HCW &amp; Beds'!BP$283,BN523)</f>
        <v>0.4</v>
      </c>
    </row>
    <row r="524" spans="2:68" hidden="1" x14ac:dyDescent="0.75">
      <c r="B524" s="43" t="s">
        <v>256</v>
      </c>
      <c r="C524" s="43" t="s">
        <v>141</v>
      </c>
      <c r="D524" s="43" t="s">
        <v>771</v>
      </c>
      <c r="E524" s="43" t="s">
        <v>770</v>
      </c>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t="str">
        <f t="shared" si="13"/>
        <v>No reported value</v>
      </c>
      <c r="BO524" s="43" t="str">
        <f>IFERROR(INDEX('WB HCW &amp; Beds'!$F$286:$BM$286,1,MATCH($BN524,$F524:$BM524,0)),"No reported value")</f>
        <v>No reported value</v>
      </c>
      <c r="BP524" s="43">
        <f>IF(BN524="No reported value",'WB HCW &amp; Beds'!BP$283,BN524)</f>
        <v>0.4</v>
      </c>
    </row>
    <row r="525" spans="2:68" hidden="1" x14ac:dyDescent="0.75">
      <c r="B525" s="43" t="s">
        <v>526</v>
      </c>
      <c r="C525" s="43" t="s">
        <v>527</v>
      </c>
      <c r="D525" s="43" t="s">
        <v>771</v>
      </c>
      <c r="E525" s="43" t="s">
        <v>770</v>
      </c>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v>0.14092108091665279</v>
      </c>
      <c r="AK525" s="43"/>
      <c r="AL525" s="43"/>
      <c r="AM525" s="43"/>
      <c r="AN525" s="43"/>
      <c r="AO525" s="43"/>
      <c r="AP525" s="43"/>
      <c r="AQ525" s="43"/>
      <c r="AR525" s="43"/>
      <c r="AS525" s="43"/>
      <c r="AT525" s="43"/>
      <c r="AU525" s="43"/>
      <c r="AV525" s="43"/>
      <c r="AW525" s="43"/>
      <c r="AX525" s="43"/>
      <c r="AY525" s="43"/>
      <c r="AZ525" s="43"/>
      <c r="BA525" s="43"/>
      <c r="BB525" s="43"/>
      <c r="BC525" s="43"/>
      <c r="BD525" s="43"/>
      <c r="BE525" s="43">
        <v>0.51390419136430177</v>
      </c>
      <c r="BF525" s="43"/>
      <c r="BG525" s="43"/>
      <c r="BH525" s="43"/>
      <c r="BI525" s="43"/>
      <c r="BJ525" s="43"/>
      <c r="BK525" s="43"/>
      <c r="BL525" s="43"/>
      <c r="BM525" s="43"/>
      <c r="BN525" s="43">
        <f t="shared" si="13"/>
        <v>0.51390419136430177</v>
      </c>
      <c r="BO525" s="43">
        <f>IFERROR(INDEX('WB HCW &amp; Beds'!$F$286:$BM$286,1,MATCH($BN525,$F525:$BM525,0)),"No reported value")</f>
        <v>2011</v>
      </c>
      <c r="BP525" s="43">
        <f>IF(BN525="No reported value",'WB HCW &amp; Beds'!BP$283,BN525)</f>
        <v>0.51390419136430177</v>
      </c>
    </row>
    <row r="526" spans="2:68" hidden="1" x14ac:dyDescent="0.75">
      <c r="B526" s="43" t="s">
        <v>542</v>
      </c>
      <c r="C526" s="43" t="s">
        <v>543</v>
      </c>
      <c r="D526" s="43" t="s">
        <v>771</v>
      </c>
      <c r="E526" s="43" t="s">
        <v>770</v>
      </c>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t="str">
        <f t="shared" si="13"/>
        <v>No reported value</v>
      </c>
      <c r="BO526" s="43" t="str">
        <f>IFERROR(INDEX('WB HCW &amp; Beds'!$F$286:$BM$286,1,MATCH($BN526,$F526:$BM526,0)),"No reported value")</f>
        <v>No reported value</v>
      </c>
      <c r="BP526" s="43">
        <f>IF(BN526="No reported value",'WB HCW &amp; Beds'!BP$283,BN526)</f>
        <v>0.4</v>
      </c>
    </row>
    <row r="527" spans="2:68" hidden="1" x14ac:dyDescent="0.75">
      <c r="B527" s="43" t="s">
        <v>549</v>
      </c>
      <c r="C527" s="43" t="s">
        <v>142</v>
      </c>
      <c r="D527" s="43" t="s">
        <v>771</v>
      </c>
      <c r="E527" s="43" t="s">
        <v>770</v>
      </c>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t="str">
        <f t="shared" si="13"/>
        <v>No reported value</v>
      </c>
      <c r="BO527" s="43" t="str">
        <f>IFERROR(INDEX('WB HCW &amp; Beds'!$F$286:$BM$286,1,MATCH($BN527,$F527:$BM527,0)),"No reported value")</f>
        <v>No reported value</v>
      </c>
      <c r="BP527" s="43">
        <f>IF(BN527="No reported value",'WB HCW &amp; Beds'!BP$283,BN527)</f>
        <v>0.4</v>
      </c>
    </row>
    <row r="528" spans="2:68" hidden="1" x14ac:dyDescent="0.75">
      <c r="B528" s="43" t="s">
        <v>550</v>
      </c>
      <c r="C528" s="43" t="s">
        <v>143</v>
      </c>
      <c r="D528" s="43" t="s">
        <v>771</v>
      </c>
      <c r="E528" s="43" t="s">
        <v>770</v>
      </c>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t="str">
        <f t="shared" si="13"/>
        <v>No reported value</v>
      </c>
      <c r="BO528" s="43" t="str">
        <f>IFERROR(INDEX('WB HCW &amp; Beds'!$F$286:$BM$286,1,MATCH($BN528,$F528:$BM528,0)),"No reported value")</f>
        <v>No reported value</v>
      </c>
      <c r="BP528" s="43">
        <f>IF(BN528="No reported value",'WB HCW &amp; Beds'!BP$283,BN528)</f>
        <v>0.4</v>
      </c>
    </row>
    <row r="529" spans="2:68" hidden="1" x14ac:dyDescent="0.75">
      <c r="B529" s="43" t="s">
        <v>551</v>
      </c>
      <c r="C529" s="43" t="s">
        <v>144</v>
      </c>
      <c r="D529" s="43" t="s">
        <v>771</v>
      </c>
      <c r="E529" s="43" t="s">
        <v>770</v>
      </c>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t="str">
        <f t="shared" si="13"/>
        <v>No reported value</v>
      </c>
      <c r="BO529" s="43" t="str">
        <f>IFERROR(INDEX('WB HCW &amp; Beds'!$F$286:$BM$286,1,MATCH($BN529,$F529:$BM529,0)),"No reported value")</f>
        <v>No reported value</v>
      </c>
      <c r="BP529" s="43">
        <f>IF(BN529="No reported value",'WB HCW &amp; Beds'!BP$283,BN529)</f>
        <v>0.4</v>
      </c>
    </row>
    <row r="530" spans="2:68" hidden="1" x14ac:dyDescent="0.75">
      <c r="B530" s="43" t="s">
        <v>257</v>
      </c>
      <c r="C530" s="43" t="s">
        <v>145</v>
      </c>
      <c r="D530" s="43" t="s">
        <v>771</v>
      </c>
      <c r="E530" s="43" t="s">
        <v>770</v>
      </c>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t="str">
        <f t="shared" si="13"/>
        <v>No reported value</v>
      </c>
      <c r="BO530" s="43" t="str">
        <f>IFERROR(INDEX('WB HCW &amp; Beds'!$F$286:$BM$286,1,MATCH($BN530,$F530:$BM530,0)),"No reported value")</f>
        <v>No reported value</v>
      </c>
      <c r="BP530" s="43">
        <f>IF(BN530="No reported value",'WB HCW &amp; Beds'!BP$283,BN530)</f>
        <v>0.4</v>
      </c>
    </row>
    <row r="531" spans="2:68" hidden="1" x14ac:dyDescent="0.75">
      <c r="B531" s="43" t="s">
        <v>547</v>
      </c>
      <c r="C531" s="43" t="s">
        <v>146</v>
      </c>
      <c r="D531" s="43" t="s">
        <v>771</v>
      </c>
      <c r="E531" s="43" t="s">
        <v>770</v>
      </c>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t="str">
        <f t="shared" si="13"/>
        <v>No reported value</v>
      </c>
      <c r="BO531" s="43" t="str">
        <f>IFERROR(INDEX('WB HCW &amp; Beds'!$F$286:$BM$286,1,MATCH($BN531,$F531:$BM531,0)),"No reported value")</f>
        <v>No reported value</v>
      </c>
      <c r="BP531" s="43">
        <f>IF(BN531="No reported value",'WB HCW &amp; Beds'!BP$283,BN531)</f>
        <v>0.4</v>
      </c>
    </row>
    <row r="532" spans="2:68" hidden="1" x14ac:dyDescent="0.75">
      <c r="B532" s="43" t="s">
        <v>216</v>
      </c>
      <c r="C532" s="43" t="s">
        <v>147</v>
      </c>
      <c r="D532" s="43" t="s">
        <v>771</v>
      </c>
      <c r="E532" s="43" t="s">
        <v>770</v>
      </c>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v>0.19400000000000001</v>
      </c>
      <c r="AZ532" s="43"/>
      <c r="BA532" s="43"/>
      <c r="BB532" s="43"/>
      <c r="BC532" s="43"/>
      <c r="BD532" s="43"/>
      <c r="BE532" s="43"/>
      <c r="BF532" s="43"/>
      <c r="BG532" s="43"/>
      <c r="BH532" s="43"/>
      <c r="BI532" s="43"/>
      <c r="BJ532" s="43"/>
      <c r="BK532" s="43"/>
      <c r="BL532" s="43"/>
      <c r="BM532" s="43"/>
      <c r="BN532" s="43">
        <f t="shared" si="13"/>
        <v>0.19400000000000001</v>
      </c>
      <c r="BO532" s="43">
        <f>IFERROR(INDEX('WB HCW &amp; Beds'!$F$286:$BM$286,1,MATCH($BN532,$F532:$BM532,0)),"No reported value")</f>
        <v>2005</v>
      </c>
      <c r="BP532" s="43">
        <f>IF(BN532="No reported value",'WB HCW &amp; Beds'!BP$283,BN532)</f>
        <v>0.19400000000000001</v>
      </c>
    </row>
    <row r="533" spans="2:68" hidden="1" x14ac:dyDescent="0.75">
      <c r="B533" s="43" t="s">
        <v>239</v>
      </c>
      <c r="C533" s="43" t="s">
        <v>148</v>
      </c>
      <c r="D533" s="43" t="s">
        <v>771</v>
      </c>
      <c r="E533" s="43" t="s">
        <v>770</v>
      </c>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t="str">
        <f t="shared" si="13"/>
        <v>No reported value</v>
      </c>
      <c r="BO533" s="43" t="str">
        <f>IFERROR(INDEX('WB HCW &amp; Beds'!$F$286:$BM$286,1,MATCH($BN533,$F533:$BM533,0)),"No reported value")</f>
        <v>No reported value</v>
      </c>
      <c r="BP533" s="43">
        <f>IF(BN533="No reported value",'WB HCW &amp; Beds'!BP$283,BN533)</f>
        <v>0.4</v>
      </c>
    </row>
    <row r="534" spans="2:68" hidden="1" x14ac:dyDescent="0.75">
      <c r="B534" s="43" t="s">
        <v>558</v>
      </c>
      <c r="C534" s="43" t="s">
        <v>559</v>
      </c>
      <c r="D534" s="43" t="s">
        <v>771</v>
      </c>
      <c r="E534" s="43" t="s">
        <v>770</v>
      </c>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t="str">
        <f t="shared" si="13"/>
        <v>No reported value</v>
      </c>
      <c r="BO534" s="43" t="str">
        <f>IFERROR(INDEX('WB HCW &amp; Beds'!$F$286:$BM$286,1,MATCH($BN534,$F534:$BM534,0)),"No reported value")</f>
        <v>No reported value</v>
      </c>
      <c r="BP534" s="43">
        <f>IF(BN534="No reported value",'WB HCW &amp; Beds'!BP$283,BN534)</f>
        <v>0.4</v>
      </c>
    </row>
    <row r="535" spans="2:68" hidden="1" x14ac:dyDescent="0.75">
      <c r="B535" s="43" t="s">
        <v>560</v>
      </c>
      <c r="C535" s="43" t="s">
        <v>561</v>
      </c>
      <c r="D535" s="43" t="s">
        <v>771</v>
      </c>
      <c r="E535" s="43" t="s">
        <v>770</v>
      </c>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t="str">
        <f t="shared" si="13"/>
        <v>No reported value</v>
      </c>
      <c r="BO535" s="43" t="str">
        <f>IFERROR(INDEX('WB HCW &amp; Beds'!$F$286:$BM$286,1,MATCH($BN535,$F535:$BM535,0)),"No reported value")</f>
        <v>No reported value</v>
      </c>
      <c r="BP535" s="43">
        <f>IF(BN535="No reported value",'WB HCW &amp; Beds'!BP$283,BN535)</f>
        <v>0.4</v>
      </c>
    </row>
    <row r="536" spans="2:68" hidden="1" x14ac:dyDescent="0.75">
      <c r="B536" s="43" t="s">
        <v>557</v>
      </c>
      <c r="C536" s="43" t="s">
        <v>149</v>
      </c>
      <c r="D536" s="43" t="s">
        <v>771</v>
      </c>
      <c r="E536" s="43" t="s">
        <v>770</v>
      </c>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t="str">
        <f t="shared" si="13"/>
        <v>No reported value</v>
      </c>
      <c r="BO536" s="43" t="str">
        <f>IFERROR(INDEX('WB HCW &amp; Beds'!$F$286:$BM$286,1,MATCH($BN536,$F536:$BM536,0)),"No reported value")</f>
        <v>No reported value</v>
      </c>
      <c r="BP536" s="43">
        <f>IF(BN536="No reported value",'WB HCW &amp; Beds'!BP$283,BN536)</f>
        <v>0.4</v>
      </c>
    </row>
    <row r="537" spans="2:68" hidden="1" x14ac:dyDescent="0.75">
      <c r="B537" s="43" t="s">
        <v>562</v>
      </c>
      <c r="C537" s="43" t="s">
        <v>150</v>
      </c>
      <c r="D537" s="43" t="s">
        <v>771</v>
      </c>
      <c r="E537" s="43" t="s">
        <v>770</v>
      </c>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t="str">
        <f t="shared" si="13"/>
        <v>No reported value</v>
      </c>
      <c r="BO537" s="43" t="str">
        <f>IFERROR(INDEX('WB HCW &amp; Beds'!$F$286:$BM$286,1,MATCH($BN537,$F537:$BM537,0)),"No reported value")</f>
        <v>No reported value</v>
      </c>
      <c r="BP537" s="43">
        <f>IF(BN537="No reported value",'WB HCW &amp; Beds'!BP$283,BN537)</f>
        <v>0.4</v>
      </c>
    </row>
    <row r="538" spans="2:68" hidden="1" x14ac:dyDescent="0.75">
      <c r="B538" s="43" t="s">
        <v>536</v>
      </c>
      <c r="C538" s="43" t="s">
        <v>537</v>
      </c>
      <c r="D538" s="43" t="s">
        <v>771</v>
      </c>
      <c r="E538" s="43" t="s">
        <v>770</v>
      </c>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v>0.41699999999999998</v>
      </c>
      <c r="AU538" s="43"/>
      <c r="AV538" s="43"/>
      <c r="AW538" s="43"/>
      <c r="AX538" s="43"/>
      <c r="AY538" s="43"/>
      <c r="AZ538" s="43"/>
      <c r="BA538" s="43"/>
      <c r="BB538" s="43"/>
      <c r="BC538" s="43"/>
      <c r="BD538" s="43"/>
      <c r="BE538" s="43"/>
      <c r="BF538" s="43"/>
      <c r="BG538" s="43"/>
      <c r="BH538" s="43"/>
      <c r="BI538" s="43"/>
      <c r="BJ538" s="43"/>
      <c r="BK538" s="43"/>
      <c r="BL538" s="43"/>
      <c r="BM538" s="43"/>
      <c r="BN538" s="43">
        <f t="shared" si="13"/>
        <v>0.41699999999999998</v>
      </c>
      <c r="BO538" s="43">
        <f>IFERROR(INDEX('WB HCW &amp; Beds'!$F$286:$BM$286,1,MATCH($BN538,$F538:$BM538,0)),"No reported value")</f>
        <v>2000</v>
      </c>
      <c r="BP538" s="43">
        <f>IF(BN538="No reported value",'WB HCW &amp; Beds'!BP$283,BN538)</f>
        <v>0.41699999999999998</v>
      </c>
    </row>
    <row r="539" spans="2:68" hidden="1" x14ac:dyDescent="0.75">
      <c r="B539" s="43" t="s">
        <v>563</v>
      </c>
      <c r="C539" s="43" t="s">
        <v>564</v>
      </c>
      <c r="D539" s="43" t="s">
        <v>771</v>
      </c>
      <c r="E539" s="43" t="s">
        <v>770</v>
      </c>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t="str">
        <f t="shared" si="13"/>
        <v>No reported value</v>
      </c>
      <c r="BO539" s="43" t="str">
        <f>IFERROR(INDEX('WB HCW &amp; Beds'!$F$286:$BM$286,1,MATCH($BN539,$F539:$BM539,0)),"No reported value")</f>
        <v>No reported value</v>
      </c>
      <c r="BP539" s="43">
        <f>IF(BN539="No reported value",'WB HCW &amp; Beds'!BP$283,BN539)</f>
        <v>0.4</v>
      </c>
    </row>
    <row r="540" spans="2:68" hidden="1" x14ac:dyDescent="0.75">
      <c r="B540" s="43" t="s">
        <v>338</v>
      </c>
      <c r="C540" s="43" t="s">
        <v>339</v>
      </c>
      <c r="D540" s="43" t="s">
        <v>771</v>
      </c>
      <c r="E540" s="43" t="s">
        <v>770</v>
      </c>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t="str">
        <f t="shared" si="13"/>
        <v>No reported value</v>
      </c>
      <c r="BO540" s="43" t="str">
        <f>IFERROR(INDEX('WB HCW &amp; Beds'!$F$286:$BM$286,1,MATCH($BN540,$F540:$BM540,0)),"No reported value")</f>
        <v>No reported value</v>
      </c>
      <c r="BP540" s="43">
        <f>IF(BN540="No reported value",'WB HCW &amp; Beds'!BP$283,BN540)</f>
        <v>0.4</v>
      </c>
    </row>
    <row r="541" spans="2:68" hidden="1" x14ac:dyDescent="0.75">
      <c r="B541" s="43" t="s">
        <v>566</v>
      </c>
      <c r="C541" s="43" t="s">
        <v>567</v>
      </c>
      <c r="D541" s="43" t="s">
        <v>771</v>
      </c>
      <c r="E541" s="43" t="s">
        <v>770</v>
      </c>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t="str">
        <f t="shared" si="13"/>
        <v>No reported value</v>
      </c>
      <c r="BO541" s="43" t="str">
        <f>IFERROR(INDEX('WB HCW &amp; Beds'!$F$286:$BM$286,1,MATCH($BN541,$F541:$BM541,0)),"No reported value")</f>
        <v>No reported value</v>
      </c>
      <c r="BP541" s="43">
        <f>IF(BN541="No reported value",'WB HCW &amp; Beds'!BP$283,BN541)</f>
        <v>0.4</v>
      </c>
    </row>
    <row r="542" spans="2:68" hidden="1" x14ac:dyDescent="0.75">
      <c r="B542" s="43" t="s">
        <v>565</v>
      </c>
      <c r="C542" s="43" t="s">
        <v>160</v>
      </c>
      <c r="D542" s="43" t="s">
        <v>771</v>
      </c>
      <c r="E542" s="43" t="s">
        <v>770</v>
      </c>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t="str">
        <f t="shared" si="13"/>
        <v>No reported value</v>
      </c>
      <c r="BO542" s="43" t="str">
        <f>IFERROR(INDEX('WB HCW &amp; Beds'!$F$286:$BM$286,1,MATCH($BN542,$F542:$BM542,0)),"No reported value")</f>
        <v>No reported value</v>
      </c>
      <c r="BP542" s="43">
        <f>IF(BN542="No reported value",'WB HCW &amp; Beds'!BP$283,BN542)</f>
        <v>0.4</v>
      </c>
    </row>
    <row r="543" spans="2:68" hidden="1" x14ac:dyDescent="0.75">
      <c r="B543" s="43" t="s">
        <v>258</v>
      </c>
      <c r="C543" s="43" t="s">
        <v>151</v>
      </c>
      <c r="D543" s="43" t="s">
        <v>771</v>
      </c>
      <c r="E543" s="43" t="s">
        <v>770</v>
      </c>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v>0.51400000000000001</v>
      </c>
      <c r="BB543" s="43">
        <v>0.94099999999999995</v>
      </c>
      <c r="BC543" s="43"/>
      <c r="BD543" s="43"/>
      <c r="BE543" s="43"/>
      <c r="BF543" s="43"/>
      <c r="BG543" s="43"/>
      <c r="BH543" s="43"/>
      <c r="BI543" s="43"/>
      <c r="BJ543" s="43"/>
      <c r="BK543" s="43"/>
      <c r="BL543" s="43"/>
      <c r="BM543" s="43"/>
      <c r="BN543" s="43">
        <f t="shared" ref="BN543:BN550" si="14">IFERROR(LOOKUP(2,1/(ISNUMBER(F543:BM543)),F543:BM543),"No reported value")</f>
        <v>0.94099999999999995</v>
      </c>
      <c r="BO543" s="43">
        <f>IFERROR(INDEX('WB HCW &amp; Beds'!$F$286:$BM$286,1,MATCH($BN543,$F543:$BM543,0)),"No reported value")</f>
        <v>2008</v>
      </c>
      <c r="BP543" s="43">
        <f>IF(BN543="No reported value",'WB HCW &amp; Beds'!BP$283,BN543)</f>
        <v>0.94099999999999995</v>
      </c>
    </row>
    <row r="544" spans="2:68" hidden="1" x14ac:dyDescent="0.75">
      <c r="B544" s="43" t="s">
        <v>570</v>
      </c>
      <c r="C544" s="43" t="s">
        <v>571</v>
      </c>
      <c r="D544" s="43" t="s">
        <v>771</v>
      </c>
      <c r="E544" s="43" t="s">
        <v>770</v>
      </c>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t="str">
        <f t="shared" si="14"/>
        <v>No reported value</v>
      </c>
      <c r="BO544" s="43" t="str">
        <f>IFERROR(INDEX('WB HCW &amp; Beds'!$F$286:$BM$286,1,MATCH($BN544,$F544:$BM544,0)),"No reported value")</f>
        <v>No reported value</v>
      </c>
      <c r="BP544" s="43">
        <f>IF(BN544="No reported value",'WB HCW &amp; Beds'!BP$283,BN544)</f>
        <v>0.4</v>
      </c>
    </row>
    <row r="545" spans="1:68" hidden="1" x14ac:dyDescent="0.75">
      <c r="B545" s="43" t="s">
        <v>254</v>
      </c>
      <c r="C545" s="43" t="s">
        <v>152</v>
      </c>
      <c r="D545" s="43" t="s">
        <v>771</v>
      </c>
      <c r="E545" s="43" t="s">
        <v>770</v>
      </c>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t="str">
        <f t="shared" si="14"/>
        <v>No reported value</v>
      </c>
      <c r="BO545" s="43" t="str">
        <f>IFERROR(INDEX('WB HCW &amp; Beds'!$F$286:$BM$286,1,MATCH($BN545,$F545:$BM545,0)),"No reported value")</f>
        <v>No reported value</v>
      </c>
      <c r="BP545" s="43">
        <f>IF(BN545="No reported value",'WB HCW &amp; Beds'!BP$283,BN545)</f>
        <v>0.4</v>
      </c>
    </row>
    <row r="546" spans="1:68" hidden="1" x14ac:dyDescent="0.75">
      <c r="B546" s="43" t="s">
        <v>237</v>
      </c>
      <c r="C546" s="43" t="s">
        <v>431</v>
      </c>
      <c r="D546" s="43" t="s">
        <v>771</v>
      </c>
      <c r="E546" s="43" t="s">
        <v>770</v>
      </c>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t="str">
        <f t="shared" si="14"/>
        <v>No reported value</v>
      </c>
      <c r="BO546" s="43" t="str">
        <f>IFERROR(INDEX('WB HCW &amp; Beds'!$F$286:$BM$286,1,MATCH($BN546,$F546:$BM546,0)),"No reported value")</f>
        <v>No reported value</v>
      </c>
      <c r="BP546" s="43">
        <f>IF(BN546="No reported value",'WB HCW &amp; Beds'!BP$283,BN546)</f>
        <v>0.4</v>
      </c>
    </row>
    <row r="547" spans="1:68" hidden="1" x14ac:dyDescent="0.75">
      <c r="B547" s="43" t="s">
        <v>572</v>
      </c>
      <c r="C547" s="43" t="s">
        <v>153</v>
      </c>
      <c r="D547" s="43" t="s">
        <v>771</v>
      </c>
      <c r="E547" s="43" t="s">
        <v>770</v>
      </c>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v>0.128</v>
      </c>
      <c r="AY547" s="43"/>
      <c r="AZ547" s="43"/>
      <c r="BA547" s="43"/>
      <c r="BB547" s="43"/>
      <c r="BC547" s="43"/>
      <c r="BD547" s="43">
        <v>1E-3</v>
      </c>
      <c r="BE547" s="43"/>
      <c r="BF547" s="43"/>
      <c r="BG547" s="43"/>
      <c r="BH547" s="43"/>
      <c r="BI547" s="43"/>
      <c r="BJ547" s="43"/>
      <c r="BK547" s="43"/>
      <c r="BL547" s="43"/>
      <c r="BM547" s="43"/>
      <c r="BN547" s="43">
        <f t="shared" si="14"/>
        <v>1E-3</v>
      </c>
      <c r="BO547" s="43">
        <f>IFERROR(INDEX('WB HCW &amp; Beds'!$F$286:$BM$286,1,MATCH($BN547,$F547:$BM547,0)),"No reported value")</f>
        <v>2010</v>
      </c>
      <c r="BP547" s="43">
        <f>IF(BN547="No reported value",'WB HCW &amp; Beds'!BP$283,BN547)</f>
        <v>1E-3</v>
      </c>
    </row>
    <row r="548" spans="1:68" hidden="1" x14ac:dyDescent="0.75">
      <c r="B548" s="43" t="s">
        <v>178</v>
      </c>
      <c r="C548" s="43" t="s">
        <v>154</v>
      </c>
      <c r="D548" s="43" t="s">
        <v>771</v>
      </c>
      <c r="E548" s="43" t="s">
        <v>770</v>
      </c>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v>0.192</v>
      </c>
      <c r="AY548" s="43"/>
      <c r="AZ548" s="43"/>
      <c r="BA548" s="43"/>
      <c r="BB548" s="43"/>
      <c r="BC548" s="43"/>
      <c r="BD548" s="43"/>
      <c r="BE548" s="43"/>
      <c r="BF548" s="43"/>
      <c r="BG548" s="43"/>
      <c r="BH548" s="43"/>
      <c r="BI548" s="43"/>
      <c r="BJ548" s="43"/>
      <c r="BK548" s="43"/>
      <c r="BL548" s="43"/>
      <c r="BM548" s="43"/>
      <c r="BN548" s="43">
        <f t="shared" si="14"/>
        <v>0.192</v>
      </c>
      <c r="BO548" s="43">
        <f>IFERROR(INDEX('WB HCW &amp; Beds'!$F$286:$BM$286,1,MATCH($BN548,$F548:$BM548,0)),"No reported value")</f>
        <v>2004</v>
      </c>
      <c r="BP548" s="43">
        <f>IF(BN548="No reported value",'WB HCW &amp; Beds'!BP$283,BN548)</f>
        <v>0.192</v>
      </c>
    </row>
    <row r="549" spans="1:68" hidden="1" x14ac:dyDescent="0.75">
      <c r="B549" s="43" t="s">
        <v>217</v>
      </c>
      <c r="C549" s="43" t="s">
        <v>155</v>
      </c>
      <c r="D549" s="43" t="s">
        <v>771</v>
      </c>
      <c r="E549" s="43" t="s">
        <v>770</v>
      </c>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v>0.372</v>
      </c>
      <c r="AZ549" s="43"/>
      <c r="BA549" s="43"/>
      <c r="BB549" s="43">
        <v>0.28699999999999998</v>
      </c>
      <c r="BC549" s="43"/>
      <c r="BD549" s="43"/>
      <c r="BE549" s="43"/>
      <c r="BF549" s="43"/>
      <c r="BG549" s="43"/>
      <c r="BH549" s="43"/>
      <c r="BI549" s="43"/>
      <c r="BJ549" s="43"/>
      <c r="BK549" s="43"/>
      <c r="BL549" s="43"/>
      <c r="BM549" s="43"/>
      <c r="BN549" s="43">
        <f t="shared" si="14"/>
        <v>0.28699999999999998</v>
      </c>
      <c r="BO549" s="43">
        <f>IFERROR(INDEX('WB HCW &amp; Beds'!$F$286:$BM$286,1,MATCH($BN549,$F549:$BM549,0)),"No reported value")</f>
        <v>2008</v>
      </c>
      <c r="BP549" s="43">
        <f>IF(BN549="No reported value",'WB HCW &amp; Beds'!BP$283,BN549)</f>
        <v>0.28699999999999998</v>
      </c>
    </row>
    <row r="550" spans="1:68" hidden="1" x14ac:dyDescent="0.75">
      <c r="B550" s="43" t="s">
        <v>218</v>
      </c>
      <c r="C550" s="43" t="s">
        <v>156</v>
      </c>
      <c r="D550" s="43" t="s">
        <v>771</v>
      </c>
      <c r="E550" s="43" t="s">
        <v>770</v>
      </c>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t="str">
        <f t="shared" si="14"/>
        <v>No reported value</v>
      </c>
      <c r="BO550" s="43" t="str">
        <f>IFERROR(INDEX('WB HCW &amp; Beds'!$F$286:$BM$286,1,MATCH($BN550,$F550:$BM550,0)),"No reported value")</f>
        <v>No reported value</v>
      </c>
      <c r="BP550" s="43">
        <f>IF(BN550="No reported value",'WB HCW &amp; Beds'!BP$283,BN550)</f>
        <v>0.4</v>
      </c>
    </row>
    <row r="552" spans="1:68" s="185" customFormat="1" ht="16.399999999999999" customHeight="1" x14ac:dyDescent="0.75">
      <c r="A552" s="193" t="s">
        <v>884</v>
      </c>
      <c r="B552" s="186" t="s">
        <v>883</v>
      </c>
    </row>
    <row r="553" spans="1:68" s="26" customFormat="1" x14ac:dyDescent="0.75">
      <c r="B553" s="26" t="s">
        <v>798</v>
      </c>
      <c r="E553" s="27"/>
      <c r="F553" s="27"/>
      <c r="G553" s="27"/>
    </row>
    <row r="554" spans="1:68" s="14" customFormat="1" x14ac:dyDescent="0.75">
      <c r="B554" s="14" t="s">
        <v>797</v>
      </c>
      <c r="E554" s="77"/>
      <c r="F554" s="77"/>
      <c r="G554" s="77"/>
    </row>
    <row r="555" spans="1:68" customFormat="1" ht="14.15" customHeight="1" x14ac:dyDescent="0.75">
      <c r="B555" s="195" t="s">
        <v>880</v>
      </c>
    </row>
    <row r="556" spans="1:68" s="132" customFormat="1" ht="14.15" customHeight="1" x14ac:dyDescent="0.75">
      <c r="B556" s="195"/>
    </row>
    <row r="557" spans="1:68" x14ac:dyDescent="0.75">
      <c r="B557" s="4" t="s">
        <v>573</v>
      </c>
      <c r="C557" s="4" t="s">
        <v>574</v>
      </c>
      <c r="D557" s="4" t="s">
        <v>629</v>
      </c>
      <c r="E557" s="4" t="s">
        <v>630</v>
      </c>
      <c r="F557" s="4">
        <v>1960</v>
      </c>
      <c r="G557" s="4">
        <v>1961</v>
      </c>
      <c r="H557" s="4">
        <v>1962</v>
      </c>
      <c r="I557" s="4">
        <v>1963</v>
      </c>
      <c r="J557" s="4">
        <v>1964</v>
      </c>
      <c r="K557" s="4">
        <v>1965</v>
      </c>
      <c r="L557" s="4">
        <v>1966</v>
      </c>
      <c r="M557" s="4">
        <v>1967</v>
      </c>
      <c r="N557" s="4">
        <v>1968</v>
      </c>
      <c r="O557" s="4">
        <v>1969</v>
      </c>
      <c r="P557" s="4">
        <v>1970</v>
      </c>
      <c r="Q557" s="4">
        <v>1971</v>
      </c>
      <c r="R557" s="4">
        <v>1972</v>
      </c>
      <c r="S557" s="4">
        <v>1973</v>
      </c>
      <c r="T557" s="4">
        <v>1974</v>
      </c>
      <c r="U557" s="4">
        <v>1975</v>
      </c>
      <c r="V557" s="4">
        <v>1976</v>
      </c>
      <c r="W557" s="4">
        <v>1977</v>
      </c>
      <c r="X557" s="4">
        <v>1978</v>
      </c>
      <c r="Y557" s="4">
        <v>1979</v>
      </c>
      <c r="Z557" s="4">
        <v>1980</v>
      </c>
      <c r="AA557" s="4">
        <v>1981</v>
      </c>
      <c r="AB557" s="4">
        <v>1982</v>
      </c>
      <c r="AC557" s="4">
        <v>1983</v>
      </c>
      <c r="AD557" s="4">
        <v>1984</v>
      </c>
      <c r="AE557" s="4">
        <v>1985</v>
      </c>
      <c r="AF557" s="4">
        <v>1986</v>
      </c>
      <c r="AG557" s="4">
        <v>1987</v>
      </c>
      <c r="AH557" s="4">
        <v>1988</v>
      </c>
      <c r="AI557" s="4">
        <v>1989</v>
      </c>
      <c r="AJ557" s="4">
        <v>1990</v>
      </c>
      <c r="AK557" s="4">
        <v>1991</v>
      </c>
      <c r="AL557" s="4">
        <v>1992</v>
      </c>
      <c r="AM557" s="4">
        <v>1993</v>
      </c>
      <c r="AN557" s="4">
        <v>1994</v>
      </c>
      <c r="AO557" s="4">
        <v>1995</v>
      </c>
      <c r="AP557" s="4">
        <v>1996</v>
      </c>
      <c r="AQ557" s="4">
        <v>1997</v>
      </c>
      <c r="AR557" s="4">
        <v>1998</v>
      </c>
      <c r="AS557" s="4">
        <v>1999</v>
      </c>
      <c r="AT557" s="4">
        <v>2000</v>
      </c>
      <c r="AU557" s="4">
        <v>2001</v>
      </c>
      <c r="AV557" s="4">
        <v>2002</v>
      </c>
      <c r="AW557" s="4">
        <v>2003</v>
      </c>
      <c r="AX557" s="4">
        <v>2004</v>
      </c>
      <c r="AY557" s="4">
        <v>2005</v>
      </c>
      <c r="AZ557" s="4">
        <v>2006</v>
      </c>
      <c r="BA557" s="4">
        <v>2007</v>
      </c>
      <c r="BB557" s="4">
        <v>2008</v>
      </c>
      <c r="BC557" s="4">
        <v>2009</v>
      </c>
      <c r="BD557" s="4">
        <v>2010</v>
      </c>
      <c r="BE557" s="4">
        <v>2011</v>
      </c>
      <c r="BF557" s="4">
        <v>2012</v>
      </c>
      <c r="BG557" s="4">
        <v>2013</v>
      </c>
      <c r="BH557" s="4">
        <v>2014</v>
      </c>
      <c r="BI557" s="4">
        <v>2015</v>
      </c>
      <c r="BJ557" s="4">
        <v>2016</v>
      </c>
      <c r="BK557" s="4">
        <v>2017</v>
      </c>
      <c r="BL557" s="4">
        <v>2018</v>
      </c>
      <c r="BM557" s="4">
        <v>2019</v>
      </c>
      <c r="BN557" s="189" t="s">
        <v>760</v>
      </c>
      <c r="BO557" s="189" t="s">
        <v>759</v>
      </c>
    </row>
    <row r="558" spans="1:68" x14ac:dyDescent="0.75">
      <c r="B558" s="43" t="s">
        <v>323</v>
      </c>
      <c r="C558" s="43" t="s">
        <v>324</v>
      </c>
      <c r="D558" s="43" t="s">
        <v>758</v>
      </c>
      <c r="E558" s="43" t="s">
        <v>757</v>
      </c>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v>1.1200000000000001</v>
      </c>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f t="shared" ref="BN558:BN621" si="15">IFERROR(LOOKUP(2,1/(ISNUMBER(G558:BM558)),G558:BM558),"No reported value")</f>
        <v>1.1200000000000001</v>
      </c>
      <c r="BO558" s="43">
        <f t="shared" ref="BO558:BO621" si="16">IFERROR(INDEX($G$557:$BM$557,1,MATCH($BN558,$G558:$BM558,0)),"No reported value")</f>
        <v>1995</v>
      </c>
    </row>
    <row r="559" spans="1:68" x14ac:dyDescent="0.75">
      <c r="B559" s="43" t="s">
        <v>230</v>
      </c>
      <c r="C559" s="43" t="s">
        <v>0</v>
      </c>
      <c r="D559" s="43" t="s">
        <v>758</v>
      </c>
      <c r="E559" s="43" t="s">
        <v>757</v>
      </c>
      <c r="F559" s="43">
        <v>3.5000000000000003E-2</v>
      </c>
      <c r="G559" s="43"/>
      <c r="H559" s="43"/>
      <c r="I559" s="43"/>
      <c r="J559" s="43"/>
      <c r="K559" s="43">
        <v>6.3E-2</v>
      </c>
      <c r="L559" s="43"/>
      <c r="M559" s="43"/>
      <c r="N559" s="43"/>
      <c r="O559" s="43"/>
      <c r="P559" s="43">
        <v>6.5000000000000002E-2</v>
      </c>
      <c r="Q559" s="43"/>
      <c r="R559" s="43"/>
      <c r="S559" s="43"/>
      <c r="T559" s="43"/>
      <c r="U559" s="43"/>
      <c r="V559" s="43"/>
      <c r="W559" s="43"/>
      <c r="X559" s="43"/>
      <c r="Y559" s="43"/>
      <c r="Z559" s="43"/>
      <c r="AA559" s="43">
        <v>7.6999999999999999E-2</v>
      </c>
      <c r="AB559" s="43"/>
      <c r="AC559" s="43"/>
      <c r="AD559" s="43"/>
      <c r="AE559" s="43"/>
      <c r="AF559" s="43">
        <v>0.183</v>
      </c>
      <c r="AG559" s="43">
        <v>0.17899999999999999</v>
      </c>
      <c r="AH559" s="43"/>
      <c r="AI559" s="43">
        <v>0.129</v>
      </c>
      <c r="AJ559" s="43">
        <v>0.109</v>
      </c>
      <c r="AK559" s="43"/>
      <c r="AL559" s="43"/>
      <c r="AM559" s="43">
        <v>0.14299999999999999</v>
      </c>
      <c r="AN559" s="43"/>
      <c r="AO559" s="43"/>
      <c r="AP559" s="43"/>
      <c r="AQ559" s="43">
        <v>0.11</v>
      </c>
      <c r="AR559" s="43"/>
      <c r="AS559" s="43"/>
      <c r="AT559" s="43"/>
      <c r="AU559" s="43">
        <v>0.19570000000000001</v>
      </c>
      <c r="AV559" s="43"/>
      <c r="AW559" s="43"/>
      <c r="AX559" s="43"/>
      <c r="AY559" s="43"/>
      <c r="AZ559" s="43">
        <v>0.16300000000000001</v>
      </c>
      <c r="BA559" s="43">
        <v>0.1774</v>
      </c>
      <c r="BB559" s="43">
        <v>0.17710000000000001</v>
      </c>
      <c r="BC559" s="43">
        <v>0.21560000000000001</v>
      </c>
      <c r="BD559" s="43">
        <v>0.23960000000000001</v>
      </c>
      <c r="BE559" s="43">
        <v>0.25530000000000003</v>
      </c>
      <c r="BF559" s="43">
        <v>0.245</v>
      </c>
      <c r="BG559" s="43">
        <v>0.28939999999999999</v>
      </c>
      <c r="BH559" s="43">
        <v>0.3039</v>
      </c>
      <c r="BI559" s="43">
        <v>0.29070000000000001</v>
      </c>
      <c r="BJ559" s="43">
        <v>0.28399999999999997</v>
      </c>
      <c r="BK559" s="43"/>
      <c r="BL559" s="43"/>
      <c r="BM559" s="43"/>
      <c r="BN559" s="43">
        <f t="shared" si="15"/>
        <v>0.28399999999999997</v>
      </c>
      <c r="BO559" s="43">
        <f t="shared" si="16"/>
        <v>2016</v>
      </c>
    </row>
    <row r="560" spans="1:68" x14ac:dyDescent="0.75">
      <c r="B560" s="43" t="s">
        <v>182</v>
      </c>
      <c r="C560" s="43" t="s">
        <v>165</v>
      </c>
      <c r="D560" s="43" t="s">
        <v>758</v>
      </c>
      <c r="E560" s="43" t="s">
        <v>757</v>
      </c>
      <c r="F560" s="43">
        <v>6.7000000000000004E-2</v>
      </c>
      <c r="G560" s="43"/>
      <c r="H560" s="43"/>
      <c r="I560" s="43"/>
      <c r="J560" s="43"/>
      <c r="K560" s="43">
        <v>7.5999999999999998E-2</v>
      </c>
      <c r="L560" s="43"/>
      <c r="M560" s="43"/>
      <c r="N560" s="43"/>
      <c r="O560" s="43"/>
      <c r="P560" s="43">
        <v>0.11600000000000001</v>
      </c>
      <c r="Q560" s="43"/>
      <c r="R560" s="43"/>
      <c r="S560" s="43"/>
      <c r="T560" s="43"/>
      <c r="U560" s="43"/>
      <c r="V560" s="43"/>
      <c r="W560" s="43"/>
      <c r="X560" s="43"/>
      <c r="Y560" s="43"/>
      <c r="Z560" s="43"/>
      <c r="AA560" s="43"/>
      <c r="AB560" s="43"/>
      <c r="AC560" s="43"/>
      <c r="AD560" s="43">
        <v>5.8999999999999997E-2</v>
      </c>
      <c r="AE560" s="43"/>
      <c r="AF560" s="43"/>
      <c r="AG560" s="43"/>
      <c r="AH560" s="43"/>
      <c r="AI560" s="43"/>
      <c r="AJ560" s="43">
        <v>4.2000000000000003E-2</v>
      </c>
      <c r="AK560" s="43"/>
      <c r="AL560" s="43"/>
      <c r="AM560" s="43"/>
      <c r="AN560" s="43"/>
      <c r="AO560" s="43"/>
      <c r="AP560" s="43"/>
      <c r="AQ560" s="43">
        <v>5.8400000000000001E-2</v>
      </c>
      <c r="AR560" s="43"/>
      <c r="AS560" s="43"/>
      <c r="AT560" s="43"/>
      <c r="AU560" s="43"/>
      <c r="AV560" s="43"/>
      <c r="AW560" s="43"/>
      <c r="AX560" s="43">
        <v>6.1800000000000001E-2</v>
      </c>
      <c r="AY560" s="43"/>
      <c r="AZ560" s="43"/>
      <c r="BA560" s="43"/>
      <c r="BB560" s="43"/>
      <c r="BC560" s="43">
        <v>0.13109999999999999</v>
      </c>
      <c r="BD560" s="43"/>
      <c r="BE560" s="43"/>
      <c r="BF560" s="43"/>
      <c r="BG560" s="43"/>
      <c r="BH560" s="43"/>
      <c r="BI560" s="43"/>
      <c r="BJ560" s="43"/>
      <c r="BK560" s="43">
        <v>0.21490000000000001</v>
      </c>
      <c r="BL560" s="43"/>
      <c r="BM560" s="43"/>
      <c r="BN560" s="43">
        <f t="shared" si="15"/>
        <v>0.21490000000000001</v>
      </c>
      <c r="BO560" s="43">
        <f t="shared" si="16"/>
        <v>2017</v>
      </c>
    </row>
    <row r="561" spans="2:67" x14ac:dyDescent="0.75">
      <c r="B561" s="43" t="s">
        <v>312</v>
      </c>
      <c r="C561" s="43" t="s">
        <v>313</v>
      </c>
      <c r="D561" s="43" t="s">
        <v>758</v>
      </c>
      <c r="E561" s="43" t="s">
        <v>757</v>
      </c>
      <c r="F561" s="43">
        <v>0.27600000000000002</v>
      </c>
      <c r="G561" s="43"/>
      <c r="H561" s="43"/>
      <c r="I561" s="43"/>
      <c r="J561" s="43"/>
      <c r="K561" s="43">
        <v>0.48099999999999998</v>
      </c>
      <c r="L561" s="43"/>
      <c r="M561" s="43"/>
      <c r="N561" s="43"/>
      <c r="O561" s="43"/>
      <c r="P561" s="43">
        <v>0.73899999999999999</v>
      </c>
      <c r="Q561" s="43">
        <v>0.91100000000000003</v>
      </c>
      <c r="R561" s="43">
        <v>0.84499999999999997</v>
      </c>
      <c r="S561" s="43"/>
      <c r="T561" s="43"/>
      <c r="U561" s="43"/>
      <c r="V561" s="43"/>
      <c r="W561" s="43">
        <v>1.036</v>
      </c>
      <c r="X561" s="43"/>
      <c r="Y561" s="43"/>
      <c r="Z561" s="43">
        <v>1.367</v>
      </c>
      <c r="AA561" s="43"/>
      <c r="AB561" s="43"/>
      <c r="AC561" s="43">
        <v>1.415</v>
      </c>
      <c r="AD561" s="43">
        <v>1.407</v>
      </c>
      <c r="AE561" s="43">
        <v>1.4059999999999999</v>
      </c>
      <c r="AF561" s="43"/>
      <c r="AG561" s="43"/>
      <c r="AH561" s="43"/>
      <c r="AI561" s="43">
        <v>1.403</v>
      </c>
      <c r="AJ561" s="43">
        <v>1.3740000000000001</v>
      </c>
      <c r="AK561" s="43">
        <v>1.47</v>
      </c>
      <c r="AL561" s="43">
        <v>1.65</v>
      </c>
      <c r="AM561" s="43">
        <v>1.425</v>
      </c>
      <c r="AN561" s="43"/>
      <c r="AO561" s="43">
        <v>1.306</v>
      </c>
      <c r="AP561" s="43">
        <v>1.3540000000000001</v>
      </c>
      <c r="AQ561" s="43">
        <v>1.2949999999999999</v>
      </c>
      <c r="AR561" s="43">
        <v>1.2889999999999999</v>
      </c>
      <c r="AS561" s="43">
        <v>1.282</v>
      </c>
      <c r="AT561" s="43">
        <v>1.389</v>
      </c>
      <c r="AU561" s="43"/>
      <c r="AV561" s="43">
        <v>1.3049999999999999</v>
      </c>
      <c r="AW561" s="43"/>
      <c r="AX561" s="43"/>
      <c r="AY561" s="43"/>
      <c r="AZ561" s="43"/>
      <c r="BA561" s="43">
        <v>1.1459999999999999</v>
      </c>
      <c r="BB561" s="43"/>
      <c r="BC561" s="43">
        <v>1.1439999999999999</v>
      </c>
      <c r="BD561" s="43">
        <v>1.2379</v>
      </c>
      <c r="BE561" s="43">
        <v>1.2224999999999999</v>
      </c>
      <c r="BF561" s="43">
        <v>1.2658</v>
      </c>
      <c r="BG561" s="43">
        <v>1.2706</v>
      </c>
      <c r="BH561" s="43"/>
      <c r="BI561" s="43"/>
      <c r="BJ561" s="43">
        <v>1.1998</v>
      </c>
      <c r="BK561" s="43"/>
      <c r="BL561" s="43"/>
      <c r="BM561" s="43"/>
      <c r="BN561" s="43">
        <f t="shared" si="15"/>
        <v>1.1998</v>
      </c>
      <c r="BO561" s="43">
        <f t="shared" si="16"/>
        <v>2016</v>
      </c>
    </row>
    <row r="562" spans="2:67" x14ac:dyDescent="0.75">
      <c r="B562" s="43" t="s">
        <v>316</v>
      </c>
      <c r="C562" s="43" t="s">
        <v>1</v>
      </c>
      <c r="D562" s="43" t="s">
        <v>758</v>
      </c>
      <c r="E562" s="43" t="s">
        <v>757</v>
      </c>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v>2.2309999999999999</v>
      </c>
      <c r="AP562" s="43"/>
      <c r="AQ562" s="43">
        <v>2.4350000000000001</v>
      </c>
      <c r="AR562" s="43">
        <v>2.4700000000000002</v>
      </c>
      <c r="AS562" s="43">
        <v>2.5939999999999999</v>
      </c>
      <c r="AT562" s="43">
        <v>2.5489999999999999</v>
      </c>
      <c r="AU562" s="43">
        <v>2.5939999999999999</v>
      </c>
      <c r="AV562" s="43"/>
      <c r="AW562" s="43">
        <v>3.3332999999999999</v>
      </c>
      <c r="AX562" s="43"/>
      <c r="AY562" s="43"/>
      <c r="AZ562" s="43">
        <v>3.64</v>
      </c>
      <c r="BA562" s="43">
        <v>3.7160000000000002</v>
      </c>
      <c r="BB562" s="43"/>
      <c r="BC562" s="43">
        <v>3.1120000000000001</v>
      </c>
      <c r="BD562" s="43">
        <v>4</v>
      </c>
      <c r="BE562" s="43"/>
      <c r="BF562" s="43"/>
      <c r="BG562" s="43"/>
      <c r="BH562" s="43"/>
      <c r="BI562" s="43">
        <v>3.3332999999999999</v>
      </c>
      <c r="BJ562" s="43"/>
      <c r="BK562" s="43"/>
      <c r="BL562" s="43"/>
      <c r="BM562" s="43"/>
      <c r="BN562" s="43">
        <f t="shared" si="15"/>
        <v>3.3332999999999999</v>
      </c>
      <c r="BO562" s="43">
        <f t="shared" si="16"/>
        <v>2003</v>
      </c>
    </row>
    <row r="563" spans="2:67" x14ac:dyDescent="0.75">
      <c r="B563" s="43" t="s">
        <v>319</v>
      </c>
      <c r="C563" s="43" t="s">
        <v>320</v>
      </c>
      <c r="D563" s="43" t="s">
        <v>758</v>
      </c>
      <c r="E563" s="43" t="s">
        <v>757</v>
      </c>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v>0.71886160379018749</v>
      </c>
      <c r="AK563" s="43"/>
      <c r="AL563" s="43"/>
      <c r="AM563" s="43"/>
      <c r="AN563" s="43"/>
      <c r="AO563" s="43"/>
      <c r="AP563" s="43"/>
      <c r="AQ563" s="43"/>
      <c r="AR563" s="43"/>
      <c r="AS563" s="43"/>
      <c r="AT563" s="43">
        <v>1.1251337627705766</v>
      </c>
      <c r="AU563" s="43"/>
      <c r="AV563" s="43"/>
      <c r="AW563" s="43"/>
      <c r="AX563" s="43"/>
      <c r="AY563" s="43"/>
      <c r="AZ563" s="43"/>
      <c r="BA563" s="43"/>
      <c r="BB563" s="43"/>
      <c r="BC563" s="43"/>
      <c r="BD563" s="43"/>
      <c r="BE563" s="43"/>
      <c r="BF563" s="43"/>
      <c r="BG563" s="43"/>
      <c r="BH563" s="43"/>
      <c r="BI563" s="43">
        <v>1.0973025743985347</v>
      </c>
      <c r="BJ563" s="43"/>
      <c r="BK563" s="43"/>
      <c r="BL563" s="43"/>
      <c r="BM563" s="43"/>
      <c r="BN563" s="43">
        <f t="shared" si="15"/>
        <v>1.0973025743985347</v>
      </c>
      <c r="BO563" s="43">
        <f t="shared" si="16"/>
        <v>2015</v>
      </c>
    </row>
    <row r="564" spans="2:67" x14ac:dyDescent="0.75">
      <c r="B564" s="43" t="s">
        <v>555</v>
      </c>
      <c r="C564" s="43" t="s">
        <v>2</v>
      </c>
      <c r="D564" s="43" t="s">
        <v>758</v>
      </c>
      <c r="E564" s="43" t="s">
        <v>757</v>
      </c>
      <c r="F564" s="43"/>
      <c r="G564" s="43"/>
      <c r="H564" s="43"/>
      <c r="I564" s="43"/>
      <c r="J564" s="43"/>
      <c r="K564" s="43"/>
      <c r="L564" s="43"/>
      <c r="M564" s="43"/>
      <c r="N564" s="43"/>
      <c r="O564" s="43"/>
      <c r="P564" s="43">
        <v>0.90900000000000003</v>
      </c>
      <c r="Q564" s="43"/>
      <c r="R564" s="43"/>
      <c r="S564" s="43"/>
      <c r="T564" s="43"/>
      <c r="U564" s="43"/>
      <c r="V564" s="43"/>
      <c r="W564" s="43"/>
      <c r="X564" s="43"/>
      <c r="Y564" s="43"/>
      <c r="Z564" s="43">
        <v>1.0680000000000001</v>
      </c>
      <c r="AA564" s="43"/>
      <c r="AB564" s="43"/>
      <c r="AC564" s="43"/>
      <c r="AD564" s="43">
        <v>0.95299999999999996</v>
      </c>
      <c r="AE564" s="43"/>
      <c r="AF564" s="43"/>
      <c r="AG564" s="43"/>
      <c r="AH564" s="43"/>
      <c r="AI564" s="43"/>
      <c r="AJ564" s="43"/>
      <c r="AK564" s="43"/>
      <c r="AL564" s="43"/>
      <c r="AM564" s="43"/>
      <c r="AN564" s="43"/>
      <c r="AO564" s="43"/>
      <c r="AP564" s="43"/>
      <c r="AQ564" s="43"/>
      <c r="AR564" s="43"/>
      <c r="AS564" s="43"/>
      <c r="AT564" s="43">
        <v>1.7896000000000001</v>
      </c>
      <c r="AU564" s="43">
        <v>1.9690000000000001</v>
      </c>
      <c r="AV564" s="43">
        <v>1.9864999999999999</v>
      </c>
      <c r="AW564" s="43">
        <v>2.0596000000000001</v>
      </c>
      <c r="AX564" s="43">
        <v>1.9086000000000001</v>
      </c>
      <c r="AY564" s="43">
        <v>1.5222</v>
      </c>
      <c r="AZ564" s="43">
        <v>1.3445</v>
      </c>
      <c r="BA564" s="43">
        <v>1.4342999999999999</v>
      </c>
      <c r="BB564" s="43">
        <v>1.6869000000000001</v>
      </c>
      <c r="BC564" s="43">
        <v>1.5673999999999999</v>
      </c>
      <c r="BD564" s="43">
        <v>1.4675</v>
      </c>
      <c r="BE564" s="43">
        <v>1.4823999999999999</v>
      </c>
      <c r="BF564" s="43">
        <v>1.5166999999999999</v>
      </c>
      <c r="BG564" s="43">
        <v>1.7783</v>
      </c>
      <c r="BH564" s="43">
        <v>2.0268000000000002</v>
      </c>
      <c r="BI564" s="43">
        <v>2.2372999999999998</v>
      </c>
      <c r="BJ564" s="43">
        <v>2.3944000000000001</v>
      </c>
      <c r="BK564" s="43"/>
      <c r="BL564" s="43"/>
      <c r="BM564" s="43"/>
      <c r="BN564" s="43">
        <f t="shared" si="15"/>
        <v>2.3944000000000001</v>
      </c>
      <c r="BO564" s="43">
        <f t="shared" si="16"/>
        <v>2016</v>
      </c>
    </row>
    <row r="565" spans="2:67" x14ac:dyDescent="0.75">
      <c r="B565" s="43" t="s">
        <v>321</v>
      </c>
      <c r="C565" s="43" t="s">
        <v>322</v>
      </c>
      <c r="D565" s="43" t="s">
        <v>758</v>
      </c>
      <c r="E565" s="43" t="s">
        <v>757</v>
      </c>
      <c r="F565" s="43">
        <v>1.351</v>
      </c>
      <c r="G565" s="43"/>
      <c r="H565" s="43"/>
      <c r="I565" s="43"/>
      <c r="J565" s="43"/>
      <c r="K565" s="43">
        <v>1.667</v>
      </c>
      <c r="L565" s="43"/>
      <c r="M565" s="43"/>
      <c r="N565" s="43"/>
      <c r="O565" s="43"/>
      <c r="P565" s="43">
        <v>1.8919999999999999</v>
      </c>
      <c r="Q565" s="43"/>
      <c r="R565" s="43"/>
      <c r="S565" s="43"/>
      <c r="T565" s="43"/>
      <c r="U565" s="43">
        <v>1.869</v>
      </c>
      <c r="V565" s="43"/>
      <c r="W565" s="43"/>
      <c r="X565" s="43"/>
      <c r="Y565" s="43"/>
      <c r="Z565" s="43"/>
      <c r="AA565" s="43"/>
      <c r="AB565" s="43"/>
      <c r="AC565" s="43"/>
      <c r="AD565" s="43">
        <v>2.6829999999999998</v>
      </c>
      <c r="AE565" s="43">
        <v>2.7050000000000001</v>
      </c>
      <c r="AF565" s="43">
        <v>2.984</v>
      </c>
      <c r="AG565" s="43"/>
      <c r="AH565" s="43">
        <v>3.032</v>
      </c>
      <c r="AI565" s="43"/>
      <c r="AJ565" s="43">
        <v>2.68</v>
      </c>
      <c r="AK565" s="43"/>
      <c r="AL565" s="43">
        <v>2.6385000000000001</v>
      </c>
      <c r="AM565" s="43"/>
      <c r="AN565" s="43"/>
      <c r="AO565" s="43">
        <v>2.68</v>
      </c>
      <c r="AP565" s="43"/>
      <c r="AQ565" s="43"/>
      <c r="AR565" s="43">
        <v>3.0021</v>
      </c>
      <c r="AS565" s="43"/>
      <c r="AT565" s="43"/>
      <c r="AU565" s="43">
        <v>3.2311000000000001</v>
      </c>
      <c r="AV565" s="43"/>
      <c r="AW565" s="43"/>
      <c r="AX565" s="43">
        <v>3.1661999999999999</v>
      </c>
      <c r="AY565" s="43">
        <v>3.21</v>
      </c>
      <c r="AZ565" s="43"/>
      <c r="BA565" s="43"/>
      <c r="BB565" s="43"/>
      <c r="BC565" s="43"/>
      <c r="BD565" s="43">
        <v>3.21</v>
      </c>
      <c r="BE565" s="43"/>
      <c r="BF565" s="43"/>
      <c r="BG565" s="43">
        <v>3.9066000000000001</v>
      </c>
      <c r="BH565" s="43"/>
      <c r="BI565" s="43"/>
      <c r="BJ565" s="43"/>
      <c r="BK565" s="43">
        <v>3.96</v>
      </c>
      <c r="BL565" s="43"/>
      <c r="BM565" s="43"/>
      <c r="BN565" s="43">
        <f t="shared" si="15"/>
        <v>3.96</v>
      </c>
      <c r="BO565" s="43">
        <f t="shared" si="16"/>
        <v>2017</v>
      </c>
    </row>
    <row r="566" spans="2:67" x14ac:dyDescent="0.75">
      <c r="B566" s="43" t="s">
        <v>234</v>
      </c>
      <c r="C566" s="43" t="s">
        <v>3</v>
      </c>
      <c r="D566" s="43" t="s">
        <v>758</v>
      </c>
      <c r="E566" s="43" t="s">
        <v>757</v>
      </c>
      <c r="F566" s="43"/>
      <c r="G566" s="43"/>
      <c r="H566" s="43"/>
      <c r="I566" s="43"/>
      <c r="J566" s="43"/>
      <c r="K566" s="43"/>
      <c r="L566" s="43"/>
      <c r="M566" s="43"/>
      <c r="N566" s="43"/>
      <c r="O566" s="43"/>
      <c r="P566" s="43"/>
      <c r="Q566" s="43"/>
      <c r="R566" s="43"/>
      <c r="S566" s="43"/>
      <c r="T566" s="43"/>
      <c r="U566" s="43"/>
      <c r="V566" s="43"/>
      <c r="W566" s="43"/>
      <c r="X566" s="43"/>
      <c r="Y566" s="43"/>
      <c r="Z566" s="43">
        <v>3.2109999999999999</v>
      </c>
      <c r="AA566" s="43">
        <v>3.278</v>
      </c>
      <c r="AB566" s="43">
        <v>3.4060000000000001</v>
      </c>
      <c r="AC566" s="43">
        <v>3.4540000000000002</v>
      </c>
      <c r="AD566" s="43">
        <v>3.5009999999999999</v>
      </c>
      <c r="AE566" s="43">
        <v>3.577</v>
      </c>
      <c r="AF566" s="43">
        <v>3.6739999999999999</v>
      </c>
      <c r="AG566" s="43">
        <v>3.7360000000000002</v>
      </c>
      <c r="AH566" s="43">
        <v>3.7629999999999999</v>
      </c>
      <c r="AI566" s="43">
        <v>3.8809999999999998</v>
      </c>
      <c r="AJ566" s="43">
        <v>3.9239999999999999</v>
      </c>
      <c r="AK566" s="43">
        <v>3.7010000000000001</v>
      </c>
      <c r="AL566" s="43">
        <v>3.597</v>
      </c>
      <c r="AM566" s="43">
        <v>3.3450000000000002</v>
      </c>
      <c r="AN566" s="43">
        <v>3.1219999999999999</v>
      </c>
      <c r="AO566" s="43">
        <v>3.0419999999999998</v>
      </c>
      <c r="AP566" s="43">
        <v>3.5910000000000002</v>
      </c>
      <c r="AQ566" s="43">
        <v>3.1560000000000001</v>
      </c>
      <c r="AR566" s="43">
        <v>3.1560000000000001</v>
      </c>
      <c r="AS566" s="43">
        <v>3.0510000000000002</v>
      </c>
      <c r="AT566" s="43">
        <v>2.9870000000000001</v>
      </c>
      <c r="AU566" s="43">
        <v>3.5259999999999998</v>
      </c>
      <c r="AV566" s="43"/>
      <c r="AW566" s="43">
        <v>3.5880000000000001</v>
      </c>
      <c r="AX566" s="43"/>
      <c r="AY566" s="43"/>
      <c r="AZ566" s="43">
        <v>3.7</v>
      </c>
      <c r="BA566" s="43">
        <v>3.6970000000000001</v>
      </c>
      <c r="BB566" s="43"/>
      <c r="BC566" s="43">
        <v>2.677</v>
      </c>
      <c r="BD566" s="43">
        <v>2.8418999999999999</v>
      </c>
      <c r="BE566" s="43">
        <v>2.8685999999999998</v>
      </c>
      <c r="BF566" s="43">
        <v>2.8990999999999998</v>
      </c>
      <c r="BG566" s="43">
        <v>2.9072</v>
      </c>
      <c r="BH566" s="43">
        <v>2.899</v>
      </c>
      <c r="BI566" s="43"/>
      <c r="BJ566" s="43"/>
      <c r="BK566" s="43"/>
      <c r="BL566" s="43"/>
      <c r="BM566" s="43"/>
      <c r="BN566" s="43">
        <f t="shared" si="15"/>
        <v>2.899</v>
      </c>
      <c r="BO566" s="43">
        <f t="shared" si="16"/>
        <v>2014</v>
      </c>
    </row>
    <row r="567" spans="2:67" x14ac:dyDescent="0.75">
      <c r="B567" s="43" t="s">
        <v>315</v>
      </c>
      <c r="C567" s="43" t="s">
        <v>193</v>
      </c>
      <c r="D567" s="43" t="s">
        <v>758</v>
      </c>
      <c r="E567" s="43" t="s">
        <v>757</v>
      </c>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v>0.77200000000000002</v>
      </c>
      <c r="AE567" s="43"/>
      <c r="AF567" s="43"/>
      <c r="AG567" s="43"/>
      <c r="AH567" s="43"/>
      <c r="AI567" s="43"/>
      <c r="AJ567" s="43"/>
      <c r="AK567" s="43"/>
      <c r="AL567" s="43"/>
      <c r="AM567" s="43"/>
      <c r="AN567" s="43"/>
      <c r="AO567" s="43"/>
      <c r="AP567" s="43"/>
      <c r="AQ567" s="43"/>
      <c r="AR567" s="43"/>
      <c r="AS567" s="43">
        <v>0.78100000000000003</v>
      </c>
      <c r="AT567" s="43"/>
      <c r="AU567" s="43"/>
      <c r="AV567" s="43"/>
      <c r="AW567" s="43"/>
      <c r="AX567" s="43"/>
      <c r="AY567" s="43"/>
      <c r="AZ567" s="43"/>
      <c r="BA567" s="43"/>
      <c r="BB567" s="43"/>
      <c r="BC567" s="43"/>
      <c r="BD567" s="43"/>
      <c r="BE567" s="43"/>
      <c r="BF567" s="43"/>
      <c r="BG567" s="43"/>
      <c r="BH567" s="43"/>
      <c r="BI567" s="43"/>
      <c r="BJ567" s="43"/>
      <c r="BK567" s="43"/>
      <c r="BL567" s="43"/>
      <c r="BM567" s="43"/>
      <c r="BN567" s="43">
        <f t="shared" si="15"/>
        <v>0.78100000000000003</v>
      </c>
      <c r="BO567" s="43">
        <f t="shared" si="16"/>
        <v>1999</v>
      </c>
    </row>
    <row r="568" spans="2:67" x14ac:dyDescent="0.75">
      <c r="B568" s="43" t="s">
        <v>317</v>
      </c>
      <c r="C568" s="43" t="s">
        <v>318</v>
      </c>
      <c r="D568" s="43" t="s">
        <v>758</v>
      </c>
      <c r="E568" s="43" t="s">
        <v>757</v>
      </c>
      <c r="F568" s="43">
        <v>0.29399999999999998</v>
      </c>
      <c r="G568" s="43"/>
      <c r="H568" s="43"/>
      <c r="I568" s="43"/>
      <c r="J568" s="43"/>
      <c r="K568" s="43"/>
      <c r="L568" s="43"/>
      <c r="M568" s="43"/>
      <c r="N568" s="43"/>
      <c r="O568" s="43"/>
      <c r="P568" s="43">
        <v>0.34899999999999998</v>
      </c>
      <c r="Q568" s="43"/>
      <c r="R568" s="43"/>
      <c r="S568" s="43"/>
      <c r="T568" s="43"/>
      <c r="U568" s="43"/>
      <c r="V568" s="43"/>
      <c r="W568" s="43"/>
      <c r="X568" s="43"/>
      <c r="Y568" s="43"/>
      <c r="Z568" s="43"/>
      <c r="AA568" s="43"/>
      <c r="AB568" s="43"/>
      <c r="AC568" s="43"/>
      <c r="AD568" s="43"/>
      <c r="AE568" s="43"/>
      <c r="AF568" s="43"/>
      <c r="AG568" s="43"/>
      <c r="AH568" s="43"/>
      <c r="AI568" s="43"/>
      <c r="AJ568" s="43">
        <v>0.76</v>
      </c>
      <c r="AK568" s="43">
        <v>0.91900000000000004</v>
      </c>
      <c r="AL568" s="43"/>
      <c r="AM568" s="43">
        <v>3.03</v>
      </c>
      <c r="AN568" s="43"/>
      <c r="AO568" s="43">
        <v>0.76</v>
      </c>
      <c r="AP568" s="43">
        <v>1.141</v>
      </c>
      <c r="AQ568" s="43"/>
      <c r="AR568" s="43"/>
      <c r="AS568" s="43">
        <v>0.1467</v>
      </c>
      <c r="AT568" s="43"/>
      <c r="AU568" s="43"/>
      <c r="AV568" s="43"/>
      <c r="AW568" s="43"/>
      <c r="AX568" s="43"/>
      <c r="AY568" s="43"/>
      <c r="AZ568" s="43"/>
      <c r="BA568" s="43">
        <v>1.5754999999999999</v>
      </c>
      <c r="BB568" s="43"/>
      <c r="BC568" s="43"/>
      <c r="BD568" s="43"/>
      <c r="BE568" s="43"/>
      <c r="BF568" s="43"/>
      <c r="BG568" s="43"/>
      <c r="BH568" s="43"/>
      <c r="BI568" s="43"/>
      <c r="BJ568" s="43"/>
      <c r="BK568" s="43">
        <v>2.7646999999999999</v>
      </c>
      <c r="BL568" s="43"/>
      <c r="BM568" s="43"/>
      <c r="BN568" s="43">
        <f t="shared" si="15"/>
        <v>2.7646999999999999</v>
      </c>
      <c r="BO568" s="43">
        <f t="shared" si="16"/>
        <v>2017</v>
      </c>
    </row>
    <row r="569" spans="2:67" x14ac:dyDescent="0.75">
      <c r="B569" s="43" t="s">
        <v>325</v>
      </c>
      <c r="C569" s="43" t="s">
        <v>4</v>
      </c>
      <c r="D569" s="43" t="s">
        <v>758</v>
      </c>
      <c r="E569" s="43" t="s">
        <v>757</v>
      </c>
      <c r="F569" s="43"/>
      <c r="G569" s="43">
        <v>1.1000000000000001</v>
      </c>
      <c r="H569" s="43"/>
      <c r="I569" s="43"/>
      <c r="J569" s="43"/>
      <c r="K569" s="43"/>
      <c r="L569" s="43">
        <v>1.2</v>
      </c>
      <c r="M569" s="43"/>
      <c r="N569" s="43"/>
      <c r="O569" s="43"/>
      <c r="P569" s="43"/>
      <c r="Q569" s="43">
        <v>1.2</v>
      </c>
      <c r="R569" s="43"/>
      <c r="S569" s="43"/>
      <c r="T569" s="43"/>
      <c r="U569" s="43"/>
      <c r="V569" s="43">
        <v>1.5</v>
      </c>
      <c r="W569" s="43"/>
      <c r="X569" s="43"/>
      <c r="Y569" s="43"/>
      <c r="Z569" s="43"/>
      <c r="AA569" s="43">
        <v>1.8</v>
      </c>
      <c r="AB569" s="43"/>
      <c r="AC569" s="43"/>
      <c r="AD569" s="43">
        <v>1.8</v>
      </c>
      <c r="AE569" s="43">
        <v>1.9</v>
      </c>
      <c r="AF569" s="43">
        <v>2</v>
      </c>
      <c r="AG569" s="43">
        <v>2.1</v>
      </c>
      <c r="AH569" s="43">
        <v>2.1</v>
      </c>
      <c r="AI569" s="43">
        <v>2.1</v>
      </c>
      <c r="AJ569" s="43">
        <v>2.2000000000000002</v>
      </c>
      <c r="AK569" s="43">
        <v>2.2999999999999998</v>
      </c>
      <c r="AL569" s="43">
        <v>2.4</v>
      </c>
      <c r="AM569" s="43">
        <v>2.4</v>
      </c>
      <c r="AN569" s="43">
        <v>2.4</v>
      </c>
      <c r="AO569" s="43">
        <v>2.4</v>
      </c>
      <c r="AP569" s="43">
        <v>2.5198999999999998</v>
      </c>
      <c r="AQ569" s="43">
        <v>2.4</v>
      </c>
      <c r="AR569" s="43">
        <v>2.4</v>
      </c>
      <c r="AS569" s="43">
        <v>2.4</v>
      </c>
      <c r="AT569" s="43">
        <v>2.5</v>
      </c>
      <c r="AU569" s="43">
        <v>2.4845999999999999</v>
      </c>
      <c r="AV569" s="43">
        <v>2.5</v>
      </c>
      <c r="AW569" s="43"/>
      <c r="AX569" s="43"/>
      <c r="AY569" s="43"/>
      <c r="AZ569" s="43">
        <v>2.6764999999999999</v>
      </c>
      <c r="BA569" s="43"/>
      <c r="BB569" s="43"/>
      <c r="BC569" s="43">
        <v>2.8887999999999998</v>
      </c>
      <c r="BD569" s="43">
        <v>3.3481000000000001</v>
      </c>
      <c r="BE569" s="43">
        <v>3.2963</v>
      </c>
      <c r="BF569" s="43">
        <v>3.2976000000000001</v>
      </c>
      <c r="BG569" s="43">
        <v>3.3881999999999999</v>
      </c>
      <c r="BH569" s="43">
        <v>3.4620000000000002</v>
      </c>
      <c r="BI569" s="43">
        <v>3.5213000000000001</v>
      </c>
      <c r="BJ569" s="43">
        <v>3.5874000000000001</v>
      </c>
      <c r="BK569" s="43"/>
      <c r="BL569" s="43"/>
      <c r="BM569" s="43"/>
      <c r="BN569" s="43">
        <f t="shared" si="15"/>
        <v>3.5874000000000001</v>
      </c>
      <c r="BO569" s="43">
        <f t="shared" si="16"/>
        <v>2016</v>
      </c>
    </row>
    <row r="570" spans="2:67" x14ac:dyDescent="0.75">
      <c r="B570" s="43" t="s">
        <v>326</v>
      </c>
      <c r="C570" s="43" t="s">
        <v>5</v>
      </c>
      <c r="D570" s="43" t="s">
        <v>758</v>
      </c>
      <c r="E570" s="43" t="s">
        <v>757</v>
      </c>
      <c r="F570" s="43">
        <v>1.2</v>
      </c>
      <c r="G570" s="43">
        <v>1.4</v>
      </c>
      <c r="H570" s="43">
        <v>1.4</v>
      </c>
      <c r="I570" s="43">
        <v>1.4</v>
      </c>
      <c r="J570" s="43">
        <v>1.4</v>
      </c>
      <c r="K570" s="43">
        <v>1.4</v>
      </c>
      <c r="L570" s="43">
        <v>1.4</v>
      </c>
      <c r="M570" s="43">
        <v>1.4</v>
      </c>
      <c r="N570" s="43">
        <v>1.4</v>
      </c>
      <c r="O570" s="43">
        <v>1.4</v>
      </c>
      <c r="P570" s="43">
        <v>1.4</v>
      </c>
      <c r="Q570" s="43">
        <v>1.4</v>
      </c>
      <c r="R570" s="43">
        <v>1.4</v>
      </c>
      <c r="S570" s="43">
        <v>1.4</v>
      </c>
      <c r="T570" s="43">
        <v>1.4</v>
      </c>
      <c r="U570" s="43">
        <v>1.5</v>
      </c>
      <c r="V570" s="43">
        <v>1.5</v>
      </c>
      <c r="W570" s="43">
        <v>1.5</v>
      </c>
      <c r="X570" s="43">
        <v>1.5</v>
      </c>
      <c r="Y570" s="43">
        <v>1.6</v>
      </c>
      <c r="Z570" s="43">
        <v>1.6</v>
      </c>
      <c r="AA570" s="43">
        <v>1.7</v>
      </c>
      <c r="AB570" s="43">
        <v>1.7</v>
      </c>
      <c r="AC570" s="43">
        <v>1.8</v>
      </c>
      <c r="AD570" s="43">
        <v>1.8</v>
      </c>
      <c r="AE570" s="43">
        <v>1.9</v>
      </c>
      <c r="AF570" s="43">
        <v>1.9</v>
      </c>
      <c r="AG570" s="43">
        <v>2</v>
      </c>
      <c r="AH570" s="43">
        <v>2.1</v>
      </c>
      <c r="AI570" s="43">
        <v>2.2000000000000002</v>
      </c>
      <c r="AJ570" s="43">
        <v>2.2000000000000002</v>
      </c>
      <c r="AK570" s="43">
        <v>2.2999999999999998</v>
      </c>
      <c r="AL570" s="43">
        <v>2.4</v>
      </c>
      <c r="AM570" s="43">
        <v>2.5</v>
      </c>
      <c r="AN570" s="43">
        <v>2.6</v>
      </c>
      <c r="AO570" s="43">
        <v>2.7</v>
      </c>
      <c r="AP570" s="43">
        <v>2.8</v>
      </c>
      <c r="AQ570" s="43">
        <v>2.9</v>
      </c>
      <c r="AR570" s="43">
        <v>3.1</v>
      </c>
      <c r="AS570" s="43">
        <v>3.1</v>
      </c>
      <c r="AT570" s="43">
        <v>3.2</v>
      </c>
      <c r="AU570" s="43">
        <v>3.3</v>
      </c>
      <c r="AV570" s="43">
        <v>3.3</v>
      </c>
      <c r="AW570" s="43">
        <v>3.3780000000000001</v>
      </c>
      <c r="AX570" s="43"/>
      <c r="AY570" s="43"/>
      <c r="AZ570" s="43">
        <v>3.66</v>
      </c>
      <c r="BA570" s="43">
        <v>3.794</v>
      </c>
      <c r="BB570" s="43"/>
      <c r="BC570" s="43"/>
      <c r="BD570" s="43">
        <v>4.7687999999999997</v>
      </c>
      <c r="BE570" s="43">
        <v>4.8030999999999997</v>
      </c>
      <c r="BF570" s="43">
        <v>4.8449999999999998</v>
      </c>
      <c r="BG570" s="43">
        <v>4.9316000000000004</v>
      </c>
      <c r="BH570" s="43">
        <v>4.9954000000000001</v>
      </c>
      <c r="BI570" s="43">
        <v>5.0701000000000001</v>
      </c>
      <c r="BJ570" s="43">
        <v>5.1440999999999999</v>
      </c>
      <c r="BK570" s="43"/>
      <c r="BL570" s="43"/>
      <c r="BM570" s="43"/>
      <c r="BN570" s="43">
        <f t="shared" si="15"/>
        <v>5.1440999999999999</v>
      </c>
      <c r="BO570" s="43">
        <f t="shared" si="16"/>
        <v>2016</v>
      </c>
    </row>
    <row r="571" spans="2:67" x14ac:dyDescent="0.75">
      <c r="B571" s="43" t="s">
        <v>235</v>
      </c>
      <c r="C571" s="43" t="s">
        <v>6</v>
      </c>
      <c r="D571" s="43" t="s">
        <v>758</v>
      </c>
      <c r="E571" s="43" t="s">
        <v>757</v>
      </c>
      <c r="F571" s="43"/>
      <c r="G571" s="43"/>
      <c r="H571" s="43"/>
      <c r="I571" s="43"/>
      <c r="J571" s="43"/>
      <c r="K571" s="43"/>
      <c r="L571" s="43"/>
      <c r="M571" s="43"/>
      <c r="N571" s="43"/>
      <c r="O571" s="43"/>
      <c r="P571" s="43"/>
      <c r="Q571" s="43"/>
      <c r="R571" s="43"/>
      <c r="S571" s="43"/>
      <c r="T571" s="43"/>
      <c r="U571" s="43"/>
      <c r="V571" s="43"/>
      <c r="W571" s="43"/>
      <c r="X571" s="43"/>
      <c r="Y571" s="43"/>
      <c r="Z571" s="43">
        <v>3.3620000000000001</v>
      </c>
      <c r="AA571" s="43"/>
      <c r="AB571" s="43"/>
      <c r="AC571" s="43"/>
      <c r="AD571" s="43"/>
      <c r="AE571" s="43">
        <v>3.7989999999999999</v>
      </c>
      <c r="AF571" s="43">
        <v>3.8769999999999998</v>
      </c>
      <c r="AG571" s="43">
        <v>3.9060000000000001</v>
      </c>
      <c r="AH571" s="43">
        <v>3.964</v>
      </c>
      <c r="AI571" s="43">
        <v>3.99</v>
      </c>
      <c r="AJ571" s="43">
        <v>3.9169999999999998</v>
      </c>
      <c r="AK571" s="43">
        <v>3.9159999999999999</v>
      </c>
      <c r="AL571" s="43">
        <v>3.8809999999999998</v>
      </c>
      <c r="AM571" s="43">
        <v>3.9279999999999999</v>
      </c>
      <c r="AN571" s="43">
        <v>3.8959999999999999</v>
      </c>
      <c r="AO571" s="43">
        <v>3.9249999999999998</v>
      </c>
      <c r="AP571" s="43">
        <v>3.899</v>
      </c>
      <c r="AQ571" s="43">
        <v>3.831</v>
      </c>
      <c r="AR571" s="43">
        <v>3.6019999999999999</v>
      </c>
      <c r="AS571" s="43">
        <v>3.5209999999999999</v>
      </c>
      <c r="AT571" s="43">
        <v>3.6070000000000002</v>
      </c>
      <c r="AU571" s="43">
        <v>3.536</v>
      </c>
      <c r="AV571" s="43"/>
      <c r="AW571" s="43">
        <v>3.5470000000000002</v>
      </c>
      <c r="AX571" s="43"/>
      <c r="AY571" s="43"/>
      <c r="AZ571" s="43">
        <v>3.63</v>
      </c>
      <c r="BA571" s="43">
        <v>3.794</v>
      </c>
      <c r="BB571" s="43"/>
      <c r="BC571" s="43">
        <v>3.782</v>
      </c>
      <c r="BD571" s="43">
        <v>3.6629</v>
      </c>
      <c r="BE571" s="43">
        <v>3.4375</v>
      </c>
      <c r="BF571" s="43">
        <v>3.4901</v>
      </c>
      <c r="BG571" s="43">
        <v>3.4558</v>
      </c>
      <c r="BH571" s="43">
        <v>3.4466000000000001</v>
      </c>
      <c r="BI571" s="43"/>
      <c r="BJ571" s="43"/>
      <c r="BK571" s="43"/>
      <c r="BL571" s="43"/>
      <c r="BM571" s="43"/>
      <c r="BN571" s="43">
        <f t="shared" si="15"/>
        <v>3.4466000000000001</v>
      </c>
      <c r="BO571" s="43">
        <f t="shared" si="16"/>
        <v>2014</v>
      </c>
    </row>
    <row r="572" spans="2:67" x14ac:dyDescent="0.75">
      <c r="B572" s="43" t="s">
        <v>186</v>
      </c>
      <c r="C572" s="43" t="s">
        <v>7</v>
      </c>
      <c r="D572" s="43" t="s">
        <v>758</v>
      </c>
      <c r="E572" s="43" t="s">
        <v>757</v>
      </c>
      <c r="F572" s="43">
        <v>0.01</v>
      </c>
      <c r="G572" s="43"/>
      <c r="H572" s="43"/>
      <c r="I572" s="43"/>
      <c r="J572" s="43"/>
      <c r="K572" s="43">
        <v>1.7000000000000001E-2</v>
      </c>
      <c r="L572" s="43"/>
      <c r="M572" s="43"/>
      <c r="N572" s="43"/>
      <c r="O572" s="43"/>
      <c r="P572" s="43">
        <v>1.7000000000000001E-2</v>
      </c>
      <c r="Q572" s="43"/>
      <c r="R572" s="43"/>
      <c r="S572" s="43"/>
      <c r="T572" s="43"/>
      <c r="U572" s="43">
        <v>1.2E-2</v>
      </c>
      <c r="V572" s="43"/>
      <c r="W572" s="43"/>
      <c r="X572" s="43"/>
      <c r="Y572" s="43"/>
      <c r="Z572" s="43"/>
      <c r="AA572" s="43"/>
      <c r="AB572" s="43"/>
      <c r="AC572" s="43"/>
      <c r="AD572" s="43">
        <v>4.7E-2</v>
      </c>
      <c r="AE572" s="43"/>
      <c r="AF572" s="43">
        <v>5.8000000000000003E-2</v>
      </c>
      <c r="AG572" s="43"/>
      <c r="AH572" s="43"/>
      <c r="AI572" s="43"/>
      <c r="AJ572" s="43">
        <v>5.8000000000000003E-2</v>
      </c>
      <c r="AK572" s="43">
        <v>5.8999999999999997E-2</v>
      </c>
      <c r="AL572" s="43"/>
      <c r="AM572" s="43">
        <v>5.6000000000000001E-2</v>
      </c>
      <c r="AN572" s="43"/>
      <c r="AO572" s="43">
        <v>5.5E-2</v>
      </c>
      <c r="AP572" s="43"/>
      <c r="AQ572" s="43"/>
      <c r="AR572" s="43"/>
      <c r="AS572" s="43"/>
      <c r="AT572" s="43">
        <v>5.1999999999999998E-2</v>
      </c>
      <c r="AU572" s="43"/>
      <c r="AV572" s="43"/>
      <c r="AW572" s="43"/>
      <c r="AX572" s="43">
        <v>2.7799999999999998E-2</v>
      </c>
      <c r="AY572" s="43"/>
      <c r="AZ572" s="43"/>
      <c r="BA572" s="43"/>
      <c r="BB572" s="43"/>
      <c r="BC572" s="43"/>
      <c r="BD572" s="43">
        <v>4.7699999999999999E-2</v>
      </c>
      <c r="BE572" s="43"/>
      <c r="BF572" s="43"/>
      <c r="BG572" s="43"/>
      <c r="BH572" s="43"/>
      <c r="BI572" s="43"/>
      <c r="BJ572" s="43">
        <v>0.05</v>
      </c>
      <c r="BK572" s="43"/>
      <c r="BL572" s="43"/>
      <c r="BM572" s="43"/>
      <c r="BN572" s="43">
        <f t="shared" si="15"/>
        <v>0.05</v>
      </c>
      <c r="BO572" s="43">
        <f t="shared" si="16"/>
        <v>2016</v>
      </c>
    </row>
    <row r="573" spans="2:67" x14ac:dyDescent="0.75">
      <c r="B573" s="43" t="s">
        <v>332</v>
      </c>
      <c r="C573" s="43" t="s">
        <v>8</v>
      </c>
      <c r="D573" s="43" t="s">
        <v>758</v>
      </c>
      <c r="E573" s="43" t="s">
        <v>757</v>
      </c>
      <c r="F573" s="43">
        <v>1.3</v>
      </c>
      <c r="G573" s="43">
        <v>1.3</v>
      </c>
      <c r="H573" s="43">
        <v>1.4</v>
      </c>
      <c r="I573" s="43">
        <v>1.4</v>
      </c>
      <c r="J573" s="43">
        <v>1.4</v>
      </c>
      <c r="K573" s="43">
        <v>1.5</v>
      </c>
      <c r="L573" s="43">
        <v>1.5</v>
      </c>
      <c r="M573" s="43">
        <v>1.5</v>
      </c>
      <c r="N573" s="43">
        <v>1.6</v>
      </c>
      <c r="O573" s="43">
        <v>1.6</v>
      </c>
      <c r="P573" s="43"/>
      <c r="Q573" s="43">
        <v>1.5</v>
      </c>
      <c r="R573" s="43">
        <v>1.6</v>
      </c>
      <c r="S573" s="43">
        <v>1.7</v>
      </c>
      <c r="T573" s="43">
        <v>1.8</v>
      </c>
      <c r="U573" s="43">
        <v>1.9</v>
      </c>
      <c r="V573" s="43">
        <v>1.9</v>
      </c>
      <c r="W573" s="43">
        <v>2</v>
      </c>
      <c r="X573" s="43">
        <v>2.1</v>
      </c>
      <c r="Y573" s="43">
        <v>2.2000000000000002</v>
      </c>
      <c r="Z573" s="43">
        <v>2.2999999999999998</v>
      </c>
      <c r="AA573" s="43">
        <v>2.4</v>
      </c>
      <c r="AB573" s="43">
        <v>2.5</v>
      </c>
      <c r="AC573" s="43">
        <v>2.8</v>
      </c>
      <c r="AD573" s="43">
        <v>2.7</v>
      </c>
      <c r="AE573" s="43">
        <v>2.8</v>
      </c>
      <c r="AF573" s="43">
        <v>2.9</v>
      </c>
      <c r="AG573" s="43">
        <v>3</v>
      </c>
      <c r="AH573" s="43">
        <v>3.1</v>
      </c>
      <c r="AI573" s="43">
        <v>3.2</v>
      </c>
      <c r="AJ573" s="43">
        <v>3.3</v>
      </c>
      <c r="AK573" s="43">
        <v>3.3</v>
      </c>
      <c r="AL573" s="43">
        <v>3.4</v>
      </c>
      <c r="AM573" s="43">
        <v>3.4</v>
      </c>
      <c r="AN573" s="43">
        <v>3.5</v>
      </c>
      <c r="AO573" s="43">
        <v>3.5</v>
      </c>
      <c r="AP573" s="43">
        <v>3.6</v>
      </c>
      <c r="AQ573" s="43">
        <v>3.7</v>
      </c>
      <c r="AR573" s="43">
        <v>3.7</v>
      </c>
      <c r="AS573" s="43">
        <v>3.8</v>
      </c>
      <c r="AT573" s="43">
        <v>3.9</v>
      </c>
      <c r="AU573" s="43">
        <v>3.9</v>
      </c>
      <c r="AV573" s="43">
        <v>3.9</v>
      </c>
      <c r="AW573" s="43"/>
      <c r="AX573" s="43"/>
      <c r="AY573" s="43">
        <v>2.0478999999999998</v>
      </c>
      <c r="AZ573" s="43">
        <v>2.0956999999999999</v>
      </c>
      <c r="BA573" s="43"/>
      <c r="BB573" s="43"/>
      <c r="BC573" s="43"/>
      <c r="BD573" s="43">
        <v>2.9085000000000001</v>
      </c>
      <c r="BE573" s="43">
        <v>2.9222000000000001</v>
      </c>
      <c r="BF573" s="43">
        <v>2.9397000000000002</v>
      </c>
      <c r="BG573" s="43">
        <v>2.9592000000000001</v>
      </c>
      <c r="BH573" s="43">
        <v>2.9729000000000001</v>
      </c>
      <c r="BI573" s="43">
        <v>3.0137999999999998</v>
      </c>
      <c r="BJ573" s="43">
        <v>3.3233999999999999</v>
      </c>
      <c r="BK573" s="43"/>
      <c r="BL573" s="43"/>
      <c r="BM573" s="43"/>
      <c r="BN573" s="43">
        <f t="shared" si="15"/>
        <v>3.3233999999999999</v>
      </c>
      <c r="BO573" s="43">
        <f t="shared" si="16"/>
        <v>2016</v>
      </c>
    </row>
    <row r="574" spans="2:67" x14ac:dyDescent="0.75">
      <c r="B574" s="43" t="s">
        <v>183</v>
      </c>
      <c r="C574" s="43" t="s">
        <v>9</v>
      </c>
      <c r="D574" s="43" t="s">
        <v>758</v>
      </c>
      <c r="E574" s="43" t="s">
        <v>757</v>
      </c>
      <c r="F574" s="43">
        <v>0.04</v>
      </c>
      <c r="G574" s="43"/>
      <c r="H574" s="43"/>
      <c r="I574" s="43"/>
      <c r="J574" s="43"/>
      <c r="K574" s="43">
        <v>0.03</v>
      </c>
      <c r="L574" s="43"/>
      <c r="M574" s="43"/>
      <c r="N574" s="43"/>
      <c r="O574" s="43"/>
      <c r="P574" s="43">
        <v>3.4000000000000002E-2</v>
      </c>
      <c r="Q574" s="43"/>
      <c r="R574" s="43"/>
      <c r="S574" s="43"/>
      <c r="T574" s="43"/>
      <c r="U574" s="43"/>
      <c r="V574" s="43"/>
      <c r="W574" s="43"/>
      <c r="X574" s="43"/>
      <c r="Y574" s="43"/>
      <c r="Z574" s="43">
        <v>5.8999999999999997E-2</v>
      </c>
      <c r="AA574" s="43">
        <v>5.8999999999999997E-2</v>
      </c>
      <c r="AB574" s="43"/>
      <c r="AC574" s="43">
        <v>7.4999999999999997E-2</v>
      </c>
      <c r="AD574" s="43"/>
      <c r="AE574" s="43">
        <v>7.2999999999999995E-2</v>
      </c>
      <c r="AF574" s="43"/>
      <c r="AG574" s="43"/>
      <c r="AH574" s="43"/>
      <c r="AI574" s="43">
        <v>7.0999999999999994E-2</v>
      </c>
      <c r="AJ574" s="43">
        <v>5.0999999999999997E-2</v>
      </c>
      <c r="AK574" s="43">
        <v>4.2000000000000003E-2</v>
      </c>
      <c r="AL574" s="43">
        <v>5.5E-2</v>
      </c>
      <c r="AM574" s="43">
        <v>5.7000000000000002E-2</v>
      </c>
      <c r="AN574" s="43">
        <v>6.0999999999999999E-2</v>
      </c>
      <c r="AO574" s="43">
        <v>5.8000000000000003E-2</v>
      </c>
      <c r="AP574" s="43"/>
      <c r="AQ574" s="43"/>
      <c r="AR574" s="43"/>
      <c r="AS574" s="43"/>
      <c r="AT574" s="43"/>
      <c r="AU574" s="43"/>
      <c r="AV574" s="43"/>
      <c r="AW574" s="43"/>
      <c r="AX574" s="43">
        <v>4.0099999999999997E-2</v>
      </c>
      <c r="AY574" s="43"/>
      <c r="AZ574" s="43"/>
      <c r="BA574" s="43"/>
      <c r="BB574" s="43">
        <v>6.2300000000000001E-2</v>
      </c>
      <c r="BC574" s="43"/>
      <c r="BD574" s="43">
        <v>5.8999999999999997E-2</v>
      </c>
      <c r="BE574" s="43"/>
      <c r="BF574" s="43">
        <v>0.1646</v>
      </c>
      <c r="BG574" s="43">
        <v>0.15060000000000001</v>
      </c>
      <c r="BH574" s="43"/>
      <c r="BI574" s="43"/>
      <c r="BJ574" s="43">
        <v>0.15720000000000001</v>
      </c>
      <c r="BK574" s="43"/>
      <c r="BL574" s="43"/>
      <c r="BM574" s="43"/>
      <c r="BN574" s="43">
        <f t="shared" si="15"/>
        <v>0.15720000000000001</v>
      </c>
      <c r="BO574" s="43">
        <f t="shared" si="16"/>
        <v>2016</v>
      </c>
    </row>
    <row r="575" spans="2:67" x14ac:dyDescent="0.75">
      <c r="B575" s="43" t="s">
        <v>185</v>
      </c>
      <c r="C575" s="43" t="s">
        <v>10</v>
      </c>
      <c r="D575" s="43" t="s">
        <v>758</v>
      </c>
      <c r="E575" s="43" t="s">
        <v>757</v>
      </c>
      <c r="F575" s="43">
        <v>1.0999999999999999E-2</v>
      </c>
      <c r="G575" s="43"/>
      <c r="H575" s="43"/>
      <c r="I575" s="43"/>
      <c r="J575" s="43"/>
      <c r="K575" s="43">
        <v>1.4E-2</v>
      </c>
      <c r="L575" s="43"/>
      <c r="M575" s="43"/>
      <c r="N575" s="43"/>
      <c r="O575" s="43"/>
      <c r="P575" s="43">
        <v>0.01</v>
      </c>
      <c r="Q575" s="43"/>
      <c r="R575" s="43"/>
      <c r="S575" s="43"/>
      <c r="T575" s="43"/>
      <c r="U575" s="43"/>
      <c r="V575" s="43"/>
      <c r="W575" s="43"/>
      <c r="X575" s="43"/>
      <c r="Y575" s="43"/>
      <c r="Z575" s="43">
        <v>1.7999999999999999E-2</v>
      </c>
      <c r="AA575" s="43">
        <v>1.7999999999999999E-2</v>
      </c>
      <c r="AB575" s="43"/>
      <c r="AC575" s="43">
        <v>1.7999999999999999E-2</v>
      </c>
      <c r="AD575" s="43"/>
      <c r="AE575" s="43"/>
      <c r="AF575" s="43">
        <v>4.0000000000000001E-3</v>
      </c>
      <c r="AG575" s="43"/>
      <c r="AH575" s="43"/>
      <c r="AI575" s="43">
        <v>2.9000000000000001E-2</v>
      </c>
      <c r="AJ575" s="43"/>
      <c r="AK575" s="43"/>
      <c r="AL575" s="43"/>
      <c r="AM575" s="43"/>
      <c r="AN575" s="43"/>
      <c r="AO575" s="43">
        <v>3.4000000000000002E-2</v>
      </c>
      <c r="AP575" s="43">
        <v>3.5000000000000003E-2</v>
      </c>
      <c r="AQ575" s="43">
        <v>3.7999999999999999E-2</v>
      </c>
      <c r="AR575" s="43"/>
      <c r="AS575" s="43"/>
      <c r="AT575" s="43"/>
      <c r="AU575" s="43">
        <v>0.04</v>
      </c>
      <c r="AV575" s="43"/>
      <c r="AW575" s="43"/>
      <c r="AX575" s="43">
        <v>5.4300000000000001E-2</v>
      </c>
      <c r="AY575" s="43"/>
      <c r="AZ575" s="43">
        <v>2.8000000000000001E-2</v>
      </c>
      <c r="BA575" s="43"/>
      <c r="BB575" s="43">
        <v>3.2199999999999999E-2</v>
      </c>
      <c r="BC575" s="43">
        <v>4.4600000000000001E-2</v>
      </c>
      <c r="BD575" s="43">
        <v>4.5699999999999998E-2</v>
      </c>
      <c r="BE575" s="43">
        <v>3.8600000000000002E-2</v>
      </c>
      <c r="BF575" s="43">
        <v>4.7500000000000001E-2</v>
      </c>
      <c r="BG575" s="43"/>
      <c r="BH575" s="43"/>
      <c r="BI575" s="43"/>
      <c r="BJ575" s="43">
        <v>0.06</v>
      </c>
      <c r="BK575" s="43"/>
      <c r="BL575" s="43"/>
      <c r="BM575" s="43"/>
      <c r="BN575" s="43">
        <f t="shared" si="15"/>
        <v>0.06</v>
      </c>
      <c r="BO575" s="43">
        <f t="shared" si="16"/>
        <v>2016</v>
      </c>
    </row>
    <row r="576" spans="2:67" x14ac:dyDescent="0.75">
      <c r="B576" s="43" t="s">
        <v>240</v>
      </c>
      <c r="C576" s="43" t="s">
        <v>11</v>
      </c>
      <c r="D576" s="43" t="s">
        <v>758</v>
      </c>
      <c r="E576" s="43" t="s">
        <v>757</v>
      </c>
      <c r="F576" s="43"/>
      <c r="G576" s="43"/>
      <c r="H576" s="43"/>
      <c r="I576" s="43"/>
      <c r="J576" s="43"/>
      <c r="K576" s="43">
        <v>0.123</v>
      </c>
      <c r="L576" s="43"/>
      <c r="M576" s="43"/>
      <c r="N576" s="43"/>
      <c r="O576" s="43"/>
      <c r="P576" s="43">
        <v>0.11899999999999999</v>
      </c>
      <c r="Q576" s="43"/>
      <c r="R576" s="43"/>
      <c r="S576" s="43"/>
      <c r="T576" s="43"/>
      <c r="U576" s="43"/>
      <c r="V576" s="43"/>
      <c r="W576" s="43"/>
      <c r="X576" s="43"/>
      <c r="Y576" s="43"/>
      <c r="Z576" s="43">
        <v>0.12</v>
      </c>
      <c r="AA576" s="43"/>
      <c r="AB576" s="43"/>
      <c r="AC576" s="43"/>
      <c r="AD576" s="43"/>
      <c r="AE576" s="43">
        <v>0.154</v>
      </c>
      <c r="AF576" s="43">
        <v>0.14399999999999999</v>
      </c>
      <c r="AG576" s="43"/>
      <c r="AH576" s="43"/>
      <c r="AI576" s="43"/>
      <c r="AJ576" s="43">
        <v>0.17699999999999999</v>
      </c>
      <c r="AK576" s="43">
        <v>0.188</v>
      </c>
      <c r="AL576" s="43"/>
      <c r="AM576" s="43"/>
      <c r="AN576" s="43"/>
      <c r="AO576" s="43">
        <v>0.20100000000000001</v>
      </c>
      <c r="AP576" s="43"/>
      <c r="AQ576" s="43">
        <v>0.2</v>
      </c>
      <c r="AR576" s="43"/>
      <c r="AS576" s="43"/>
      <c r="AT576" s="43"/>
      <c r="AU576" s="43">
        <v>0.24229999999999999</v>
      </c>
      <c r="AV576" s="43"/>
      <c r="AW576" s="43">
        <v>0.2631</v>
      </c>
      <c r="AX576" s="43">
        <v>0.27229999999999999</v>
      </c>
      <c r="AY576" s="43">
        <v>0.29899999999999999</v>
      </c>
      <c r="AZ576" s="43">
        <v>0.307</v>
      </c>
      <c r="BA576" s="43">
        <v>0.31929999999999997</v>
      </c>
      <c r="BB576" s="43">
        <v>0.33169999999999999</v>
      </c>
      <c r="BC576" s="43">
        <v>0.34379999999999999</v>
      </c>
      <c r="BD576" s="43">
        <v>0.35260000000000002</v>
      </c>
      <c r="BE576" s="43">
        <v>0.37240000000000001</v>
      </c>
      <c r="BF576" s="43">
        <v>0.38790000000000002</v>
      </c>
      <c r="BG576" s="43">
        <v>0.40889999999999999</v>
      </c>
      <c r="BH576" s="43">
        <v>0.47370000000000001</v>
      </c>
      <c r="BI576" s="43">
        <v>0.47089999999999999</v>
      </c>
      <c r="BJ576" s="43">
        <v>0.48220000000000002</v>
      </c>
      <c r="BK576" s="43">
        <v>0.52680000000000005</v>
      </c>
      <c r="BL576" s="43"/>
      <c r="BM576" s="43"/>
      <c r="BN576" s="43">
        <f t="shared" si="15"/>
        <v>0.52680000000000005</v>
      </c>
      <c r="BO576" s="43">
        <f t="shared" si="16"/>
        <v>2017</v>
      </c>
    </row>
    <row r="577" spans="2:67" x14ac:dyDescent="0.75">
      <c r="B577" s="43" t="s">
        <v>341</v>
      </c>
      <c r="C577" s="43" t="s">
        <v>12</v>
      </c>
      <c r="D577" s="43" t="s">
        <v>758</v>
      </c>
      <c r="E577" s="43" t="s">
        <v>757</v>
      </c>
      <c r="F577" s="43">
        <v>1.405</v>
      </c>
      <c r="G577" s="43"/>
      <c r="H577" s="43"/>
      <c r="I577" s="43"/>
      <c r="J577" s="43"/>
      <c r="K577" s="43">
        <v>1.667</v>
      </c>
      <c r="L577" s="43"/>
      <c r="M577" s="43"/>
      <c r="N577" s="43"/>
      <c r="O577" s="43"/>
      <c r="P577" s="43">
        <v>1.863</v>
      </c>
      <c r="Q577" s="43">
        <v>1.8959999999999999</v>
      </c>
      <c r="R577" s="43">
        <v>1.9850000000000001</v>
      </c>
      <c r="S577" s="43">
        <v>2.0419999999999998</v>
      </c>
      <c r="T577" s="43">
        <v>2.1019999999999999</v>
      </c>
      <c r="U577" s="43">
        <v>2.1520000000000001</v>
      </c>
      <c r="V577" s="43">
        <v>2.2050000000000001</v>
      </c>
      <c r="W577" s="43">
        <v>2.258</v>
      </c>
      <c r="X577" s="43">
        <v>2.3210000000000002</v>
      </c>
      <c r="Y577" s="43">
        <v>2.4079999999999999</v>
      </c>
      <c r="Z577" s="43">
        <v>2.46</v>
      </c>
      <c r="AA577" s="43">
        <v>2.484</v>
      </c>
      <c r="AB577" s="43">
        <v>2.5880000000000001</v>
      </c>
      <c r="AC577" s="43">
        <v>2.6880000000000002</v>
      </c>
      <c r="AD577" s="43">
        <v>2.7589999999999999</v>
      </c>
      <c r="AE577" s="43">
        <v>2.8650000000000002</v>
      </c>
      <c r="AF577" s="43">
        <v>2.9529999999999998</v>
      </c>
      <c r="AG577" s="43">
        <v>3.0219999999999998</v>
      </c>
      <c r="AH577" s="43">
        <v>3.09</v>
      </c>
      <c r="AI577" s="43">
        <v>3.1389999999999998</v>
      </c>
      <c r="AJ577" s="43">
        <v>3.17</v>
      </c>
      <c r="AK577" s="43">
        <v>2.9790000000000001</v>
      </c>
      <c r="AL577" s="43">
        <v>3.1659999999999999</v>
      </c>
      <c r="AM577" s="43">
        <v>3.359</v>
      </c>
      <c r="AN577" s="43">
        <v>3.327</v>
      </c>
      <c r="AO577" s="43">
        <v>3.4580000000000002</v>
      </c>
      <c r="AP577" s="43">
        <v>3.5390000000000001</v>
      </c>
      <c r="AQ577" s="43">
        <v>3.4470000000000001</v>
      </c>
      <c r="AR577" s="43">
        <v>3.4489999999999998</v>
      </c>
      <c r="AS577" s="43"/>
      <c r="AT577" s="43">
        <v>3.399</v>
      </c>
      <c r="AU577" s="43"/>
      <c r="AV577" s="43"/>
      <c r="AW577" s="43">
        <v>3.5619999999999998</v>
      </c>
      <c r="AX577" s="43"/>
      <c r="AY577" s="43"/>
      <c r="AZ577" s="43">
        <v>3.66</v>
      </c>
      <c r="BA577" s="43">
        <v>3.665</v>
      </c>
      <c r="BB577" s="43">
        <v>3.6349999999999998</v>
      </c>
      <c r="BC577" s="43"/>
      <c r="BD577" s="43">
        <v>3.7764000000000002</v>
      </c>
      <c r="BE577" s="43">
        <v>3.8584999999999998</v>
      </c>
      <c r="BF577" s="43">
        <v>3.9121000000000001</v>
      </c>
      <c r="BG577" s="43">
        <v>3.9761000000000002</v>
      </c>
      <c r="BH577" s="43">
        <v>3.9878999999999998</v>
      </c>
      <c r="BI577" s="43"/>
      <c r="BJ577" s="43"/>
      <c r="BK577" s="43"/>
      <c r="BL577" s="43"/>
      <c r="BM577" s="43"/>
      <c r="BN577" s="43">
        <f t="shared" si="15"/>
        <v>3.9878999999999998</v>
      </c>
      <c r="BO577" s="43">
        <f t="shared" si="16"/>
        <v>2014</v>
      </c>
    </row>
    <row r="578" spans="2:67" x14ac:dyDescent="0.75">
      <c r="B578" s="43" t="s">
        <v>328</v>
      </c>
      <c r="C578" s="43" t="s">
        <v>13</v>
      </c>
      <c r="D578" s="43" t="s">
        <v>758</v>
      </c>
      <c r="E578" s="43" t="s">
        <v>757</v>
      </c>
      <c r="F578" s="43">
        <v>0.45</v>
      </c>
      <c r="G578" s="43"/>
      <c r="H578" s="43"/>
      <c r="I578" s="43"/>
      <c r="J578" s="43"/>
      <c r="K578" s="43"/>
      <c r="L578" s="43"/>
      <c r="M578" s="43"/>
      <c r="N578" s="43"/>
      <c r="O578" s="43"/>
      <c r="P578" s="43">
        <v>0.42899999999999999</v>
      </c>
      <c r="Q578" s="43"/>
      <c r="R578" s="43"/>
      <c r="S578" s="43"/>
      <c r="T578" s="43"/>
      <c r="U578" s="43"/>
      <c r="V578" s="43"/>
      <c r="W578" s="43"/>
      <c r="X578" s="43"/>
      <c r="Y578" s="43"/>
      <c r="Z578" s="43">
        <v>1.087</v>
      </c>
      <c r="AA578" s="43"/>
      <c r="AB578" s="43"/>
      <c r="AC578" s="43"/>
      <c r="AD578" s="43"/>
      <c r="AE578" s="43">
        <v>1.2190000000000001</v>
      </c>
      <c r="AF578" s="43"/>
      <c r="AG578" s="43"/>
      <c r="AH578" s="43"/>
      <c r="AI578" s="43"/>
      <c r="AJ578" s="43"/>
      <c r="AK578" s="43">
        <v>1.3149999999999999</v>
      </c>
      <c r="AL578" s="43"/>
      <c r="AM578" s="43">
        <v>0.11</v>
      </c>
      <c r="AN578" s="43"/>
      <c r="AO578" s="43"/>
      <c r="AP578" s="43"/>
      <c r="AQ578" s="43">
        <v>1</v>
      </c>
      <c r="AR578" s="43"/>
      <c r="AS578" s="43"/>
      <c r="AT578" s="43">
        <v>1.0202</v>
      </c>
      <c r="AU578" s="43">
        <v>1.0636000000000001</v>
      </c>
      <c r="AV578" s="43">
        <v>1.0773999999999999</v>
      </c>
      <c r="AW578" s="43">
        <v>1.0479000000000001</v>
      </c>
      <c r="AX578" s="43">
        <v>0.9677</v>
      </c>
      <c r="AY578" s="43">
        <v>1.0436000000000001</v>
      </c>
      <c r="AZ578" s="43">
        <v>1.0142</v>
      </c>
      <c r="BA578" s="43">
        <v>1.0155000000000001</v>
      </c>
      <c r="BB578" s="43">
        <v>0.98960000000000004</v>
      </c>
      <c r="BC578" s="43">
        <v>0.96960000000000002</v>
      </c>
      <c r="BD578" s="43">
        <v>0.94930000000000003</v>
      </c>
      <c r="BE578" s="43">
        <v>0.94499999999999995</v>
      </c>
      <c r="BF578" s="43">
        <v>0.95679999999999998</v>
      </c>
      <c r="BG578" s="43">
        <v>0.95330000000000004</v>
      </c>
      <c r="BH578" s="43">
        <v>0.95699999999999996</v>
      </c>
      <c r="BI578" s="43">
        <v>0.92569999999999997</v>
      </c>
      <c r="BJ578" s="43"/>
      <c r="BK578" s="43"/>
      <c r="BL578" s="43"/>
      <c r="BM578" s="43"/>
      <c r="BN578" s="43">
        <f t="shared" si="15"/>
        <v>0.92569999999999997</v>
      </c>
      <c r="BO578" s="43">
        <f t="shared" si="16"/>
        <v>2015</v>
      </c>
    </row>
    <row r="579" spans="2:67" x14ac:dyDescent="0.75">
      <c r="B579" s="43" t="s">
        <v>327</v>
      </c>
      <c r="C579" s="43" t="s">
        <v>14</v>
      </c>
      <c r="D579" s="43" t="s">
        <v>758</v>
      </c>
      <c r="E579" s="43" t="s">
        <v>757</v>
      </c>
      <c r="F579" s="43">
        <v>0.496</v>
      </c>
      <c r="G579" s="43"/>
      <c r="H579" s="43"/>
      <c r="I579" s="43"/>
      <c r="J579" s="43"/>
      <c r="K579" s="43"/>
      <c r="L579" s="43"/>
      <c r="M579" s="43"/>
      <c r="N579" s="43"/>
      <c r="O579" s="43"/>
      <c r="P579" s="43">
        <v>0.76</v>
      </c>
      <c r="Q579" s="43"/>
      <c r="R579" s="43"/>
      <c r="S579" s="43"/>
      <c r="T579" s="43"/>
      <c r="U579" s="43"/>
      <c r="V579" s="43"/>
      <c r="W579" s="43"/>
      <c r="X579" s="43"/>
      <c r="Y579" s="43"/>
      <c r="Z579" s="43">
        <v>0.93799999999999994</v>
      </c>
      <c r="AA579" s="43"/>
      <c r="AB579" s="43"/>
      <c r="AC579" s="43"/>
      <c r="AD579" s="43">
        <v>0.94299999999999995</v>
      </c>
      <c r="AE579" s="43"/>
      <c r="AF579" s="43"/>
      <c r="AG579" s="43"/>
      <c r="AH579" s="43"/>
      <c r="AI579" s="43"/>
      <c r="AJ579" s="43">
        <v>1.29</v>
      </c>
      <c r="AK579" s="43"/>
      <c r="AL579" s="43"/>
      <c r="AM579" s="43">
        <v>1.446</v>
      </c>
      <c r="AN579" s="43"/>
      <c r="AO579" s="43">
        <v>1.49</v>
      </c>
      <c r="AP579" s="43">
        <v>1.518</v>
      </c>
      <c r="AQ579" s="43"/>
      <c r="AR579" s="43">
        <v>1.0754999999999999</v>
      </c>
      <c r="AS579" s="43"/>
      <c r="AT579" s="43"/>
      <c r="AU579" s="43"/>
      <c r="AV579" s="43"/>
      <c r="AW579" s="43"/>
      <c r="AX579" s="43"/>
      <c r="AY579" s="43"/>
      <c r="AZ579" s="43"/>
      <c r="BA579" s="43"/>
      <c r="BB579" s="43">
        <v>2.7158000000000002</v>
      </c>
      <c r="BC579" s="43"/>
      <c r="BD579" s="43"/>
      <c r="BE579" s="43">
        <v>2.2639999999999998</v>
      </c>
      <c r="BF579" s="43"/>
      <c r="BG579" s="43"/>
      <c r="BH579" s="43"/>
      <c r="BI579" s="43"/>
      <c r="BJ579" s="43"/>
      <c r="BK579" s="43">
        <v>1.9373</v>
      </c>
      <c r="BL579" s="43"/>
      <c r="BM579" s="43"/>
      <c r="BN579" s="43">
        <f t="shared" si="15"/>
        <v>1.9373</v>
      </c>
      <c r="BO579" s="43">
        <f t="shared" si="16"/>
        <v>2017</v>
      </c>
    </row>
    <row r="580" spans="2:67" x14ac:dyDescent="0.75">
      <c r="B580" s="43" t="s">
        <v>336</v>
      </c>
      <c r="C580" s="43" t="s">
        <v>15</v>
      </c>
      <c r="D580" s="43" t="s">
        <v>758</v>
      </c>
      <c r="E580" s="43" t="s">
        <v>757</v>
      </c>
      <c r="F580" s="43"/>
      <c r="G580" s="43"/>
      <c r="H580" s="43"/>
      <c r="I580" s="43"/>
      <c r="J580" s="43"/>
      <c r="K580" s="43"/>
      <c r="L580" s="43"/>
      <c r="M580" s="43"/>
      <c r="N580" s="43"/>
      <c r="O580" s="43"/>
      <c r="P580" s="43"/>
      <c r="Q580" s="43"/>
      <c r="R580" s="43"/>
      <c r="S580" s="43"/>
      <c r="T580" s="43"/>
      <c r="U580" s="43"/>
      <c r="V580" s="43"/>
      <c r="W580" s="43"/>
      <c r="X580" s="43"/>
      <c r="Y580" s="43"/>
      <c r="Z580" s="43">
        <v>1.0329999999999999</v>
      </c>
      <c r="AA580" s="43">
        <v>1.089</v>
      </c>
      <c r="AB580" s="43">
        <v>1.17</v>
      </c>
      <c r="AC580" s="43">
        <v>1.2070000000000001</v>
      </c>
      <c r="AD580" s="43">
        <v>1.28</v>
      </c>
      <c r="AE580" s="43">
        <v>1.3620000000000001</v>
      </c>
      <c r="AF580" s="43">
        <v>1.419</v>
      </c>
      <c r="AG580" s="43">
        <v>1.4850000000000001</v>
      </c>
      <c r="AH580" s="43">
        <v>1.52</v>
      </c>
      <c r="AI580" s="43">
        <v>1.5569999999999999</v>
      </c>
      <c r="AJ580" s="43">
        <v>1.57</v>
      </c>
      <c r="AK580" s="43">
        <v>1.5549999999999999</v>
      </c>
      <c r="AL580" s="43"/>
      <c r="AM580" s="43"/>
      <c r="AN580" s="43"/>
      <c r="AO580" s="43"/>
      <c r="AP580" s="43"/>
      <c r="AQ580" s="43"/>
      <c r="AR580" s="43">
        <v>1.427</v>
      </c>
      <c r="AS580" s="43">
        <v>1.401</v>
      </c>
      <c r="AT580" s="43">
        <v>1.4219999999999999</v>
      </c>
      <c r="AU580" s="43">
        <v>1.3380000000000001</v>
      </c>
      <c r="AV580" s="43"/>
      <c r="AW580" s="43">
        <v>1.34</v>
      </c>
      <c r="AX580" s="43"/>
      <c r="AY580" s="43">
        <v>1.4179999999999999</v>
      </c>
      <c r="AZ580" s="43"/>
      <c r="BA580" s="43"/>
      <c r="BB580" s="43"/>
      <c r="BC580" s="43">
        <v>1.65</v>
      </c>
      <c r="BD580" s="43">
        <v>1.7907</v>
      </c>
      <c r="BE580" s="43">
        <v>1.8653</v>
      </c>
      <c r="BF580" s="43">
        <v>1.9258999999999999</v>
      </c>
      <c r="BG580" s="43">
        <v>2.0003000000000002</v>
      </c>
      <c r="BH580" s="43"/>
      <c r="BI580" s="43"/>
      <c r="BJ580" s="43"/>
      <c r="BK580" s="43"/>
      <c r="BL580" s="43"/>
      <c r="BM580" s="43"/>
      <c r="BN580" s="43">
        <f t="shared" si="15"/>
        <v>2.0003000000000002</v>
      </c>
      <c r="BO580" s="43">
        <f t="shared" si="16"/>
        <v>2013</v>
      </c>
    </row>
    <row r="581" spans="2:67" x14ac:dyDescent="0.75">
      <c r="B581" s="43" t="s">
        <v>331</v>
      </c>
      <c r="C581" s="43" t="s">
        <v>16</v>
      </c>
      <c r="D581" s="43" t="s">
        <v>758</v>
      </c>
      <c r="E581" s="43" t="s">
        <v>757</v>
      </c>
      <c r="F581" s="43"/>
      <c r="G581" s="43"/>
      <c r="H581" s="43"/>
      <c r="I581" s="43"/>
      <c r="J581" s="43"/>
      <c r="K581" s="43"/>
      <c r="L581" s="43"/>
      <c r="M581" s="43"/>
      <c r="N581" s="43"/>
      <c r="O581" s="43"/>
      <c r="P581" s="43"/>
      <c r="Q581" s="43"/>
      <c r="R581" s="43"/>
      <c r="S581" s="43"/>
      <c r="T581" s="43"/>
      <c r="U581" s="43"/>
      <c r="V581" s="43"/>
      <c r="W581" s="43"/>
      <c r="X581" s="43"/>
      <c r="Y581" s="43"/>
      <c r="Z581" s="43">
        <v>2.9620000000000002</v>
      </c>
      <c r="AA581" s="43"/>
      <c r="AB581" s="43"/>
      <c r="AC581" s="43"/>
      <c r="AD581" s="43"/>
      <c r="AE581" s="43">
        <v>3.3290000000000002</v>
      </c>
      <c r="AF581" s="43">
        <v>3.375</v>
      </c>
      <c r="AG581" s="43">
        <v>3.4449999999999998</v>
      </c>
      <c r="AH581" s="43">
        <v>3.512</v>
      </c>
      <c r="AI581" s="43">
        <v>3.5760000000000001</v>
      </c>
      <c r="AJ581" s="43">
        <v>3.56</v>
      </c>
      <c r="AK581" s="43">
        <v>3.5760000000000001</v>
      </c>
      <c r="AL581" s="43">
        <v>3.6379999999999999</v>
      </c>
      <c r="AM581" s="43">
        <v>4.0759999999999996</v>
      </c>
      <c r="AN581" s="43">
        <v>4.1420000000000003</v>
      </c>
      <c r="AO581" s="43">
        <v>4.1550000000000002</v>
      </c>
      <c r="AP581" s="43">
        <v>4.2859999999999996</v>
      </c>
      <c r="AQ581" s="43">
        <v>4.3650000000000002</v>
      </c>
      <c r="AR581" s="43">
        <v>4.431</v>
      </c>
      <c r="AS581" s="43">
        <v>4.5510000000000002</v>
      </c>
      <c r="AT581" s="43">
        <v>4.5789999999999997</v>
      </c>
      <c r="AU581" s="43">
        <v>4.4969999999999999</v>
      </c>
      <c r="AV581" s="43">
        <v>4.5259999999999998</v>
      </c>
      <c r="AW581" s="43">
        <v>4.55</v>
      </c>
      <c r="AX581" s="43">
        <v>4.6219999999999999</v>
      </c>
      <c r="AY581" s="43">
        <v>4.68</v>
      </c>
      <c r="AZ581" s="43">
        <v>4.78</v>
      </c>
      <c r="BA581" s="43">
        <v>4.8689999999999998</v>
      </c>
      <c r="BB581" s="43">
        <v>4.9800000000000004</v>
      </c>
      <c r="BC581" s="43">
        <v>3.702</v>
      </c>
      <c r="BD581" s="43">
        <v>3.5179</v>
      </c>
      <c r="BE581" s="43">
        <v>3.7953000000000001</v>
      </c>
      <c r="BF581" s="43">
        <v>3.8809</v>
      </c>
      <c r="BG581" s="43">
        <v>3.9331</v>
      </c>
      <c r="BH581" s="43">
        <v>4.0772000000000004</v>
      </c>
      <c r="BI581" s="43"/>
      <c r="BJ581" s="43"/>
      <c r="BK581" s="43"/>
      <c r="BL581" s="43"/>
      <c r="BM581" s="43"/>
      <c r="BN581" s="43">
        <f t="shared" si="15"/>
        <v>4.0772000000000004</v>
      </c>
      <c r="BO581" s="43">
        <f t="shared" si="16"/>
        <v>2014</v>
      </c>
    </row>
    <row r="582" spans="2:67" x14ac:dyDescent="0.75">
      <c r="B582" s="43" t="s">
        <v>333</v>
      </c>
      <c r="C582" s="43" t="s">
        <v>17</v>
      </c>
      <c r="D582" s="43" t="s">
        <v>758</v>
      </c>
      <c r="E582" s="43" t="s">
        <v>757</v>
      </c>
      <c r="F582" s="43">
        <v>0.24199999999999999</v>
      </c>
      <c r="G582" s="43"/>
      <c r="H582" s="43"/>
      <c r="I582" s="43"/>
      <c r="J582" s="43"/>
      <c r="K582" s="43"/>
      <c r="L582" s="43"/>
      <c r="M582" s="43"/>
      <c r="N582" s="43"/>
      <c r="O582" s="43"/>
      <c r="P582" s="43">
        <v>0.34200000000000003</v>
      </c>
      <c r="Q582" s="43"/>
      <c r="R582" s="43"/>
      <c r="S582" s="43"/>
      <c r="T582" s="43"/>
      <c r="U582" s="43"/>
      <c r="V582" s="43"/>
      <c r="W582" s="43"/>
      <c r="X582" s="43"/>
      <c r="Y582" s="43"/>
      <c r="Z582" s="43"/>
      <c r="AA582" s="43"/>
      <c r="AB582" s="43"/>
      <c r="AC582" s="43"/>
      <c r="AD582" s="43">
        <v>0.27200000000000002</v>
      </c>
      <c r="AE582" s="43"/>
      <c r="AF582" s="43">
        <v>0.45100000000000001</v>
      </c>
      <c r="AG582" s="43"/>
      <c r="AH582" s="43">
        <v>0.47199999999999998</v>
      </c>
      <c r="AI582" s="43"/>
      <c r="AJ582" s="43">
        <v>0.63900000000000001</v>
      </c>
      <c r="AK582" s="43"/>
      <c r="AL582" s="43"/>
      <c r="AM582" s="43">
        <v>0.49299999999999999</v>
      </c>
      <c r="AN582" s="43"/>
      <c r="AO582" s="43">
        <v>0.6</v>
      </c>
      <c r="AP582" s="43">
        <v>0.54800000000000004</v>
      </c>
      <c r="AQ582" s="43"/>
      <c r="AR582" s="43"/>
      <c r="AS582" s="43"/>
      <c r="AT582" s="43">
        <v>1.0149999999999999</v>
      </c>
      <c r="AU582" s="43"/>
      <c r="AV582" s="43"/>
      <c r="AW582" s="43"/>
      <c r="AX582" s="43"/>
      <c r="AY582" s="43"/>
      <c r="AZ582" s="43"/>
      <c r="BA582" s="43"/>
      <c r="BB582" s="43"/>
      <c r="BC582" s="43">
        <v>0.76780000000000004</v>
      </c>
      <c r="BD582" s="43">
        <v>0.82799999999999996</v>
      </c>
      <c r="BE582" s="43"/>
      <c r="BF582" s="43">
        <v>1.1494</v>
      </c>
      <c r="BG582" s="43"/>
      <c r="BH582" s="43"/>
      <c r="BI582" s="43"/>
      <c r="BJ582" s="43"/>
      <c r="BK582" s="43">
        <v>1.1262000000000001</v>
      </c>
      <c r="BL582" s="43"/>
      <c r="BM582" s="43"/>
      <c r="BN582" s="43">
        <f t="shared" si="15"/>
        <v>1.1262000000000001</v>
      </c>
      <c r="BO582" s="43">
        <f t="shared" si="16"/>
        <v>2017</v>
      </c>
    </row>
    <row r="583" spans="2:67" x14ac:dyDescent="0.75">
      <c r="B583" s="43" t="s">
        <v>334</v>
      </c>
      <c r="C583" s="43" t="s">
        <v>335</v>
      </c>
      <c r="D583" s="43" t="s">
        <v>758</v>
      </c>
      <c r="E583" s="43" t="s">
        <v>757</v>
      </c>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v>1.2</v>
      </c>
      <c r="AP583" s="43"/>
      <c r="AQ583" s="43">
        <v>1.766</v>
      </c>
      <c r="AR583" s="43"/>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f t="shared" si="15"/>
        <v>1.766</v>
      </c>
      <c r="BO583" s="43">
        <f t="shared" si="16"/>
        <v>1997</v>
      </c>
    </row>
    <row r="584" spans="2:67" x14ac:dyDescent="0.75">
      <c r="B584" s="43" t="s">
        <v>219</v>
      </c>
      <c r="C584" s="43" t="s">
        <v>18</v>
      </c>
      <c r="D584" s="43" t="s">
        <v>758</v>
      </c>
      <c r="E584" s="43" t="s">
        <v>757</v>
      </c>
      <c r="F584" s="43">
        <v>0.26700000000000002</v>
      </c>
      <c r="G584" s="43"/>
      <c r="H584" s="43"/>
      <c r="I584" s="43"/>
      <c r="J584" s="43"/>
      <c r="K584" s="43">
        <v>0.311</v>
      </c>
      <c r="L584" s="43"/>
      <c r="M584" s="43"/>
      <c r="N584" s="43"/>
      <c r="O584" s="43"/>
      <c r="P584" s="43">
        <v>0.50900000000000001</v>
      </c>
      <c r="Q584" s="43"/>
      <c r="R584" s="43"/>
      <c r="S584" s="43"/>
      <c r="T584" s="43"/>
      <c r="U584" s="43">
        <v>0.49</v>
      </c>
      <c r="V584" s="43"/>
      <c r="W584" s="43"/>
      <c r="X584" s="43"/>
      <c r="Y584" s="43"/>
      <c r="Z584" s="43"/>
      <c r="AA584" s="43">
        <v>0.52300000000000002</v>
      </c>
      <c r="AB584" s="43"/>
      <c r="AC584" s="43"/>
      <c r="AD584" s="43">
        <v>0.69699999999999995</v>
      </c>
      <c r="AE584" s="43"/>
      <c r="AF584" s="43"/>
      <c r="AG584" s="43"/>
      <c r="AH584" s="43"/>
      <c r="AI584" s="43"/>
      <c r="AJ584" s="43">
        <v>0.45</v>
      </c>
      <c r="AK584" s="43"/>
      <c r="AL584" s="43"/>
      <c r="AM584" s="43">
        <v>0.42599999999999999</v>
      </c>
      <c r="AN584" s="43"/>
      <c r="AO584" s="43">
        <v>0.34</v>
      </c>
      <c r="AP584" s="43"/>
      <c r="AQ584" s="43">
        <v>1.2989999999999999</v>
      </c>
      <c r="AR584" s="43"/>
      <c r="AS584" s="43"/>
      <c r="AT584" s="43"/>
      <c r="AU584" s="43">
        <v>1.2157</v>
      </c>
      <c r="AV584" s="43"/>
      <c r="AW584" s="43"/>
      <c r="AX584" s="43"/>
      <c r="AY584" s="43"/>
      <c r="AZ584" s="43"/>
      <c r="BA584" s="43">
        <v>0.33579999999999999</v>
      </c>
      <c r="BB584" s="43"/>
      <c r="BC584" s="43"/>
      <c r="BD584" s="43">
        <v>0.44419999999999998</v>
      </c>
      <c r="BE584" s="43">
        <v>0.47339999999999999</v>
      </c>
      <c r="BF584" s="43"/>
      <c r="BG584" s="43"/>
      <c r="BH584" s="43"/>
      <c r="BI584" s="43"/>
      <c r="BJ584" s="43">
        <v>1.6111</v>
      </c>
      <c r="BK584" s="43"/>
      <c r="BL584" s="43"/>
      <c r="BM584" s="43"/>
      <c r="BN584" s="43">
        <f t="shared" si="15"/>
        <v>1.6111</v>
      </c>
      <c r="BO584" s="43">
        <f t="shared" si="16"/>
        <v>2016</v>
      </c>
    </row>
    <row r="585" spans="2:67" x14ac:dyDescent="0.75">
      <c r="B585" s="43" t="s">
        <v>337</v>
      </c>
      <c r="C585" s="43" t="s">
        <v>19</v>
      </c>
      <c r="D585" s="43" t="s">
        <v>758</v>
      </c>
      <c r="E585" s="43" t="s">
        <v>757</v>
      </c>
      <c r="F585" s="43">
        <v>0.374</v>
      </c>
      <c r="G585" s="43"/>
      <c r="H585" s="43"/>
      <c r="I585" s="43"/>
      <c r="J585" s="43"/>
      <c r="K585" s="43">
        <v>0.4</v>
      </c>
      <c r="L585" s="43"/>
      <c r="M585" s="43"/>
      <c r="N585" s="43"/>
      <c r="O585" s="43"/>
      <c r="P585" s="43">
        <v>0.49199999999999999</v>
      </c>
      <c r="Q585" s="43"/>
      <c r="R585" s="43"/>
      <c r="S585" s="43"/>
      <c r="T585" s="43"/>
      <c r="U585" s="43">
        <v>0.624</v>
      </c>
      <c r="V585" s="43"/>
      <c r="W585" s="43"/>
      <c r="X585" s="43"/>
      <c r="Y585" s="43"/>
      <c r="Z585" s="43"/>
      <c r="AA585" s="43">
        <v>0.76700000000000002</v>
      </c>
      <c r="AB585" s="43"/>
      <c r="AC585" s="43"/>
      <c r="AD585" s="43">
        <v>0.92700000000000005</v>
      </c>
      <c r="AE585" s="43">
        <v>1.4670000000000001</v>
      </c>
      <c r="AF585" s="43"/>
      <c r="AG585" s="43"/>
      <c r="AH585" s="43">
        <v>1.1850000000000001</v>
      </c>
      <c r="AI585" s="43"/>
      <c r="AJ585" s="43">
        <v>1.0839000000000001</v>
      </c>
      <c r="AK585" s="43">
        <v>0.998</v>
      </c>
      <c r="AL585" s="43">
        <v>1.1376999999999999</v>
      </c>
      <c r="AM585" s="43">
        <v>1.1651</v>
      </c>
      <c r="AN585" s="43">
        <v>1.1932</v>
      </c>
      <c r="AO585" s="43">
        <v>1.2229000000000001</v>
      </c>
      <c r="AP585" s="43">
        <v>1.2532000000000001</v>
      </c>
      <c r="AQ585" s="43">
        <v>1.2885</v>
      </c>
      <c r="AR585" s="43">
        <v>1.2729999999999999</v>
      </c>
      <c r="AS585" s="43">
        <v>1.3698999999999999</v>
      </c>
      <c r="AT585" s="43">
        <v>1.1304000000000001</v>
      </c>
      <c r="AU585" s="43">
        <v>1.3852</v>
      </c>
      <c r="AV585" s="43">
        <v>1.4133</v>
      </c>
      <c r="AW585" s="43">
        <v>1.4696</v>
      </c>
      <c r="AX585" s="43">
        <v>1.5807</v>
      </c>
      <c r="AY585" s="43">
        <v>1.6592</v>
      </c>
      <c r="AZ585" s="43">
        <v>1.6931</v>
      </c>
      <c r="BA585" s="43">
        <v>1.7224999999999999</v>
      </c>
      <c r="BB585" s="43">
        <v>1.7714000000000001</v>
      </c>
      <c r="BC585" s="43">
        <v>1.8077000000000001</v>
      </c>
      <c r="BD585" s="43">
        <v>1.8039000000000001</v>
      </c>
      <c r="BE585" s="43">
        <v>1.8382000000000001</v>
      </c>
      <c r="BF585" s="43"/>
      <c r="BG585" s="43">
        <v>1.8693</v>
      </c>
      <c r="BH585" s="43"/>
      <c r="BI585" s="43"/>
      <c r="BJ585" s="43"/>
      <c r="BK585" s="43">
        <v>2.1501999999999999</v>
      </c>
      <c r="BL585" s="43">
        <v>2.1499000000000001</v>
      </c>
      <c r="BM585" s="43"/>
      <c r="BN585" s="43">
        <f t="shared" si="15"/>
        <v>2.1499000000000001</v>
      </c>
      <c r="BO585" s="43">
        <f t="shared" si="16"/>
        <v>2018</v>
      </c>
    </row>
    <row r="586" spans="2:67" x14ac:dyDescent="0.75">
      <c r="B586" s="43" t="s">
        <v>329</v>
      </c>
      <c r="C586" s="43" t="s">
        <v>330</v>
      </c>
      <c r="D586" s="43" t="s">
        <v>758</v>
      </c>
      <c r="E586" s="43" t="s">
        <v>757</v>
      </c>
      <c r="F586" s="43">
        <v>0.32900000000000001</v>
      </c>
      <c r="G586" s="43"/>
      <c r="H586" s="43"/>
      <c r="I586" s="43"/>
      <c r="J586" s="43"/>
      <c r="K586" s="43"/>
      <c r="L586" s="43"/>
      <c r="M586" s="43"/>
      <c r="N586" s="43"/>
      <c r="O586" s="43"/>
      <c r="P586" s="43">
        <v>0.52300000000000002</v>
      </c>
      <c r="Q586" s="43"/>
      <c r="R586" s="43"/>
      <c r="S586" s="43"/>
      <c r="T586" s="43"/>
      <c r="U586" s="43"/>
      <c r="V586" s="43"/>
      <c r="W586" s="43"/>
      <c r="X586" s="43"/>
      <c r="Y586" s="43"/>
      <c r="Z586" s="43"/>
      <c r="AA586" s="43"/>
      <c r="AB586" s="43"/>
      <c r="AC586" s="43"/>
      <c r="AD586" s="43">
        <v>0.89100000000000001</v>
      </c>
      <c r="AE586" s="43"/>
      <c r="AF586" s="43"/>
      <c r="AG586" s="43"/>
      <c r="AH586" s="43"/>
      <c r="AI586" s="43"/>
      <c r="AJ586" s="43">
        <v>1.1399999999999999</v>
      </c>
      <c r="AK586" s="43"/>
      <c r="AL586" s="43"/>
      <c r="AM586" s="43">
        <v>1.254</v>
      </c>
      <c r="AN586" s="43"/>
      <c r="AO586" s="43">
        <v>1.3509</v>
      </c>
      <c r="AP586" s="43"/>
      <c r="AQ586" s="43"/>
      <c r="AR586" s="43"/>
      <c r="AS586" s="43">
        <v>1.21</v>
      </c>
      <c r="AT586" s="43">
        <v>1.3529</v>
      </c>
      <c r="AU586" s="43">
        <v>1.5515000000000001</v>
      </c>
      <c r="AV586" s="43"/>
      <c r="AW586" s="43"/>
      <c r="AX586" s="43"/>
      <c r="AY586" s="43">
        <v>1.7847</v>
      </c>
      <c r="AZ586" s="43"/>
      <c r="BA586" s="43"/>
      <c r="BB586" s="43"/>
      <c r="BC586" s="43"/>
      <c r="BD586" s="43">
        <v>1.8109999999999999</v>
      </c>
      <c r="BE586" s="43"/>
      <c r="BF586" s="43"/>
      <c r="BG586" s="43"/>
      <c r="BH586" s="43"/>
      <c r="BI586" s="43"/>
      <c r="BJ586" s="43"/>
      <c r="BK586" s="43">
        <v>2.4885999999999999</v>
      </c>
      <c r="BL586" s="43"/>
      <c r="BM586" s="43"/>
      <c r="BN586" s="43">
        <f t="shared" si="15"/>
        <v>2.4885999999999999</v>
      </c>
      <c r="BO586" s="43">
        <f t="shared" si="16"/>
        <v>2017</v>
      </c>
    </row>
    <row r="587" spans="2:67" x14ac:dyDescent="0.75">
      <c r="B587" s="43" t="s">
        <v>340</v>
      </c>
      <c r="C587" s="43" t="s">
        <v>20</v>
      </c>
      <c r="D587" s="43" t="s">
        <v>758</v>
      </c>
      <c r="E587" s="43" t="s">
        <v>757</v>
      </c>
      <c r="F587" s="43">
        <v>0.14599999999999999</v>
      </c>
      <c r="G587" s="43"/>
      <c r="H587" s="43"/>
      <c r="I587" s="43"/>
      <c r="J587" s="43"/>
      <c r="K587" s="43"/>
      <c r="L587" s="43"/>
      <c r="M587" s="43"/>
      <c r="N587" s="43"/>
      <c r="O587" s="43"/>
      <c r="P587" s="43">
        <v>0.3</v>
      </c>
      <c r="Q587" s="43"/>
      <c r="R587" s="43"/>
      <c r="S587" s="43"/>
      <c r="T587" s="43"/>
      <c r="U587" s="43"/>
      <c r="V587" s="43"/>
      <c r="W587" s="43"/>
      <c r="X587" s="43"/>
      <c r="Y587" s="43"/>
      <c r="Z587" s="43">
        <v>0.435</v>
      </c>
      <c r="AA587" s="43">
        <v>0.48699999999999999</v>
      </c>
      <c r="AB587" s="43"/>
      <c r="AC587" s="43"/>
      <c r="AD587" s="43">
        <v>0.53400000000000003</v>
      </c>
      <c r="AE587" s="43"/>
      <c r="AF587" s="43"/>
      <c r="AG587" s="43"/>
      <c r="AH587" s="43"/>
      <c r="AI587" s="43"/>
      <c r="AJ587" s="43"/>
      <c r="AK587" s="43">
        <v>0.746</v>
      </c>
      <c r="AL587" s="43"/>
      <c r="AM587" s="43"/>
      <c r="AN587" s="43"/>
      <c r="AO587" s="43"/>
      <c r="AP587" s="43">
        <v>0.84799999999999998</v>
      </c>
      <c r="AQ587" s="43"/>
      <c r="AR587" s="43"/>
      <c r="AS587" s="43"/>
      <c r="AT587" s="43">
        <v>1.0084</v>
      </c>
      <c r="AU587" s="43"/>
      <c r="AV587" s="43">
        <v>1.1531</v>
      </c>
      <c r="AW587" s="43"/>
      <c r="AX587" s="43">
        <v>1.2879</v>
      </c>
      <c r="AY587" s="43">
        <v>1.0679000000000001</v>
      </c>
      <c r="AZ587" s="43">
        <v>1.0774999999999999</v>
      </c>
      <c r="BA587" s="43">
        <v>1.0483</v>
      </c>
      <c r="BB587" s="43">
        <v>1.4869000000000001</v>
      </c>
      <c r="BC587" s="43">
        <v>1.1595</v>
      </c>
      <c r="BD587" s="43">
        <v>1.4483999999999999</v>
      </c>
      <c r="BE587" s="43">
        <v>1.5430999999999999</v>
      </c>
      <c r="BF587" s="43">
        <v>1.4911000000000001</v>
      </c>
      <c r="BG587" s="43">
        <v>1.617</v>
      </c>
      <c r="BH587" s="43">
        <v>1.5035000000000001</v>
      </c>
      <c r="BI587" s="43">
        <v>1.7701</v>
      </c>
      <c r="BJ587" s="43"/>
      <c r="BK587" s="43"/>
      <c r="BL587" s="43"/>
      <c r="BM587" s="43"/>
      <c r="BN587" s="43">
        <f t="shared" si="15"/>
        <v>1.7701</v>
      </c>
      <c r="BO587" s="43">
        <f t="shared" si="16"/>
        <v>2015</v>
      </c>
    </row>
    <row r="588" spans="2:67" x14ac:dyDescent="0.75">
      <c r="B588" s="43" t="s">
        <v>241</v>
      </c>
      <c r="C588" s="43" t="s">
        <v>21</v>
      </c>
      <c r="D588" s="43" t="s">
        <v>758</v>
      </c>
      <c r="E588" s="43" t="s">
        <v>757</v>
      </c>
      <c r="F588" s="43"/>
      <c r="G588" s="43"/>
      <c r="H588" s="43"/>
      <c r="I588" s="43"/>
      <c r="J588" s="43"/>
      <c r="K588" s="43"/>
      <c r="L588" s="43"/>
      <c r="M588" s="43"/>
      <c r="N588" s="43"/>
      <c r="O588" s="43"/>
      <c r="P588" s="43"/>
      <c r="Q588" s="43"/>
      <c r="R588" s="43"/>
      <c r="S588" s="43"/>
      <c r="T588" s="43"/>
      <c r="U588" s="43"/>
      <c r="V588" s="43"/>
      <c r="W588" s="43"/>
      <c r="X588" s="43"/>
      <c r="Y588" s="43"/>
      <c r="Z588" s="43"/>
      <c r="AA588" s="43">
        <v>0.125</v>
      </c>
      <c r="AB588" s="43">
        <v>0.10199999999999999</v>
      </c>
      <c r="AC588" s="43"/>
      <c r="AD588" s="43"/>
      <c r="AE588" s="43"/>
      <c r="AF588" s="43"/>
      <c r="AG588" s="43"/>
      <c r="AH588" s="43"/>
      <c r="AI588" s="43"/>
      <c r="AJ588" s="43">
        <v>0.33300000000000002</v>
      </c>
      <c r="AK588" s="43"/>
      <c r="AL588" s="43"/>
      <c r="AM588" s="43"/>
      <c r="AN588" s="43">
        <v>0.17</v>
      </c>
      <c r="AO588" s="43">
        <v>0.16</v>
      </c>
      <c r="AP588" s="43"/>
      <c r="AQ588" s="43"/>
      <c r="AR588" s="43"/>
      <c r="AS588" s="43">
        <v>5.0999999999999997E-2</v>
      </c>
      <c r="AT588" s="43"/>
      <c r="AU588" s="43"/>
      <c r="AV588" s="43"/>
      <c r="AW588" s="43"/>
      <c r="AX588" s="43">
        <v>0.18429999999999999</v>
      </c>
      <c r="AY588" s="43"/>
      <c r="AZ588" s="43"/>
      <c r="BA588" s="43">
        <v>0.20960000000000001</v>
      </c>
      <c r="BB588" s="43">
        <v>0.24390000000000001</v>
      </c>
      <c r="BC588" s="43"/>
      <c r="BD588" s="43">
        <v>2.3E-2</v>
      </c>
      <c r="BE588" s="43"/>
      <c r="BF588" s="43">
        <v>0.2576</v>
      </c>
      <c r="BG588" s="43">
        <v>0.26540000000000002</v>
      </c>
      <c r="BH588" s="43">
        <v>0.31419999999999998</v>
      </c>
      <c r="BI588" s="43">
        <v>0.31879999999999997</v>
      </c>
      <c r="BJ588" s="43">
        <v>0.37480000000000002</v>
      </c>
      <c r="BK588" s="43">
        <v>0.3715</v>
      </c>
      <c r="BL588" s="43"/>
      <c r="BM588" s="43"/>
      <c r="BN588" s="43">
        <f t="shared" si="15"/>
        <v>0.3715</v>
      </c>
      <c r="BO588" s="43">
        <f t="shared" si="16"/>
        <v>2017</v>
      </c>
    </row>
    <row r="589" spans="2:67" x14ac:dyDescent="0.75">
      <c r="B589" s="43" t="s">
        <v>184</v>
      </c>
      <c r="C589" s="43" t="s">
        <v>22</v>
      </c>
      <c r="D589" s="43" t="s">
        <v>758</v>
      </c>
      <c r="E589" s="43" t="s">
        <v>757</v>
      </c>
      <c r="F589" s="43">
        <v>4.2000000000000003E-2</v>
      </c>
      <c r="G589" s="43"/>
      <c r="H589" s="43"/>
      <c r="I589" s="43"/>
      <c r="J589" s="43"/>
      <c r="K589" s="43">
        <v>3.5999999999999997E-2</v>
      </c>
      <c r="L589" s="43"/>
      <c r="M589" s="43"/>
      <c r="N589" s="43"/>
      <c r="O589" s="43"/>
      <c r="P589" s="43">
        <v>6.4000000000000001E-2</v>
      </c>
      <c r="Q589" s="43"/>
      <c r="R589" s="43"/>
      <c r="S589" s="43"/>
      <c r="T589" s="43"/>
      <c r="U589" s="43">
        <v>0.13300000000000001</v>
      </c>
      <c r="V589" s="43"/>
      <c r="W589" s="43"/>
      <c r="X589" s="43"/>
      <c r="Y589" s="43"/>
      <c r="Z589" s="43">
        <v>0.123</v>
      </c>
      <c r="AA589" s="43">
        <v>0.13400000000000001</v>
      </c>
      <c r="AB589" s="43"/>
      <c r="AC589" s="43">
        <v>0.14399999999999999</v>
      </c>
      <c r="AD589" s="43"/>
      <c r="AE589" s="43"/>
      <c r="AF589" s="43"/>
      <c r="AG589" s="43"/>
      <c r="AH589" s="43">
        <v>0.2</v>
      </c>
      <c r="AI589" s="43">
        <v>0.19400000000000001</v>
      </c>
      <c r="AJ589" s="43"/>
      <c r="AK589" s="43"/>
      <c r="AL589" s="43"/>
      <c r="AM589" s="43">
        <v>0.19400000000000001</v>
      </c>
      <c r="AN589" s="43">
        <v>0.23799999999999999</v>
      </c>
      <c r="AO589" s="43"/>
      <c r="AP589" s="43"/>
      <c r="AQ589" s="43"/>
      <c r="AR589" s="43">
        <v>0.254</v>
      </c>
      <c r="AS589" s="43">
        <v>0.29830000000000001</v>
      </c>
      <c r="AT589" s="43">
        <v>0.28870000000000001</v>
      </c>
      <c r="AU589" s="43">
        <v>0.29060000000000002</v>
      </c>
      <c r="AV589" s="43">
        <v>0.30109999999999998</v>
      </c>
      <c r="AW589" s="43">
        <v>0.29149999999999998</v>
      </c>
      <c r="AX589" s="43">
        <v>0.39090000000000003</v>
      </c>
      <c r="AY589" s="43">
        <v>0.25109999999999999</v>
      </c>
      <c r="AZ589" s="43">
        <v>0.31369999999999998</v>
      </c>
      <c r="BA589" s="43">
        <v>0.37040000000000001</v>
      </c>
      <c r="BB589" s="43">
        <v>0.3679</v>
      </c>
      <c r="BC589" s="43">
        <v>0.35</v>
      </c>
      <c r="BD589" s="43">
        <v>0.40649999999999997</v>
      </c>
      <c r="BE589" s="43">
        <v>0.39929999999999999</v>
      </c>
      <c r="BF589" s="43">
        <v>0.39200000000000002</v>
      </c>
      <c r="BG589" s="43"/>
      <c r="BH589" s="43"/>
      <c r="BI589" s="43"/>
      <c r="BJ589" s="43">
        <v>0.36880000000000002</v>
      </c>
      <c r="BK589" s="43"/>
      <c r="BL589" s="43"/>
      <c r="BM589" s="43"/>
      <c r="BN589" s="43">
        <f t="shared" si="15"/>
        <v>0.36880000000000002</v>
      </c>
      <c r="BO589" s="43">
        <f t="shared" si="16"/>
        <v>2016</v>
      </c>
    </row>
    <row r="590" spans="2:67" x14ac:dyDescent="0.75">
      <c r="B590" s="43" t="s">
        <v>188</v>
      </c>
      <c r="C590" s="43" t="s">
        <v>173</v>
      </c>
      <c r="D590" s="43" t="s">
        <v>758</v>
      </c>
      <c r="E590" s="43" t="s">
        <v>757</v>
      </c>
      <c r="F590" s="43">
        <v>0.02</v>
      </c>
      <c r="G590" s="43"/>
      <c r="H590" s="43"/>
      <c r="I590" s="43"/>
      <c r="J590" s="43"/>
      <c r="K590" s="43">
        <v>0.03</v>
      </c>
      <c r="L590" s="43"/>
      <c r="M590" s="43"/>
      <c r="N590" s="43"/>
      <c r="O590" s="43"/>
      <c r="P590" s="43">
        <v>2.3E-2</v>
      </c>
      <c r="Q590" s="43"/>
      <c r="R590" s="43"/>
      <c r="S590" s="43"/>
      <c r="T590" s="43"/>
      <c r="U590" s="43"/>
      <c r="V590" s="43"/>
      <c r="W590" s="43"/>
      <c r="X590" s="43"/>
      <c r="Y590" s="43"/>
      <c r="Z590" s="43">
        <v>4.2999999999999997E-2</v>
      </c>
      <c r="AA590" s="43">
        <v>4.3999999999999997E-2</v>
      </c>
      <c r="AB590" s="43">
        <v>4.2999999999999997E-2</v>
      </c>
      <c r="AC590" s="43"/>
      <c r="AD590" s="43"/>
      <c r="AE590" s="43"/>
      <c r="AF590" s="43"/>
      <c r="AG590" s="43"/>
      <c r="AH590" s="43"/>
      <c r="AI590" s="43">
        <v>3.9E-2</v>
      </c>
      <c r="AJ590" s="43">
        <v>3.7999999999999999E-2</v>
      </c>
      <c r="AK590" s="43"/>
      <c r="AL590" s="43"/>
      <c r="AM590" s="43">
        <v>5.5E-2</v>
      </c>
      <c r="AN590" s="43"/>
      <c r="AO590" s="43">
        <v>3.5000000000000003E-2</v>
      </c>
      <c r="AP590" s="43"/>
      <c r="AQ590" s="43"/>
      <c r="AR590" s="43"/>
      <c r="AS590" s="43"/>
      <c r="AT590" s="43"/>
      <c r="AU590" s="43"/>
      <c r="AV590" s="43"/>
      <c r="AW590" s="43"/>
      <c r="AX590" s="43">
        <v>8.1600000000000006E-2</v>
      </c>
      <c r="AY590" s="43"/>
      <c r="AZ590" s="43"/>
      <c r="BA590" s="43"/>
      <c r="BB590" s="43">
        <v>3.9800000000000002E-2</v>
      </c>
      <c r="BC590" s="43">
        <v>4.65E-2</v>
      </c>
      <c r="BD590" s="43"/>
      <c r="BE590" s="43"/>
      <c r="BF590" s="43"/>
      <c r="BG590" s="43"/>
      <c r="BH590" s="43"/>
      <c r="BI590" s="43">
        <v>6.2899999999999998E-2</v>
      </c>
      <c r="BJ590" s="43"/>
      <c r="BK590" s="43"/>
      <c r="BL590" s="43"/>
      <c r="BM590" s="43"/>
      <c r="BN590" s="43">
        <f t="shared" si="15"/>
        <v>6.2899999999999998E-2</v>
      </c>
      <c r="BO590" s="43">
        <f t="shared" si="16"/>
        <v>2015</v>
      </c>
    </row>
    <row r="591" spans="2:67" x14ac:dyDescent="0.75">
      <c r="B591" s="43" t="s">
        <v>343</v>
      </c>
      <c r="C591" s="43" t="s">
        <v>159</v>
      </c>
      <c r="D591" s="43" t="s">
        <v>758</v>
      </c>
      <c r="E591" s="43" t="s">
        <v>757</v>
      </c>
      <c r="F591" s="43"/>
      <c r="G591" s="43">
        <v>1.1000000000000001</v>
      </c>
      <c r="H591" s="43">
        <v>1.2</v>
      </c>
      <c r="I591" s="43">
        <v>1.3</v>
      </c>
      <c r="J591" s="43">
        <v>1.3</v>
      </c>
      <c r="K591" s="43">
        <v>1.3</v>
      </c>
      <c r="L591" s="43">
        <v>1.3</v>
      </c>
      <c r="M591" s="43">
        <v>1.3</v>
      </c>
      <c r="N591" s="43">
        <v>1.3</v>
      </c>
      <c r="O591" s="43">
        <v>1.4</v>
      </c>
      <c r="P591" s="43">
        <v>1.4</v>
      </c>
      <c r="Q591" s="43">
        <v>1.5</v>
      </c>
      <c r="R591" s="43">
        <v>1.6</v>
      </c>
      <c r="S591" s="43">
        <v>1.6</v>
      </c>
      <c r="T591" s="43">
        <v>1.6</v>
      </c>
      <c r="U591" s="43">
        <v>1.7</v>
      </c>
      <c r="V591" s="43">
        <v>1.7</v>
      </c>
      <c r="W591" s="43">
        <v>1.7</v>
      </c>
      <c r="X591" s="43">
        <v>1.8</v>
      </c>
      <c r="Y591" s="43">
        <v>1.8</v>
      </c>
      <c r="Z591" s="43">
        <v>1.8</v>
      </c>
      <c r="AA591" s="43">
        <v>1.8</v>
      </c>
      <c r="AB591" s="43">
        <v>1.9</v>
      </c>
      <c r="AC591" s="43">
        <v>1.9</v>
      </c>
      <c r="AD591" s="43">
        <v>1.9</v>
      </c>
      <c r="AE591" s="43">
        <v>2</v>
      </c>
      <c r="AF591" s="43">
        <v>2</v>
      </c>
      <c r="AG591" s="43">
        <v>2.1</v>
      </c>
      <c r="AH591" s="43">
        <v>2.1</v>
      </c>
      <c r="AI591" s="43">
        <v>2.1</v>
      </c>
      <c r="AJ591" s="43">
        <v>2.1</v>
      </c>
      <c r="AK591" s="43">
        <v>2.1</v>
      </c>
      <c r="AL591" s="43">
        <v>2.1</v>
      </c>
      <c r="AM591" s="43">
        <v>2.2000000000000002</v>
      </c>
      <c r="AN591" s="43">
        <v>2.1</v>
      </c>
      <c r="AO591" s="43">
        <v>2.1</v>
      </c>
      <c r="AP591" s="43">
        <v>2.1</v>
      </c>
      <c r="AQ591" s="43">
        <v>2.1</v>
      </c>
      <c r="AR591" s="43">
        <v>1.8611</v>
      </c>
      <c r="AS591" s="43">
        <v>2.1</v>
      </c>
      <c r="AT591" s="43"/>
      <c r="AU591" s="43">
        <v>1.8871</v>
      </c>
      <c r="AV591" s="43">
        <v>1.8969</v>
      </c>
      <c r="AW591" s="43"/>
      <c r="AX591" s="43">
        <v>1.8971</v>
      </c>
      <c r="AY591" s="43"/>
      <c r="AZ591" s="43">
        <v>1.9086000000000001</v>
      </c>
      <c r="BA591" s="43"/>
      <c r="BB591" s="43">
        <v>1.9590000000000001</v>
      </c>
      <c r="BC591" s="43"/>
      <c r="BD591" s="43">
        <v>2.0384000000000002</v>
      </c>
      <c r="BE591" s="43"/>
      <c r="BF591" s="43">
        <v>2.3961999999999999</v>
      </c>
      <c r="BG591" s="43">
        <v>2.4508999999999999</v>
      </c>
      <c r="BH591" s="43">
        <v>2.4961000000000002</v>
      </c>
      <c r="BI591" s="43">
        <v>2.5388000000000002</v>
      </c>
      <c r="BJ591" s="43">
        <v>2.5668000000000002</v>
      </c>
      <c r="BK591" s="43">
        <v>2.6101999999999999</v>
      </c>
      <c r="BL591" s="43"/>
      <c r="BM591" s="43"/>
      <c r="BN591" s="43">
        <f t="shared" si="15"/>
        <v>2.6101999999999999</v>
      </c>
      <c r="BO591" s="43">
        <f t="shared" si="16"/>
        <v>2017</v>
      </c>
    </row>
    <row r="592" spans="2:67" x14ac:dyDescent="0.75">
      <c r="B592" s="43" t="s">
        <v>348</v>
      </c>
      <c r="C592" s="43" t="s">
        <v>349</v>
      </c>
      <c r="D592" s="43" t="s">
        <v>758</v>
      </c>
      <c r="E592" s="43" t="s">
        <v>757</v>
      </c>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v>2.439883080384865</v>
      </c>
      <c r="AK592" s="43"/>
      <c r="AL592" s="43"/>
      <c r="AM592" s="43"/>
      <c r="AN592" s="43"/>
      <c r="AO592" s="43"/>
      <c r="AP592" s="43"/>
      <c r="AQ592" s="43"/>
      <c r="AR592" s="43"/>
      <c r="AS592" s="43"/>
      <c r="AT592" s="43">
        <v>2.6360752814542412</v>
      </c>
      <c r="AU592" s="43"/>
      <c r="AV592" s="43"/>
      <c r="AW592" s="43"/>
      <c r="AX592" s="43"/>
      <c r="AY592" s="43"/>
      <c r="AZ592" s="43"/>
      <c r="BA592" s="43"/>
      <c r="BB592" s="43"/>
      <c r="BC592" s="43"/>
      <c r="BD592" s="43"/>
      <c r="BE592" s="43"/>
      <c r="BF592" s="43"/>
      <c r="BG592" s="43"/>
      <c r="BH592" s="43"/>
      <c r="BI592" s="43">
        <v>2.8807160689176738</v>
      </c>
      <c r="BJ592" s="43"/>
      <c r="BK592" s="43"/>
      <c r="BL592" s="43"/>
      <c r="BM592" s="43"/>
      <c r="BN592" s="43">
        <f t="shared" si="15"/>
        <v>2.8807160689176738</v>
      </c>
      <c r="BO592" s="43">
        <f t="shared" si="16"/>
        <v>2015</v>
      </c>
    </row>
    <row r="593" spans="2:67" x14ac:dyDescent="0.75">
      <c r="B593" s="43" t="s">
        <v>545</v>
      </c>
      <c r="C593" s="43" t="s">
        <v>23</v>
      </c>
      <c r="D593" s="43" t="s">
        <v>758</v>
      </c>
      <c r="E593" s="43" t="s">
        <v>757</v>
      </c>
      <c r="F593" s="43">
        <v>1.4</v>
      </c>
      <c r="G593" s="43">
        <v>1.4</v>
      </c>
      <c r="H593" s="43">
        <v>1.4</v>
      </c>
      <c r="I593" s="43">
        <v>1.4</v>
      </c>
      <c r="J593" s="43">
        <v>1.4</v>
      </c>
      <c r="K593" s="43">
        <v>1.4</v>
      </c>
      <c r="L593" s="43">
        <v>1.4</v>
      </c>
      <c r="M593" s="43">
        <v>1.4</v>
      </c>
      <c r="N593" s="43">
        <v>1.4</v>
      </c>
      <c r="O593" s="43">
        <v>1.5</v>
      </c>
      <c r="P593" s="43">
        <v>1.5</v>
      </c>
      <c r="Q593" s="43">
        <v>1.6</v>
      </c>
      <c r="R593" s="43">
        <v>1.6</v>
      </c>
      <c r="S593" s="43">
        <v>1.7</v>
      </c>
      <c r="T593" s="43">
        <v>1.8</v>
      </c>
      <c r="U593" s="43">
        <v>1.9</v>
      </c>
      <c r="V593" s="43">
        <v>2</v>
      </c>
      <c r="W593" s="43">
        <v>2.1</v>
      </c>
      <c r="X593" s="43">
        <v>2.2000000000000002</v>
      </c>
      <c r="Y593" s="43">
        <v>2.4</v>
      </c>
      <c r="Z593" s="43">
        <v>2.5</v>
      </c>
      <c r="AA593" s="43">
        <v>2.6</v>
      </c>
      <c r="AB593" s="43">
        <v>2.6</v>
      </c>
      <c r="AC593" s="43">
        <v>2.6</v>
      </c>
      <c r="AD593" s="43">
        <v>2.6</v>
      </c>
      <c r="AE593" s="43">
        <v>2.7</v>
      </c>
      <c r="AF593" s="43">
        <v>2.8</v>
      </c>
      <c r="AG593" s="43">
        <v>2.9</v>
      </c>
      <c r="AH593" s="43">
        <v>3</v>
      </c>
      <c r="AI593" s="43">
        <v>2.9</v>
      </c>
      <c r="AJ593" s="43">
        <v>3</v>
      </c>
      <c r="AK593" s="43">
        <v>3</v>
      </c>
      <c r="AL593" s="43">
        <v>3</v>
      </c>
      <c r="AM593" s="43">
        <v>3.1</v>
      </c>
      <c r="AN593" s="43">
        <v>3.1</v>
      </c>
      <c r="AO593" s="43">
        <v>3.2</v>
      </c>
      <c r="AP593" s="43">
        <v>3.2</v>
      </c>
      <c r="AQ593" s="43">
        <v>3.3</v>
      </c>
      <c r="AR593" s="43">
        <v>3.3</v>
      </c>
      <c r="AS593" s="43">
        <v>3.4</v>
      </c>
      <c r="AT593" s="43">
        <v>3.5</v>
      </c>
      <c r="AU593" s="43">
        <v>3.5</v>
      </c>
      <c r="AV593" s="43">
        <v>3.6150000000000002</v>
      </c>
      <c r="AW593" s="43"/>
      <c r="AX593" s="43"/>
      <c r="AY593" s="43"/>
      <c r="AZ593" s="43">
        <v>3.97</v>
      </c>
      <c r="BA593" s="43"/>
      <c r="BB593" s="43"/>
      <c r="BC593" s="43"/>
      <c r="BD593" s="43">
        <v>3.8052999999999999</v>
      </c>
      <c r="BE593" s="43">
        <v>3.8241000000000001</v>
      </c>
      <c r="BF593" s="43">
        <v>3.8986999999999998</v>
      </c>
      <c r="BG593" s="43">
        <v>4.0185000000000004</v>
      </c>
      <c r="BH593" s="43">
        <v>4.1052999999999997</v>
      </c>
      <c r="BI593" s="43">
        <v>4.1782000000000004</v>
      </c>
      <c r="BJ593" s="43">
        <v>4.2363</v>
      </c>
      <c r="BK593" s="43"/>
      <c r="BL593" s="43"/>
      <c r="BM593" s="43"/>
      <c r="BN593" s="43">
        <f t="shared" si="15"/>
        <v>4.2363</v>
      </c>
      <c r="BO593" s="43">
        <f t="shared" si="16"/>
        <v>2016</v>
      </c>
    </row>
    <row r="594" spans="2:67" x14ac:dyDescent="0.75">
      <c r="B594" s="43" t="s">
        <v>350</v>
      </c>
      <c r="C594" s="43" t="s">
        <v>351</v>
      </c>
      <c r="D594" s="43" t="s">
        <v>758</v>
      </c>
      <c r="E594" s="43" t="s">
        <v>757</v>
      </c>
      <c r="F594" s="43">
        <v>1.0189999999999999</v>
      </c>
      <c r="G594" s="43"/>
      <c r="H594" s="43"/>
      <c r="I594" s="43"/>
      <c r="J594" s="43"/>
      <c r="K594" s="43"/>
      <c r="L594" s="43"/>
      <c r="M594" s="43"/>
      <c r="N594" s="43"/>
      <c r="O594" s="43"/>
      <c r="P594" s="43">
        <v>1.2</v>
      </c>
      <c r="Q594" s="43"/>
      <c r="R594" s="43"/>
      <c r="S594" s="43"/>
      <c r="T594" s="43"/>
      <c r="U594" s="43"/>
      <c r="V594" s="43"/>
      <c r="W594" s="43"/>
      <c r="X594" s="43"/>
      <c r="Y594" s="43"/>
      <c r="Z594" s="43">
        <v>1.4570000000000001</v>
      </c>
      <c r="AA594" s="43">
        <v>1.522</v>
      </c>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f t="shared" si="15"/>
        <v>1.522</v>
      </c>
      <c r="BO594" s="43">
        <f t="shared" si="16"/>
        <v>1981</v>
      </c>
    </row>
    <row r="595" spans="2:67" x14ac:dyDescent="0.75">
      <c r="B595" s="43" t="s">
        <v>220</v>
      </c>
      <c r="C595" s="43" t="s">
        <v>24</v>
      </c>
      <c r="D595" s="43" t="s">
        <v>758</v>
      </c>
      <c r="E595" s="43" t="s">
        <v>757</v>
      </c>
      <c r="F595" s="43">
        <v>0.55900000000000005</v>
      </c>
      <c r="G595" s="43"/>
      <c r="H595" s="43"/>
      <c r="I595" s="43"/>
      <c r="J595" s="43"/>
      <c r="K595" s="43">
        <v>0.47299999999999998</v>
      </c>
      <c r="L595" s="43"/>
      <c r="M595" s="43"/>
      <c r="N595" s="43"/>
      <c r="O595" s="43"/>
      <c r="P595" s="43">
        <v>0.46300000000000002</v>
      </c>
      <c r="Q595" s="43"/>
      <c r="R595" s="43"/>
      <c r="S595" s="43"/>
      <c r="T595" s="43"/>
      <c r="U595" s="43"/>
      <c r="V595" s="43"/>
      <c r="W595" s="43"/>
      <c r="X595" s="43"/>
      <c r="Y595" s="43">
        <v>0.51600000000000001</v>
      </c>
      <c r="Z595" s="43"/>
      <c r="AA595" s="43"/>
      <c r="AB595" s="43"/>
      <c r="AC595" s="43"/>
      <c r="AD595" s="43">
        <v>0.81699999999999995</v>
      </c>
      <c r="AE595" s="43"/>
      <c r="AF595" s="43"/>
      <c r="AG595" s="43"/>
      <c r="AH595" s="43"/>
      <c r="AI595" s="43"/>
      <c r="AJ595" s="43">
        <v>1.1000000000000001</v>
      </c>
      <c r="AK595" s="43">
        <v>1.0660000000000001</v>
      </c>
      <c r="AL595" s="43">
        <v>0.99850000000000005</v>
      </c>
      <c r="AM595" s="43"/>
      <c r="AN595" s="43">
        <v>1.103</v>
      </c>
      <c r="AO595" s="43">
        <v>1.08</v>
      </c>
      <c r="AP595" s="43"/>
      <c r="AQ595" s="43"/>
      <c r="AR595" s="43">
        <v>1.153</v>
      </c>
      <c r="AS595" s="43"/>
      <c r="AT595" s="43"/>
      <c r="AU595" s="43"/>
      <c r="AV595" s="43">
        <v>0.89559999999999995</v>
      </c>
      <c r="AW595" s="43">
        <v>0.9496</v>
      </c>
      <c r="AX595" s="43">
        <v>0.98670000000000002</v>
      </c>
      <c r="AY595" s="43">
        <v>0.98250000000000004</v>
      </c>
      <c r="AZ595" s="43">
        <v>1.0427</v>
      </c>
      <c r="BA595" s="43">
        <v>1.0388999999999999</v>
      </c>
      <c r="BB595" s="43">
        <v>1.0418000000000001</v>
      </c>
      <c r="BC595" s="43">
        <v>1.0327999999999999</v>
      </c>
      <c r="BD595" s="43"/>
      <c r="BE595" s="43"/>
      <c r="BF595" s="43"/>
      <c r="BG595" s="43"/>
      <c r="BH595" s="43"/>
      <c r="BI595" s="43"/>
      <c r="BJ595" s="43">
        <v>1.08</v>
      </c>
      <c r="BK595" s="43"/>
      <c r="BL595" s="43"/>
      <c r="BM595" s="43"/>
      <c r="BN595" s="43">
        <f t="shared" si="15"/>
        <v>1.08</v>
      </c>
      <c r="BO595" s="43">
        <f t="shared" si="16"/>
        <v>1995</v>
      </c>
    </row>
    <row r="596" spans="2:67" x14ac:dyDescent="0.75">
      <c r="B596" s="43" t="s">
        <v>352</v>
      </c>
      <c r="C596" s="43" t="s">
        <v>25</v>
      </c>
      <c r="D596" s="43" t="s">
        <v>758</v>
      </c>
      <c r="E596" s="43" t="s">
        <v>757</v>
      </c>
      <c r="F596" s="43"/>
      <c r="G596" s="43"/>
      <c r="H596" s="43"/>
      <c r="I596" s="43"/>
      <c r="J596" s="43"/>
      <c r="K596" s="43">
        <v>1.07</v>
      </c>
      <c r="L596" s="43">
        <v>0.96</v>
      </c>
      <c r="M596" s="43">
        <v>0.94</v>
      </c>
      <c r="N596" s="43">
        <v>0.91</v>
      </c>
      <c r="O596" s="43">
        <v>0.88</v>
      </c>
      <c r="P596" s="43">
        <v>0.86</v>
      </c>
      <c r="Q596" s="43">
        <v>0.85</v>
      </c>
      <c r="R596" s="43">
        <v>0.86</v>
      </c>
      <c r="S596" s="43">
        <v>0.89</v>
      </c>
      <c r="T596" s="43">
        <v>0.92</v>
      </c>
      <c r="U596" s="43">
        <v>0.96</v>
      </c>
      <c r="V596" s="43">
        <v>1</v>
      </c>
      <c r="W596" s="43">
        <v>1.03</v>
      </c>
      <c r="X596" s="43"/>
      <c r="Y596" s="43">
        <v>1.1200000000000001</v>
      </c>
      <c r="Z596" s="43"/>
      <c r="AA596" s="43">
        <v>1.25</v>
      </c>
      <c r="AB596" s="43">
        <v>1.3</v>
      </c>
      <c r="AC596" s="43">
        <v>1.32</v>
      </c>
      <c r="AD596" s="43">
        <v>1.33</v>
      </c>
      <c r="AE596" s="43"/>
      <c r="AF596" s="43">
        <v>1.35</v>
      </c>
      <c r="AG596" s="43">
        <v>1.37</v>
      </c>
      <c r="AH596" s="43">
        <v>1.47</v>
      </c>
      <c r="AI596" s="43">
        <v>1.54</v>
      </c>
      <c r="AJ596" s="43">
        <v>1.1055999999999999</v>
      </c>
      <c r="AK596" s="43">
        <v>1.55</v>
      </c>
      <c r="AL596" s="43">
        <v>1.55</v>
      </c>
      <c r="AM596" s="43">
        <v>1.55</v>
      </c>
      <c r="AN596" s="43">
        <v>1.58</v>
      </c>
      <c r="AO596" s="43">
        <v>1.1672</v>
      </c>
      <c r="AP596" s="43">
        <v>1.1739999999999999</v>
      </c>
      <c r="AQ596" s="43">
        <v>1.1892</v>
      </c>
      <c r="AR596" s="43">
        <v>1.1880999999999999</v>
      </c>
      <c r="AS596" s="43">
        <v>1.2177</v>
      </c>
      <c r="AT596" s="43">
        <v>1.2425999999999999</v>
      </c>
      <c r="AU596" s="43">
        <v>1.0549999999999999</v>
      </c>
      <c r="AV596" s="43">
        <v>1.1208</v>
      </c>
      <c r="AW596" s="43"/>
      <c r="AX596" s="43"/>
      <c r="AY596" s="43"/>
      <c r="AZ596" s="43"/>
      <c r="BA596" s="43"/>
      <c r="BB596" s="43"/>
      <c r="BC596" s="43">
        <v>1.4015</v>
      </c>
      <c r="BD596" s="43">
        <v>1.4626999999999999</v>
      </c>
      <c r="BE596" s="43">
        <v>1.4733000000000001</v>
      </c>
      <c r="BF596" s="43">
        <v>1.5467</v>
      </c>
      <c r="BG596" s="43">
        <v>1.6437999999999999</v>
      </c>
      <c r="BH596" s="43">
        <v>1.6989000000000001</v>
      </c>
      <c r="BI596" s="43">
        <v>1.7855000000000001</v>
      </c>
      <c r="BJ596" s="43"/>
      <c r="BK596" s="43"/>
      <c r="BL596" s="43"/>
      <c r="BM596" s="43"/>
      <c r="BN596" s="43">
        <f t="shared" si="15"/>
        <v>1.7855000000000001</v>
      </c>
      <c r="BO596" s="43">
        <f t="shared" si="16"/>
        <v>2015</v>
      </c>
    </row>
    <row r="597" spans="2:67" x14ac:dyDescent="0.75">
      <c r="B597" s="43" t="s">
        <v>358</v>
      </c>
      <c r="C597" s="43" t="s">
        <v>26</v>
      </c>
      <c r="D597" s="43" t="s">
        <v>758</v>
      </c>
      <c r="E597" s="43" t="s">
        <v>757</v>
      </c>
      <c r="F597" s="43">
        <v>3.3000000000000002E-2</v>
      </c>
      <c r="G597" s="43"/>
      <c r="H597" s="43"/>
      <c r="I597" s="43"/>
      <c r="J597" s="43"/>
      <c r="K597" s="43">
        <v>4.8000000000000001E-2</v>
      </c>
      <c r="L597" s="43"/>
      <c r="M597" s="43"/>
      <c r="N597" s="43"/>
      <c r="O597" s="43"/>
      <c r="P597" s="43">
        <v>6.4000000000000001E-2</v>
      </c>
      <c r="Q597" s="43"/>
      <c r="R597" s="43"/>
      <c r="S597" s="43"/>
      <c r="T597" s="43"/>
      <c r="U597" s="43"/>
      <c r="V597" s="43"/>
      <c r="W597" s="43"/>
      <c r="X597" s="43"/>
      <c r="Y597" s="43"/>
      <c r="Z597" s="43"/>
      <c r="AA597" s="43"/>
      <c r="AB597" s="43"/>
      <c r="AC597" s="43"/>
      <c r="AD597" s="43"/>
      <c r="AE597" s="43">
        <v>7.0999999999999994E-2</v>
      </c>
      <c r="AF597" s="43"/>
      <c r="AG597" s="43"/>
      <c r="AH597" s="43"/>
      <c r="AI597" s="43"/>
      <c r="AJ597" s="43">
        <v>8.7999999999999995E-2</v>
      </c>
      <c r="AK597" s="43"/>
      <c r="AL597" s="43"/>
      <c r="AM597" s="43"/>
      <c r="AN597" s="43"/>
      <c r="AO597" s="43"/>
      <c r="AP597" s="43">
        <v>0.09</v>
      </c>
      <c r="AQ597" s="43"/>
      <c r="AR597" s="43"/>
      <c r="AS597" s="43"/>
      <c r="AT597" s="43"/>
      <c r="AU597" s="43"/>
      <c r="AV597" s="43"/>
      <c r="AW597" s="43"/>
      <c r="AX597" s="43">
        <v>0.11559999999999999</v>
      </c>
      <c r="AY597" s="43">
        <v>9.2600000000000002E-2</v>
      </c>
      <c r="AZ597" s="43"/>
      <c r="BA597" s="43"/>
      <c r="BB597" s="43">
        <v>0.14080000000000001</v>
      </c>
      <c r="BC597" s="43"/>
      <c r="BD597" s="43">
        <v>0.14399999999999999</v>
      </c>
      <c r="BE597" s="43">
        <v>0.15409999999999999</v>
      </c>
      <c r="BF597" s="43"/>
      <c r="BG597" s="43"/>
      <c r="BH597" s="43">
        <v>0.2326</v>
      </c>
      <c r="BI597" s="43"/>
      <c r="BJ597" s="43"/>
      <c r="BK597" s="43"/>
      <c r="BL597" s="43"/>
      <c r="BM597" s="43"/>
      <c r="BN597" s="43">
        <f t="shared" si="15"/>
        <v>0.2326</v>
      </c>
      <c r="BO597" s="43">
        <f t="shared" si="16"/>
        <v>2014</v>
      </c>
    </row>
    <row r="598" spans="2:67" x14ac:dyDescent="0.75">
      <c r="B598" s="43" t="s">
        <v>187</v>
      </c>
      <c r="C598" s="43" t="s">
        <v>27</v>
      </c>
      <c r="D598" s="43" t="s">
        <v>758</v>
      </c>
      <c r="E598" s="43" t="s">
        <v>757</v>
      </c>
      <c r="F598" s="43">
        <v>3.4000000000000002E-2</v>
      </c>
      <c r="G598" s="43"/>
      <c r="H598" s="43"/>
      <c r="I598" s="43"/>
      <c r="J598" s="43"/>
      <c r="K598" s="43">
        <v>3.6999999999999998E-2</v>
      </c>
      <c r="L598" s="43"/>
      <c r="M598" s="43"/>
      <c r="N598" s="43"/>
      <c r="O598" s="43"/>
      <c r="P598" s="43">
        <v>3.4000000000000002E-2</v>
      </c>
      <c r="Q598" s="43"/>
      <c r="R598" s="43"/>
      <c r="S598" s="43"/>
      <c r="T598" s="43"/>
      <c r="U598" s="43">
        <v>7.1999999999999995E-2</v>
      </c>
      <c r="V598" s="43"/>
      <c r="W598" s="43"/>
      <c r="X598" s="43"/>
      <c r="Y598" s="43">
        <v>7.0999999999999994E-2</v>
      </c>
      <c r="Z598" s="43"/>
      <c r="AA598" s="43"/>
      <c r="AB598" s="43"/>
      <c r="AC598" s="43"/>
      <c r="AD598" s="43"/>
      <c r="AE598" s="43"/>
      <c r="AF598" s="43"/>
      <c r="AG598" s="43"/>
      <c r="AH598" s="43"/>
      <c r="AI598" s="43">
        <v>8.4000000000000005E-2</v>
      </c>
      <c r="AJ598" s="43">
        <v>8.2000000000000003E-2</v>
      </c>
      <c r="AK598" s="43"/>
      <c r="AL598" s="43">
        <v>8.4000000000000005E-2</v>
      </c>
      <c r="AM598" s="43">
        <v>7.2999999999999995E-2</v>
      </c>
      <c r="AN598" s="43"/>
      <c r="AO598" s="43"/>
      <c r="AP598" s="43">
        <v>7.3999999999999996E-2</v>
      </c>
      <c r="AQ598" s="43"/>
      <c r="AR598" s="43"/>
      <c r="AS598" s="43"/>
      <c r="AT598" s="43"/>
      <c r="AU598" s="43"/>
      <c r="AV598" s="43"/>
      <c r="AW598" s="43"/>
      <c r="AX598" s="43">
        <v>0.1842</v>
      </c>
      <c r="AY598" s="43">
        <v>6.0199999999999997E-2</v>
      </c>
      <c r="AZ598" s="43"/>
      <c r="BA598" s="43">
        <v>7.17E-2</v>
      </c>
      <c r="BB598" s="43"/>
      <c r="BC598" s="43">
        <v>6.93E-2</v>
      </c>
      <c r="BD598" s="43">
        <v>8.5699999999999998E-2</v>
      </c>
      <c r="BE598" s="43">
        <v>8.9800000000000005E-2</v>
      </c>
      <c r="BF598" s="43"/>
      <c r="BG598" s="43"/>
      <c r="BH598" s="43"/>
      <c r="BI598" s="43"/>
      <c r="BJ598" s="43"/>
      <c r="BK598" s="43"/>
      <c r="BL598" s="43"/>
      <c r="BM598" s="43"/>
      <c r="BN598" s="43">
        <f t="shared" si="15"/>
        <v>8.9800000000000005E-2</v>
      </c>
      <c r="BO598" s="43">
        <f t="shared" si="16"/>
        <v>2011</v>
      </c>
    </row>
    <row r="599" spans="2:67" x14ac:dyDescent="0.75">
      <c r="B599" s="43" t="s">
        <v>355</v>
      </c>
      <c r="C599" s="43" t="s">
        <v>28</v>
      </c>
      <c r="D599" s="43" t="s">
        <v>758</v>
      </c>
      <c r="E599" s="43" t="s">
        <v>757</v>
      </c>
      <c r="F599" s="43">
        <v>1.4999999999999999E-2</v>
      </c>
      <c r="G599" s="43"/>
      <c r="H599" s="43"/>
      <c r="I599" s="43"/>
      <c r="J599" s="43"/>
      <c r="K599" s="43">
        <v>2.8000000000000001E-2</v>
      </c>
      <c r="L599" s="43"/>
      <c r="M599" s="43"/>
      <c r="N599" s="43"/>
      <c r="O599" s="43"/>
      <c r="P599" s="43">
        <v>3.5000000000000003E-2</v>
      </c>
      <c r="Q599" s="43"/>
      <c r="R599" s="43"/>
      <c r="S599" s="43"/>
      <c r="T599" s="43"/>
      <c r="U599" s="43">
        <v>3.5999999999999997E-2</v>
      </c>
      <c r="V599" s="43"/>
      <c r="W599" s="43"/>
      <c r="X599" s="43"/>
      <c r="Y599" s="43">
        <v>7.2999999999999995E-2</v>
      </c>
      <c r="Z599" s="43"/>
      <c r="AA599" s="43"/>
      <c r="AB599" s="43"/>
      <c r="AC599" s="43"/>
      <c r="AD599" s="43"/>
      <c r="AE599" s="43"/>
      <c r="AF599" s="43"/>
      <c r="AG599" s="43">
        <v>7.4999999999999997E-2</v>
      </c>
      <c r="AH599" s="43"/>
      <c r="AI599" s="43"/>
      <c r="AJ599" s="43">
        <v>6.6000000000000003E-2</v>
      </c>
      <c r="AK599" s="43"/>
      <c r="AL599" s="43"/>
      <c r="AM599" s="43"/>
      <c r="AN599" s="43"/>
      <c r="AO599" s="43"/>
      <c r="AP599" s="43">
        <v>6.9000000000000006E-2</v>
      </c>
      <c r="AQ599" s="43"/>
      <c r="AR599" s="43"/>
      <c r="AS599" s="43"/>
      <c r="AT599" s="43"/>
      <c r="AU599" s="43"/>
      <c r="AV599" s="43"/>
      <c r="AW599" s="43"/>
      <c r="AX599" s="43">
        <v>0.107</v>
      </c>
      <c r="AY599" s="43"/>
      <c r="AZ599" s="43"/>
      <c r="BA599" s="43"/>
      <c r="BB599" s="43"/>
      <c r="BC599" s="43">
        <v>9.3399999999999997E-2</v>
      </c>
      <c r="BD599" s="43"/>
      <c r="BE599" s="43"/>
      <c r="BF599" s="43"/>
      <c r="BG599" s="43">
        <v>0.09</v>
      </c>
      <c r="BH599" s="43"/>
      <c r="BI599" s="43"/>
      <c r="BJ599" s="43"/>
      <c r="BK599" s="43"/>
      <c r="BL599" s="43"/>
      <c r="BM599" s="43"/>
      <c r="BN599" s="43">
        <f t="shared" si="15"/>
        <v>0.09</v>
      </c>
      <c r="BO599" s="43">
        <f t="shared" si="16"/>
        <v>2013</v>
      </c>
    </row>
    <row r="600" spans="2:67" x14ac:dyDescent="0.75">
      <c r="B600" s="43" t="s">
        <v>356</v>
      </c>
      <c r="C600" s="43" t="s">
        <v>29</v>
      </c>
      <c r="D600" s="43" t="s">
        <v>758</v>
      </c>
      <c r="E600" s="43" t="s">
        <v>757</v>
      </c>
      <c r="F600" s="43">
        <v>0.06</v>
      </c>
      <c r="G600" s="43"/>
      <c r="H600" s="43"/>
      <c r="I600" s="43"/>
      <c r="J600" s="43"/>
      <c r="K600" s="43">
        <v>6.8000000000000005E-2</v>
      </c>
      <c r="L600" s="43"/>
      <c r="M600" s="43"/>
      <c r="N600" s="43"/>
      <c r="O600" s="43"/>
      <c r="P600" s="43">
        <v>0.10100000000000001</v>
      </c>
      <c r="Q600" s="43"/>
      <c r="R600" s="43"/>
      <c r="S600" s="43"/>
      <c r="T600" s="43"/>
      <c r="U600" s="43"/>
      <c r="V600" s="43"/>
      <c r="W600" s="43"/>
      <c r="X600" s="43">
        <v>0.17399999999999999</v>
      </c>
      <c r="Y600" s="43"/>
      <c r="Z600" s="43"/>
      <c r="AA600" s="43"/>
      <c r="AB600" s="43">
        <v>0.11899999999999999</v>
      </c>
      <c r="AC600" s="43"/>
      <c r="AD600" s="43"/>
      <c r="AE600" s="43">
        <v>0.252</v>
      </c>
      <c r="AF600" s="43">
        <v>0.252</v>
      </c>
      <c r="AG600" s="43"/>
      <c r="AH600" s="43"/>
      <c r="AI600" s="43"/>
      <c r="AJ600" s="43">
        <v>0.27600000000000002</v>
      </c>
      <c r="AK600" s="43"/>
      <c r="AL600" s="43"/>
      <c r="AM600" s="43"/>
      <c r="AN600" s="43"/>
      <c r="AO600" s="43">
        <v>0.251</v>
      </c>
      <c r="AP600" s="43"/>
      <c r="AQ600" s="43"/>
      <c r="AR600" s="43">
        <v>0.70689999999999997</v>
      </c>
      <c r="AS600" s="43"/>
      <c r="AT600" s="43"/>
      <c r="AU600" s="43"/>
      <c r="AV600" s="43"/>
      <c r="AW600" s="43"/>
      <c r="AX600" s="43">
        <v>0.2097</v>
      </c>
      <c r="AY600" s="43"/>
      <c r="AZ600" s="43">
        <v>0.20349999999999999</v>
      </c>
      <c r="BA600" s="43">
        <v>0.1008</v>
      </c>
      <c r="BB600" s="43"/>
      <c r="BC600" s="43"/>
      <c r="BD600" s="43">
        <v>9.5000000000000001E-2</v>
      </c>
      <c r="BE600" s="43">
        <v>0.1159</v>
      </c>
      <c r="BF600" s="43"/>
      <c r="BG600" s="43"/>
      <c r="BH600" s="43"/>
      <c r="BI600" s="43"/>
      <c r="BJ600" s="43"/>
      <c r="BK600" s="43"/>
      <c r="BL600" s="43"/>
      <c r="BM600" s="43"/>
      <c r="BN600" s="43">
        <f t="shared" si="15"/>
        <v>0.1159</v>
      </c>
      <c r="BO600" s="43">
        <f t="shared" si="16"/>
        <v>2011</v>
      </c>
    </row>
    <row r="601" spans="2:67" x14ac:dyDescent="0.75">
      <c r="B601" s="43" t="s">
        <v>353</v>
      </c>
      <c r="C601" s="43" t="s">
        <v>354</v>
      </c>
      <c r="D601" s="43" t="s">
        <v>758</v>
      </c>
      <c r="E601" s="43" t="s">
        <v>757</v>
      </c>
      <c r="F601" s="43">
        <v>0.35399999999999998</v>
      </c>
      <c r="G601" s="43"/>
      <c r="H601" s="43"/>
      <c r="I601" s="43"/>
      <c r="J601" s="43"/>
      <c r="K601" s="43">
        <v>0.377</v>
      </c>
      <c r="L601" s="43"/>
      <c r="M601" s="43"/>
      <c r="N601" s="43"/>
      <c r="O601" s="43"/>
      <c r="P601" s="43">
        <v>0.42</v>
      </c>
      <c r="Q601" s="43"/>
      <c r="R601" s="43"/>
      <c r="S601" s="43"/>
      <c r="T601" s="43"/>
      <c r="U601" s="43"/>
      <c r="V601" s="43"/>
      <c r="W601" s="43">
        <v>0.47799999999999998</v>
      </c>
      <c r="X601" s="43"/>
      <c r="Y601" s="43"/>
      <c r="Z601" s="43"/>
      <c r="AA601" s="43"/>
      <c r="AB601" s="43"/>
      <c r="AC601" s="43"/>
      <c r="AD601" s="43"/>
      <c r="AE601" s="43"/>
      <c r="AF601" s="43"/>
      <c r="AG601" s="43"/>
      <c r="AH601" s="43"/>
      <c r="AI601" s="43"/>
      <c r="AJ601" s="43">
        <v>0.97989999999999999</v>
      </c>
      <c r="AK601" s="43">
        <v>1.026</v>
      </c>
      <c r="AL601" s="43">
        <v>1.0704</v>
      </c>
      <c r="AM601" s="43">
        <v>1.1119000000000001</v>
      </c>
      <c r="AN601" s="43">
        <v>1.1403000000000001</v>
      </c>
      <c r="AO601" s="43"/>
      <c r="AP601" s="43">
        <v>1.1992</v>
      </c>
      <c r="AQ601" s="43">
        <v>1.2330000000000001</v>
      </c>
      <c r="AR601" s="43">
        <v>1.2677</v>
      </c>
      <c r="AS601" s="43">
        <v>1.3003</v>
      </c>
      <c r="AT601" s="43"/>
      <c r="AU601" s="43"/>
      <c r="AV601" s="43">
        <v>1.4135</v>
      </c>
      <c r="AW601" s="43"/>
      <c r="AX601" s="43"/>
      <c r="AY601" s="43">
        <v>1.4510000000000001</v>
      </c>
      <c r="AZ601" s="43">
        <v>1.4742</v>
      </c>
      <c r="BA601" s="43">
        <v>1.4974000000000001</v>
      </c>
      <c r="BB601" s="43">
        <v>1.5206</v>
      </c>
      <c r="BC601" s="43">
        <v>1.5438000000000001</v>
      </c>
      <c r="BD601" s="43">
        <v>1.5676000000000001</v>
      </c>
      <c r="BE601" s="43">
        <v>1.6694</v>
      </c>
      <c r="BF601" s="43">
        <v>1.74</v>
      </c>
      <c r="BG601" s="43">
        <v>1.8064</v>
      </c>
      <c r="BH601" s="43">
        <v>1.8213999999999999</v>
      </c>
      <c r="BI601" s="43">
        <v>1.9379</v>
      </c>
      <c r="BJ601" s="43">
        <v>2.0036</v>
      </c>
      <c r="BK601" s="43">
        <v>2.0834999999999999</v>
      </c>
      <c r="BL601" s="43"/>
      <c r="BM601" s="43"/>
      <c r="BN601" s="43">
        <f t="shared" si="15"/>
        <v>2.0834999999999999</v>
      </c>
      <c r="BO601" s="43">
        <f t="shared" si="16"/>
        <v>2017</v>
      </c>
    </row>
    <row r="602" spans="2:67" x14ac:dyDescent="0.75">
      <c r="B602" s="43" t="s">
        <v>190</v>
      </c>
      <c r="C602" s="43" t="s">
        <v>157</v>
      </c>
      <c r="D602" s="43" t="s">
        <v>758</v>
      </c>
      <c r="E602" s="43" t="s">
        <v>757</v>
      </c>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v>8.4000000000000005E-2</v>
      </c>
      <c r="AE602" s="43"/>
      <c r="AF602" s="43"/>
      <c r="AG602" s="43"/>
      <c r="AH602" s="43">
        <v>0.16300000000000001</v>
      </c>
      <c r="AI602" s="43"/>
      <c r="AJ602" s="43">
        <v>0.113</v>
      </c>
      <c r="AK602" s="43"/>
      <c r="AL602" s="43">
        <v>0.127</v>
      </c>
      <c r="AM602" s="43"/>
      <c r="AN602" s="43"/>
      <c r="AO602" s="43"/>
      <c r="AP602" s="43"/>
      <c r="AQ602" s="43">
        <v>7.3999999999999996E-2</v>
      </c>
      <c r="AR602" s="43"/>
      <c r="AS602" s="43"/>
      <c r="AT602" s="43"/>
      <c r="AU602" s="43"/>
      <c r="AV602" s="43"/>
      <c r="AW602" s="43"/>
      <c r="AX602" s="43">
        <v>0.19259999999999999</v>
      </c>
      <c r="AY602" s="43">
        <v>0.18970000000000001</v>
      </c>
      <c r="AZ602" s="43"/>
      <c r="BA602" s="43"/>
      <c r="BB602" s="43"/>
      <c r="BC602" s="43">
        <v>0.19009999999999999</v>
      </c>
      <c r="BD602" s="43"/>
      <c r="BE602" s="43"/>
      <c r="BF602" s="43">
        <v>0.1699</v>
      </c>
      <c r="BG602" s="43"/>
      <c r="BH602" s="43"/>
      <c r="BI602" s="43"/>
      <c r="BJ602" s="43"/>
      <c r="BK602" s="43"/>
      <c r="BL602" s="43"/>
      <c r="BM602" s="43"/>
      <c r="BN602" s="43">
        <f t="shared" si="15"/>
        <v>0.1699</v>
      </c>
      <c r="BO602" s="43">
        <f t="shared" si="16"/>
        <v>2012</v>
      </c>
    </row>
    <row r="603" spans="2:67" x14ac:dyDescent="0.75">
      <c r="B603" s="43" t="s">
        <v>342</v>
      </c>
      <c r="C603" s="43" t="s">
        <v>30</v>
      </c>
      <c r="D603" s="43" t="s">
        <v>758</v>
      </c>
      <c r="E603" s="43" t="s">
        <v>757</v>
      </c>
      <c r="F603" s="43">
        <v>7.6999999999999999E-2</v>
      </c>
      <c r="G603" s="43"/>
      <c r="H603" s="43"/>
      <c r="I603" s="43"/>
      <c r="J603" s="43"/>
      <c r="K603" s="43"/>
      <c r="L603" s="43"/>
      <c r="M603" s="43"/>
      <c r="N603" s="43"/>
      <c r="O603" s="43"/>
      <c r="P603" s="43">
        <v>8.2000000000000003E-2</v>
      </c>
      <c r="Q603" s="43"/>
      <c r="R603" s="43"/>
      <c r="S603" s="43"/>
      <c r="T603" s="43"/>
      <c r="U603" s="43"/>
      <c r="V603" s="43"/>
      <c r="W603" s="43"/>
      <c r="X603" s="43"/>
      <c r="Y603" s="43"/>
      <c r="Z603" s="43">
        <v>0.17599999999999999</v>
      </c>
      <c r="AA603" s="43"/>
      <c r="AB603" s="43"/>
      <c r="AC603" s="43">
        <v>0.2</v>
      </c>
      <c r="AD603" s="43"/>
      <c r="AE603" s="43"/>
      <c r="AF603" s="43">
        <v>0.32900000000000001</v>
      </c>
      <c r="AG603" s="43"/>
      <c r="AH603" s="43">
        <v>0.34200000000000003</v>
      </c>
      <c r="AI603" s="43"/>
      <c r="AJ603" s="43"/>
      <c r="AK603" s="43"/>
      <c r="AL603" s="43">
        <v>0.23400000000000001</v>
      </c>
      <c r="AM603" s="43"/>
      <c r="AN603" s="43"/>
      <c r="AO603" s="43"/>
      <c r="AP603" s="43">
        <v>0.17100000000000001</v>
      </c>
      <c r="AQ603" s="43"/>
      <c r="AR603" s="43"/>
      <c r="AS603" s="43"/>
      <c r="AT603" s="43"/>
      <c r="AU603" s="43"/>
      <c r="AV603" s="43"/>
      <c r="AW603" s="43"/>
      <c r="AX603" s="43">
        <v>0.49299999999999999</v>
      </c>
      <c r="AY603" s="43"/>
      <c r="AZ603" s="43"/>
      <c r="BA603" s="43"/>
      <c r="BB603" s="43"/>
      <c r="BC603" s="43">
        <v>0.505</v>
      </c>
      <c r="BD603" s="43">
        <v>0.58120000000000005</v>
      </c>
      <c r="BE603" s="43">
        <v>0.57469999999999999</v>
      </c>
      <c r="BF603" s="43">
        <v>0.50580000000000003</v>
      </c>
      <c r="BG603" s="43">
        <v>0.59219999999999995</v>
      </c>
      <c r="BH603" s="43"/>
      <c r="BI603" s="43">
        <v>0.76939999999999997</v>
      </c>
      <c r="BJ603" s="43"/>
      <c r="BK603" s="43"/>
      <c r="BL603" s="43"/>
      <c r="BM603" s="43"/>
      <c r="BN603" s="43">
        <f t="shared" si="15"/>
        <v>0.76939999999999997</v>
      </c>
      <c r="BO603" s="43">
        <f t="shared" si="16"/>
        <v>2015</v>
      </c>
    </row>
    <row r="604" spans="2:67" x14ac:dyDescent="0.75">
      <c r="B604" s="43" t="s">
        <v>357</v>
      </c>
      <c r="C604" s="43" t="s">
        <v>31</v>
      </c>
      <c r="D604" s="43" t="s">
        <v>758</v>
      </c>
      <c r="E604" s="43" t="s">
        <v>757</v>
      </c>
      <c r="F604" s="43">
        <v>0.39100000000000001</v>
      </c>
      <c r="G604" s="43"/>
      <c r="H604" s="43"/>
      <c r="I604" s="43"/>
      <c r="J604" s="43"/>
      <c r="K604" s="43">
        <v>0.51700000000000002</v>
      </c>
      <c r="L604" s="43"/>
      <c r="M604" s="43"/>
      <c r="N604" s="43"/>
      <c r="O604" s="43"/>
      <c r="P604" s="43">
        <v>0.61399999999999999</v>
      </c>
      <c r="Q604" s="43"/>
      <c r="R604" s="43"/>
      <c r="S604" s="43"/>
      <c r="T604" s="43"/>
      <c r="U604" s="43"/>
      <c r="V604" s="43"/>
      <c r="W604" s="43"/>
      <c r="X604" s="43"/>
      <c r="Y604" s="43">
        <v>0.67900000000000005</v>
      </c>
      <c r="Z604" s="43"/>
      <c r="AA604" s="43"/>
      <c r="AB604" s="43"/>
      <c r="AC604" s="43"/>
      <c r="AD604" s="43">
        <v>0.99</v>
      </c>
      <c r="AE604" s="43"/>
      <c r="AF604" s="43"/>
      <c r="AG604" s="43">
        <v>0.96799999999999997</v>
      </c>
      <c r="AH604" s="43">
        <v>0.88100000000000001</v>
      </c>
      <c r="AI604" s="43"/>
      <c r="AJ604" s="43">
        <v>1.26</v>
      </c>
      <c r="AK604" s="43"/>
      <c r="AL604" s="43"/>
      <c r="AM604" s="43">
        <v>0.88300000000000001</v>
      </c>
      <c r="AN604" s="43">
        <v>0.84499999999999997</v>
      </c>
      <c r="AO604" s="43">
        <v>0.85399999999999998</v>
      </c>
      <c r="AP604" s="43">
        <v>0.86399999999999999</v>
      </c>
      <c r="AQ604" s="43">
        <v>0.872</v>
      </c>
      <c r="AR604" s="43">
        <v>0.90100000000000002</v>
      </c>
      <c r="AS604" s="43">
        <v>1.7190000000000001</v>
      </c>
      <c r="AT604" s="43">
        <v>1.3257000000000001</v>
      </c>
      <c r="AU604" s="43"/>
      <c r="AV604" s="43"/>
      <c r="AW604" s="43"/>
      <c r="AX604" s="43"/>
      <c r="AY604" s="43"/>
      <c r="AZ604" s="43"/>
      <c r="BA604" s="43"/>
      <c r="BB604" s="43"/>
      <c r="BC604" s="43"/>
      <c r="BD604" s="43"/>
      <c r="BE604" s="43"/>
      <c r="BF604" s="43"/>
      <c r="BG604" s="43">
        <v>1.1496999999999999</v>
      </c>
      <c r="BH604" s="43"/>
      <c r="BI604" s="43"/>
      <c r="BJ604" s="43"/>
      <c r="BK604" s="43"/>
      <c r="BL604" s="43"/>
      <c r="BM604" s="43"/>
      <c r="BN604" s="43">
        <f t="shared" si="15"/>
        <v>1.1496999999999999</v>
      </c>
      <c r="BO604" s="43">
        <f t="shared" si="16"/>
        <v>2013</v>
      </c>
    </row>
    <row r="605" spans="2:67" x14ac:dyDescent="0.75">
      <c r="B605" s="43" t="s">
        <v>344</v>
      </c>
      <c r="C605" s="43" t="s">
        <v>345</v>
      </c>
      <c r="D605" s="43" t="s">
        <v>758</v>
      </c>
      <c r="E605" s="43" t="s">
        <v>757</v>
      </c>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v>0.61406784634224798</v>
      </c>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c r="BI605" s="43">
        <v>1.5686275654605542</v>
      </c>
      <c r="BJ605" s="43"/>
      <c r="BK605" s="43"/>
      <c r="BL605" s="43"/>
      <c r="BM605" s="43"/>
      <c r="BN605" s="43">
        <f t="shared" si="15"/>
        <v>1.5686275654605542</v>
      </c>
      <c r="BO605" s="43">
        <f t="shared" si="16"/>
        <v>2015</v>
      </c>
    </row>
    <row r="606" spans="2:67" x14ac:dyDescent="0.75">
      <c r="B606" s="43" t="s">
        <v>221</v>
      </c>
      <c r="C606" s="43" t="s">
        <v>161</v>
      </c>
      <c r="D606" s="43" t="s">
        <v>758</v>
      </c>
      <c r="E606" s="43" t="s">
        <v>757</v>
      </c>
      <c r="F606" s="43">
        <v>0.94599999999999995</v>
      </c>
      <c r="G606" s="43"/>
      <c r="H606" s="43"/>
      <c r="I606" s="43"/>
      <c r="J606" s="43"/>
      <c r="K606" s="43">
        <v>0.876</v>
      </c>
      <c r="L606" s="43"/>
      <c r="M606" s="43"/>
      <c r="N606" s="43"/>
      <c r="O606" s="43"/>
      <c r="P606" s="43">
        <v>0.82199999999999995</v>
      </c>
      <c r="Q606" s="43"/>
      <c r="R606" s="43"/>
      <c r="S606" s="43"/>
      <c r="T606" s="43"/>
      <c r="U606" s="43"/>
      <c r="V606" s="43"/>
      <c r="W606" s="43"/>
      <c r="X606" s="43"/>
      <c r="Y606" s="43"/>
      <c r="Z606" s="43"/>
      <c r="AA606" s="43">
        <v>1.3879999999999999</v>
      </c>
      <c r="AB606" s="43"/>
      <c r="AC606" s="43"/>
      <c r="AD606" s="43">
        <v>1.8859999999999999</v>
      </c>
      <c r="AE606" s="43"/>
      <c r="AF606" s="43"/>
      <c r="AG606" s="43"/>
      <c r="AH606" s="43">
        <v>3</v>
      </c>
      <c r="AI606" s="43"/>
      <c r="AJ606" s="43">
        <v>3.6562000000000001</v>
      </c>
      <c r="AK606" s="43">
        <v>3.9981</v>
      </c>
      <c r="AL606" s="43">
        <v>4.3658000000000001</v>
      </c>
      <c r="AM606" s="43">
        <v>4.7290000000000001</v>
      </c>
      <c r="AN606" s="43">
        <v>4.9827000000000004</v>
      </c>
      <c r="AO606" s="43">
        <v>5.2114000000000003</v>
      </c>
      <c r="AP606" s="43">
        <v>5.4856999999999996</v>
      </c>
      <c r="AQ606" s="43">
        <v>5.6859000000000002</v>
      </c>
      <c r="AR606" s="43">
        <v>5.7377000000000002</v>
      </c>
      <c r="AS606" s="43">
        <v>5.8383000000000003</v>
      </c>
      <c r="AT606" s="43">
        <v>5.9185999999999996</v>
      </c>
      <c r="AU606" s="43">
        <v>5.9290000000000003</v>
      </c>
      <c r="AV606" s="43">
        <v>5.9795999999999996</v>
      </c>
      <c r="AW606" s="43">
        <v>6.0487000000000002</v>
      </c>
      <c r="AX606" s="43">
        <v>6.1874000000000002</v>
      </c>
      <c r="AY606" s="43">
        <v>6.2558999999999996</v>
      </c>
      <c r="AZ606" s="43">
        <v>6.3285999999999998</v>
      </c>
      <c r="BA606" s="43">
        <v>6.4063999999999997</v>
      </c>
      <c r="BB606" s="43">
        <v>6.5918000000000001</v>
      </c>
      <c r="BC606" s="43">
        <v>6.6157000000000004</v>
      </c>
      <c r="BD606" s="43">
        <v>6.7507000000000001</v>
      </c>
      <c r="BE606" s="43">
        <v>6.9241999999999999</v>
      </c>
      <c r="BF606" s="43">
        <v>7.2099000000000002</v>
      </c>
      <c r="BG606" s="43">
        <v>7.3341000000000003</v>
      </c>
      <c r="BH606" s="43">
        <v>7.4794</v>
      </c>
      <c r="BI606" s="43"/>
      <c r="BJ606" s="43"/>
      <c r="BK606" s="43">
        <v>8.19</v>
      </c>
      <c r="BL606" s="43"/>
      <c r="BM606" s="43"/>
      <c r="BN606" s="43">
        <f t="shared" si="15"/>
        <v>8.19</v>
      </c>
      <c r="BO606" s="43">
        <f t="shared" si="16"/>
        <v>2017</v>
      </c>
    </row>
    <row r="607" spans="2:67" x14ac:dyDescent="0.75">
      <c r="B607" s="43" t="s">
        <v>360</v>
      </c>
      <c r="C607" s="43" t="s">
        <v>361</v>
      </c>
      <c r="D607" s="43" t="s">
        <v>758</v>
      </c>
      <c r="E607" s="43" t="s">
        <v>757</v>
      </c>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c r="BI607" s="43"/>
      <c r="BJ607" s="43"/>
      <c r="BK607" s="43"/>
      <c r="BL607" s="43"/>
      <c r="BM607" s="43"/>
      <c r="BN607" s="43" t="str">
        <f t="shared" si="15"/>
        <v>No reported value</v>
      </c>
      <c r="BO607" s="43" t="str">
        <f t="shared" si="16"/>
        <v>No reported value</v>
      </c>
    </row>
    <row r="608" spans="2:67" x14ac:dyDescent="0.75">
      <c r="B608" s="43" t="s">
        <v>346</v>
      </c>
      <c r="C608" s="43" t="s">
        <v>347</v>
      </c>
      <c r="D608" s="43" t="s">
        <v>758</v>
      </c>
      <c r="E608" s="43" t="s">
        <v>757</v>
      </c>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v>1.7</v>
      </c>
      <c r="AK608" s="43"/>
      <c r="AL608" s="43"/>
      <c r="AM608" s="43"/>
      <c r="AN608" s="43"/>
      <c r="AO608" s="43">
        <v>1.7</v>
      </c>
      <c r="AP608" s="43"/>
      <c r="AQ608" s="43">
        <v>1.9390000000000001</v>
      </c>
      <c r="AR608" s="43"/>
      <c r="AS608" s="43"/>
      <c r="AT608" s="43"/>
      <c r="AU608" s="43"/>
      <c r="AV608" s="43"/>
      <c r="AW608" s="43"/>
      <c r="AX608" s="43"/>
      <c r="AY608" s="43"/>
      <c r="AZ608" s="43"/>
      <c r="BA608" s="43"/>
      <c r="BB608" s="43"/>
      <c r="BC608" s="43"/>
      <c r="BD608" s="43"/>
      <c r="BE608" s="43"/>
      <c r="BF608" s="43"/>
      <c r="BG608" s="43"/>
      <c r="BH608" s="43"/>
      <c r="BI608" s="43"/>
      <c r="BJ608" s="43"/>
      <c r="BK608" s="43"/>
      <c r="BL608" s="43"/>
      <c r="BM608" s="43"/>
      <c r="BN608" s="43">
        <f t="shared" si="15"/>
        <v>1.9390000000000001</v>
      </c>
      <c r="BO608" s="43">
        <f t="shared" si="16"/>
        <v>1997</v>
      </c>
    </row>
    <row r="609" spans="2:67" x14ac:dyDescent="0.75">
      <c r="B609" s="43" t="s">
        <v>362</v>
      </c>
      <c r="C609" s="43" t="s">
        <v>32</v>
      </c>
      <c r="D609" s="43" t="s">
        <v>758</v>
      </c>
      <c r="E609" s="43" t="s">
        <v>757</v>
      </c>
      <c r="F609" s="43"/>
      <c r="G609" s="43"/>
      <c r="H609" s="43"/>
      <c r="I609" s="43"/>
      <c r="J609" s="43"/>
      <c r="K609" s="43"/>
      <c r="L609" s="43"/>
      <c r="M609" s="43"/>
      <c r="N609" s="43"/>
      <c r="O609" s="43"/>
      <c r="P609" s="43"/>
      <c r="Q609" s="43"/>
      <c r="R609" s="43"/>
      <c r="S609" s="43"/>
      <c r="T609" s="43"/>
      <c r="U609" s="43"/>
      <c r="V609" s="43"/>
      <c r="W609" s="43"/>
      <c r="X609" s="43"/>
      <c r="Y609" s="43"/>
      <c r="Z609" s="43"/>
      <c r="AA609" s="43">
        <v>0.97299999999999998</v>
      </c>
      <c r="AB609" s="43"/>
      <c r="AC609" s="43"/>
      <c r="AD609" s="43"/>
      <c r="AE609" s="43"/>
      <c r="AF609" s="43">
        <v>1.393</v>
      </c>
      <c r="AG609" s="43">
        <v>1.38</v>
      </c>
      <c r="AH609" s="43"/>
      <c r="AI609" s="43"/>
      <c r="AJ609" s="43">
        <v>1.5640000000000001</v>
      </c>
      <c r="AK609" s="43"/>
      <c r="AL609" s="43"/>
      <c r="AM609" s="43"/>
      <c r="AN609" s="43"/>
      <c r="AO609" s="43">
        <v>1.8787</v>
      </c>
      <c r="AP609" s="43">
        <v>2.5499999999999998</v>
      </c>
      <c r="AQ609" s="43"/>
      <c r="AR609" s="43"/>
      <c r="AS609" s="43">
        <v>2.1190000000000002</v>
      </c>
      <c r="AT609" s="43"/>
      <c r="AU609" s="43"/>
      <c r="AV609" s="43"/>
      <c r="AW609" s="43"/>
      <c r="AX609" s="43"/>
      <c r="AY609" s="43"/>
      <c r="AZ609" s="43"/>
      <c r="BA609" s="43">
        <v>2.0146999999999999</v>
      </c>
      <c r="BB609" s="43">
        <v>2.0507</v>
      </c>
      <c r="BC609" s="43">
        <v>2.1063999999999998</v>
      </c>
      <c r="BD609" s="43">
        <v>2.1562000000000001</v>
      </c>
      <c r="BE609" s="43">
        <v>2.2484000000000002</v>
      </c>
      <c r="BF609" s="43">
        <v>2.2957999999999998</v>
      </c>
      <c r="BG609" s="43">
        <v>2.4076</v>
      </c>
      <c r="BH609" s="43">
        <v>2.4992999999999999</v>
      </c>
      <c r="BI609" s="43"/>
      <c r="BJ609" s="43">
        <v>1.9511000000000001</v>
      </c>
      <c r="BK609" s="43"/>
      <c r="BL609" s="43"/>
      <c r="BM609" s="43"/>
      <c r="BN609" s="43">
        <f t="shared" si="15"/>
        <v>1.9511000000000001</v>
      </c>
      <c r="BO609" s="43">
        <f t="shared" si="16"/>
        <v>2016</v>
      </c>
    </row>
    <row r="610" spans="2:67" x14ac:dyDescent="0.75">
      <c r="B610" s="43" t="s">
        <v>363</v>
      </c>
      <c r="C610" s="43" t="s">
        <v>33</v>
      </c>
      <c r="D610" s="43" t="s">
        <v>758</v>
      </c>
      <c r="E610" s="43" t="s">
        <v>757</v>
      </c>
      <c r="F610" s="43"/>
      <c r="G610" s="43"/>
      <c r="H610" s="43"/>
      <c r="I610" s="43"/>
      <c r="J610" s="43"/>
      <c r="K610" s="43"/>
      <c r="L610" s="43"/>
      <c r="M610" s="43"/>
      <c r="N610" s="43"/>
      <c r="O610" s="43"/>
      <c r="P610" s="43">
        <v>1.8</v>
      </c>
      <c r="Q610" s="43">
        <v>1.9</v>
      </c>
      <c r="R610" s="43">
        <v>1.9</v>
      </c>
      <c r="S610" s="43">
        <v>1.9</v>
      </c>
      <c r="T610" s="43">
        <v>2</v>
      </c>
      <c r="U610" s="43">
        <v>2</v>
      </c>
      <c r="V610" s="43">
        <v>2.1</v>
      </c>
      <c r="W610" s="43">
        <v>2.1</v>
      </c>
      <c r="X610" s="43">
        <v>2.1</v>
      </c>
      <c r="Y610" s="43">
        <v>2.2000000000000002</v>
      </c>
      <c r="Z610" s="43">
        <v>2.2999999999999998</v>
      </c>
      <c r="AA610" s="43">
        <v>2.2999999999999998</v>
      </c>
      <c r="AB610" s="43">
        <v>2.4</v>
      </c>
      <c r="AC610" s="43">
        <v>2.5</v>
      </c>
      <c r="AD610" s="43">
        <v>2.5</v>
      </c>
      <c r="AE610" s="43">
        <v>2.6</v>
      </c>
      <c r="AF610" s="43">
        <v>2.6</v>
      </c>
      <c r="AG610" s="43">
        <v>2.6</v>
      </c>
      <c r="AH610" s="43">
        <v>2.7</v>
      </c>
      <c r="AI610" s="43">
        <v>2.7</v>
      </c>
      <c r="AJ610" s="43">
        <v>2.7</v>
      </c>
      <c r="AK610" s="43">
        <v>2.7</v>
      </c>
      <c r="AL610" s="43">
        <v>2.7</v>
      </c>
      <c r="AM610" s="43">
        <v>2.9</v>
      </c>
      <c r="AN610" s="43">
        <v>2.9</v>
      </c>
      <c r="AO610" s="43">
        <v>3</v>
      </c>
      <c r="AP610" s="43">
        <v>3</v>
      </c>
      <c r="AQ610" s="43">
        <v>3.1</v>
      </c>
      <c r="AR610" s="43">
        <v>3</v>
      </c>
      <c r="AS610" s="43">
        <v>3.1</v>
      </c>
      <c r="AT610" s="43">
        <v>3.4</v>
      </c>
      <c r="AU610" s="43">
        <v>3.4</v>
      </c>
      <c r="AV610" s="43">
        <v>3.5</v>
      </c>
      <c r="AW610" s="43">
        <v>3.5129999999999999</v>
      </c>
      <c r="AX610" s="43"/>
      <c r="AY610" s="43"/>
      <c r="AZ610" s="43">
        <v>3.58</v>
      </c>
      <c r="BA610" s="43">
        <v>3.61</v>
      </c>
      <c r="BB610" s="43">
        <v>3.625</v>
      </c>
      <c r="BC610" s="43"/>
      <c r="BD610" s="43">
        <v>3.5743999999999998</v>
      </c>
      <c r="BE610" s="43">
        <v>3.6116999999999999</v>
      </c>
      <c r="BF610" s="43">
        <v>3.6482999999999999</v>
      </c>
      <c r="BG610" s="43">
        <v>3.66</v>
      </c>
      <c r="BH610" s="43"/>
      <c r="BI610" s="43"/>
      <c r="BJ610" s="43">
        <v>4.3140000000000001</v>
      </c>
      <c r="BK610" s="43"/>
      <c r="BL610" s="43"/>
      <c r="BM610" s="43"/>
      <c r="BN610" s="43">
        <f t="shared" si="15"/>
        <v>4.3140000000000001</v>
      </c>
      <c r="BO610" s="43">
        <f t="shared" si="16"/>
        <v>2016</v>
      </c>
    </row>
    <row r="611" spans="2:67" x14ac:dyDescent="0.75">
      <c r="B611" s="43" t="s">
        <v>400</v>
      </c>
      <c r="C611" s="43" t="s">
        <v>34</v>
      </c>
      <c r="D611" s="43" t="s">
        <v>758</v>
      </c>
      <c r="E611" s="43" t="s">
        <v>757</v>
      </c>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v>2.8</v>
      </c>
      <c r="AL611" s="43">
        <v>2.8</v>
      </c>
      <c r="AM611" s="43">
        <v>2.9</v>
      </c>
      <c r="AN611" s="43">
        <v>3</v>
      </c>
      <c r="AO611" s="43">
        <v>3.1</v>
      </c>
      <c r="AP611" s="43">
        <v>3.1</v>
      </c>
      <c r="AQ611" s="43">
        <v>3.1</v>
      </c>
      <c r="AR611" s="43">
        <v>3.2</v>
      </c>
      <c r="AS611" s="43">
        <v>3.2</v>
      </c>
      <c r="AT611" s="43">
        <v>3.3</v>
      </c>
      <c r="AU611" s="43">
        <v>3.3</v>
      </c>
      <c r="AV611" s="43">
        <v>3.3</v>
      </c>
      <c r="AW611" s="43">
        <v>3.3690000000000002</v>
      </c>
      <c r="AX611" s="43"/>
      <c r="AY611" s="43"/>
      <c r="AZ611" s="43">
        <v>3.44</v>
      </c>
      <c r="BA611" s="43">
        <v>3.4830000000000001</v>
      </c>
      <c r="BB611" s="43">
        <v>3.5310000000000001</v>
      </c>
      <c r="BC611" s="43"/>
      <c r="BD611" s="43">
        <v>3.7536</v>
      </c>
      <c r="BE611" s="43">
        <v>3.8454000000000002</v>
      </c>
      <c r="BF611" s="43">
        <v>3.9152</v>
      </c>
      <c r="BG611" s="43">
        <v>4.0042999999999997</v>
      </c>
      <c r="BH611" s="43">
        <v>4.0827</v>
      </c>
      <c r="BI611" s="43">
        <v>4.1383000000000001</v>
      </c>
      <c r="BJ611" s="43">
        <v>4.2087000000000003</v>
      </c>
      <c r="BK611" s="43"/>
      <c r="BL611" s="43"/>
      <c r="BM611" s="43"/>
      <c r="BN611" s="43">
        <f t="shared" si="15"/>
        <v>4.2087000000000003</v>
      </c>
      <c r="BO611" s="43">
        <f t="shared" si="16"/>
        <v>2016</v>
      </c>
    </row>
    <row r="612" spans="2:67" x14ac:dyDescent="0.75">
      <c r="B612" s="43" t="s">
        <v>231</v>
      </c>
      <c r="C612" s="43" t="s">
        <v>35</v>
      </c>
      <c r="D612" s="43" t="s">
        <v>758</v>
      </c>
      <c r="E612" s="43" t="s">
        <v>757</v>
      </c>
      <c r="F612" s="43">
        <v>0.157</v>
      </c>
      <c r="G612" s="43"/>
      <c r="H612" s="43"/>
      <c r="I612" s="43"/>
      <c r="J612" s="43"/>
      <c r="K612" s="43"/>
      <c r="L612" s="43"/>
      <c r="M612" s="43"/>
      <c r="N612" s="43"/>
      <c r="O612" s="43"/>
      <c r="P612" s="43">
        <v>0.28399999999999997</v>
      </c>
      <c r="Q612" s="43"/>
      <c r="R612" s="43"/>
      <c r="S612" s="43"/>
      <c r="T612" s="43"/>
      <c r="U612" s="43"/>
      <c r="V612" s="43"/>
      <c r="W612" s="43"/>
      <c r="X612" s="43"/>
      <c r="Y612" s="43"/>
      <c r="Z612" s="43"/>
      <c r="AA612" s="43">
        <v>0.224</v>
      </c>
      <c r="AB612" s="43"/>
      <c r="AC612" s="43"/>
      <c r="AD612" s="43">
        <v>0.23799999999999999</v>
      </c>
      <c r="AE612" s="43"/>
      <c r="AF612" s="43"/>
      <c r="AG612" s="43"/>
      <c r="AH612" s="43"/>
      <c r="AI612" s="43"/>
      <c r="AJ612" s="43">
        <v>0.16200000000000001</v>
      </c>
      <c r="AK612" s="43"/>
      <c r="AL612" s="43"/>
      <c r="AM612" s="43"/>
      <c r="AN612" s="43"/>
      <c r="AO612" s="43">
        <v>0.191</v>
      </c>
      <c r="AP612" s="43">
        <v>0.14000000000000001</v>
      </c>
      <c r="AQ612" s="43"/>
      <c r="AR612" s="43"/>
      <c r="AS612" s="43">
        <v>0.1328</v>
      </c>
      <c r="AT612" s="43"/>
      <c r="AU612" s="43"/>
      <c r="AV612" s="43"/>
      <c r="AW612" s="43"/>
      <c r="AX612" s="43">
        <v>0.16739999999999999</v>
      </c>
      <c r="AY612" s="43">
        <v>0.17879999999999999</v>
      </c>
      <c r="AZ612" s="43">
        <v>0.2324</v>
      </c>
      <c r="BA612" s="43"/>
      <c r="BB612" s="43"/>
      <c r="BC612" s="43"/>
      <c r="BD612" s="43">
        <v>0.22900000000000001</v>
      </c>
      <c r="BE612" s="43"/>
      <c r="BF612" s="43"/>
      <c r="BG612" s="43"/>
      <c r="BH612" s="43">
        <v>0.2203</v>
      </c>
      <c r="BI612" s="43"/>
      <c r="BJ612" s="43"/>
      <c r="BK612" s="43"/>
      <c r="BL612" s="43"/>
      <c r="BM612" s="43"/>
      <c r="BN612" s="43">
        <f t="shared" si="15"/>
        <v>0.2203</v>
      </c>
      <c r="BO612" s="43">
        <f t="shared" si="16"/>
        <v>2014</v>
      </c>
    </row>
    <row r="613" spans="2:67" x14ac:dyDescent="0.75">
      <c r="B613" s="43" t="s">
        <v>365</v>
      </c>
      <c r="C613" s="43" t="s">
        <v>366</v>
      </c>
      <c r="D613" s="43" t="s">
        <v>758</v>
      </c>
      <c r="E613" s="43" t="s">
        <v>757</v>
      </c>
      <c r="F613" s="43">
        <v>0.13300000000000001</v>
      </c>
      <c r="G613" s="43"/>
      <c r="H613" s="43"/>
      <c r="I613" s="43"/>
      <c r="J613" s="43"/>
      <c r="K613" s="43"/>
      <c r="L613" s="43"/>
      <c r="M613" s="43"/>
      <c r="N613" s="43"/>
      <c r="O613" s="43"/>
      <c r="P613" s="43">
        <v>0.161</v>
      </c>
      <c r="Q613" s="43"/>
      <c r="R613" s="43"/>
      <c r="S613" s="43"/>
      <c r="T613" s="43"/>
      <c r="U613" s="43"/>
      <c r="V613" s="43"/>
      <c r="W613" s="43"/>
      <c r="X613" s="43"/>
      <c r="Y613" s="43"/>
      <c r="Z613" s="43"/>
      <c r="AA613" s="43"/>
      <c r="AB613" s="43"/>
      <c r="AC613" s="43"/>
      <c r="AD613" s="43">
        <v>0.33900000000000002</v>
      </c>
      <c r="AE613" s="43"/>
      <c r="AF613" s="43"/>
      <c r="AG613" s="43"/>
      <c r="AH613" s="43"/>
      <c r="AI613" s="43"/>
      <c r="AJ613" s="43">
        <v>0.46</v>
      </c>
      <c r="AK613" s="43">
        <v>0.52800000000000002</v>
      </c>
      <c r="AL613" s="43"/>
      <c r="AM613" s="43"/>
      <c r="AN613" s="43"/>
      <c r="AO613" s="43">
        <v>0.47</v>
      </c>
      <c r="AP613" s="43">
        <v>0.49299999999999999</v>
      </c>
      <c r="AQ613" s="43">
        <v>0.53669999999999995</v>
      </c>
      <c r="AR613" s="43"/>
      <c r="AS613" s="43"/>
      <c r="AT613" s="43"/>
      <c r="AU613" s="43">
        <v>1.7790999999999999</v>
      </c>
      <c r="AV613" s="43"/>
      <c r="AW613" s="43"/>
      <c r="AX613" s="43"/>
      <c r="AY613" s="43"/>
      <c r="AZ613" s="43"/>
      <c r="BA613" s="43"/>
      <c r="BB613" s="43"/>
      <c r="BC613" s="43"/>
      <c r="BD613" s="43"/>
      <c r="BE613" s="43"/>
      <c r="BF613" s="43"/>
      <c r="BG613" s="43"/>
      <c r="BH613" s="43"/>
      <c r="BI613" s="43"/>
      <c r="BJ613" s="43"/>
      <c r="BK613" s="43">
        <v>1.0825</v>
      </c>
      <c r="BL613" s="43"/>
      <c r="BM613" s="43"/>
      <c r="BN613" s="43">
        <f t="shared" si="15"/>
        <v>1.0825</v>
      </c>
      <c r="BO613" s="43">
        <f t="shared" si="16"/>
        <v>2017</v>
      </c>
    </row>
    <row r="614" spans="2:67" x14ac:dyDescent="0.75">
      <c r="B614" s="43" t="s">
        <v>364</v>
      </c>
      <c r="C614" s="43" t="s">
        <v>36</v>
      </c>
      <c r="D614" s="43" t="s">
        <v>758</v>
      </c>
      <c r="E614" s="43" t="s">
        <v>757</v>
      </c>
      <c r="F614" s="43"/>
      <c r="G614" s="43"/>
      <c r="H614" s="43"/>
      <c r="I614" s="43"/>
      <c r="J614" s="43"/>
      <c r="K614" s="43"/>
      <c r="L614" s="43"/>
      <c r="M614" s="43"/>
      <c r="N614" s="43"/>
      <c r="O614" s="43"/>
      <c r="P614" s="43"/>
      <c r="Q614" s="43"/>
      <c r="R614" s="43"/>
      <c r="S614" s="43"/>
      <c r="T614" s="43"/>
      <c r="U614" s="43"/>
      <c r="V614" s="43"/>
      <c r="W614" s="43"/>
      <c r="X614" s="43"/>
      <c r="Y614" s="43"/>
      <c r="Z614" s="43">
        <v>1.8</v>
      </c>
      <c r="AA614" s="43">
        <v>1.8</v>
      </c>
      <c r="AB614" s="43">
        <v>2</v>
      </c>
      <c r="AC614" s="43">
        <v>2.1</v>
      </c>
      <c r="AD614" s="43">
        <v>2.2999999999999998</v>
      </c>
      <c r="AE614" s="43">
        <v>2.2999999999999998</v>
      </c>
      <c r="AF614" s="43">
        <v>2.2999999999999998</v>
      </c>
      <c r="AG614" s="43">
        <v>2.2999999999999998</v>
      </c>
      <c r="AH614" s="43">
        <v>2.4</v>
      </c>
      <c r="AI614" s="43">
        <v>2.5</v>
      </c>
      <c r="AJ614" s="43">
        <v>2.5</v>
      </c>
      <c r="AK614" s="43">
        <v>2.4</v>
      </c>
      <c r="AL614" s="43">
        <v>2.6</v>
      </c>
      <c r="AM614" s="43">
        <v>2.6</v>
      </c>
      <c r="AN614" s="43">
        <v>2.8978999999999999</v>
      </c>
      <c r="AO614" s="43">
        <v>2.9033000000000002</v>
      </c>
      <c r="AP614" s="43">
        <v>2.6</v>
      </c>
      <c r="AQ614" s="43">
        <v>2.9159000000000002</v>
      </c>
      <c r="AR614" s="43">
        <v>2.8</v>
      </c>
      <c r="AS614" s="43"/>
      <c r="AT614" s="43"/>
      <c r="AU614" s="43">
        <v>3.6579999999999999</v>
      </c>
      <c r="AV614" s="43">
        <v>2.9249999999999998</v>
      </c>
      <c r="AW614" s="43">
        <v>2.9983</v>
      </c>
      <c r="AX614" s="43">
        <v>3.0427</v>
      </c>
      <c r="AY614" s="43">
        <v>3.2000999999999999</v>
      </c>
      <c r="AZ614" s="43">
        <v>3.1629999999999998</v>
      </c>
      <c r="BA614" s="43">
        <v>3.419</v>
      </c>
      <c r="BB614" s="43">
        <v>3.3935</v>
      </c>
      <c r="BC614" s="43">
        <v>3.4013</v>
      </c>
      <c r="BD614" s="43">
        <v>3.5790999999999999</v>
      </c>
      <c r="BE614" s="43">
        <v>3.6183999999999998</v>
      </c>
      <c r="BF614" s="43">
        <v>3.6461000000000001</v>
      </c>
      <c r="BG614" s="43">
        <v>3.6395</v>
      </c>
      <c r="BH614" s="43">
        <v>3.6440000000000001</v>
      </c>
      <c r="BI614" s="43">
        <v>3.6743000000000001</v>
      </c>
      <c r="BJ614" s="43">
        <v>4.4566999999999997</v>
      </c>
      <c r="BK614" s="43"/>
      <c r="BL614" s="43"/>
      <c r="BM614" s="43"/>
      <c r="BN614" s="43">
        <f t="shared" si="15"/>
        <v>4.4566999999999997</v>
      </c>
      <c r="BO614" s="43">
        <f t="shared" si="16"/>
        <v>2016</v>
      </c>
    </row>
    <row r="615" spans="2:67" x14ac:dyDescent="0.75">
      <c r="B615" s="43" t="s">
        <v>367</v>
      </c>
      <c r="C615" s="43" t="s">
        <v>368</v>
      </c>
      <c r="D615" s="43" t="s">
        <v>758</v>
      </c>
      <c r="E615" s="43" t="s">
        <v>757</v>
      </c>
      <c r="F615" s="43">
        <v>0.121</v>
      </c>
      <c r="G615" s="43"/>
      <c r="H615" s="43"/>
      <c r="I615" s="43"/>
      <c r="J615" s="43"/>
      <c r="K615" s="43">
        <v>0.58799999999999997</v>
      </c>
      <c r="L615" s="43"/>
      <c r="M615" s="43"/>
      <c r="N615" s="43"/>
      <c r="O615" s="43"/>
      <c r="P615" s="43"/>
      <c r="Q615" s="43"/>
      <c r="R615" s="43"/>
      <c r="S615" s="43"/>
      <c r="T615" s="43"/>
      <c r="U615" s="43">
        <v>0.435</v>
      </c>
      <c r="V615" s="43"/>
      <c r="W615" s="43"/>
      <c r="X615" s="43"/>
      <c r="Y615" s="43"/>
      <c r="Z615" s="43"/>
      <c r="AA615" s="43"/>
      <c r="AB615" s="43"/>
      <c r="AC615" s="43"/>
      <c r="AD615" s="43">
        <v>0.56399999999999995</v>
      </c>
      <c r="AE615" s="43"/>
      <c r="AF615" s="43"/>
      <c r="AG615" s="43"/>
      <c r="AH615" s="43">
        <v>1.0740000000000001</v>
      </c>
      <c r="AI615" s="43"/>
      <c r="AJ615" s="43">
        <v>1.49</v>
      </c>
      <c r="AK615" s="43"/>
      <c r="AL615" s="43"/>
      <c r="AM615" s="43">
        <v>1.054</v>
      </c>
      <c r="AN615" s="43"/>
      <c r="AO615" s="43">
        <v>1.5</v>
      </c>
      <c r="AP615" s="43"/>
      <c r="AQ615" s="43">
        <v>2.1560000000000001</v>
      </c>
      <c r="AR615" s="43"/>
      <c r="AS615" s="43"/>
      <c r="AT615" s="43">
        <v>1.8301000000000001</v>
      </c>
      <c r="AU615" s="43"/>
      <c r="AV615" s="43"/>
      <c r="AW615" s="43"/>
      <c r="AX615" s="43"/>
      <c r="AY615" s="43"/>
      <c r="AZ615" s="43"/>
      <c r="BA615" s="43"/>
      <c r="BB615" s="43">
        <v>1.0777000000000001</v>
      </c>
      <c r="BC615" s="43"/>
      <c r="BD615" s="43"/>
      <c r="BE615" s="43">
        <v>1.4943</v>
      </c>
      <c r="BF615" s="43"/>
      <c r="BG615" s="43"/>
      <c r="BH615" s="43"/>
      <c r="BI615" s="43"/>
      <c r="BJ615" s="43"/>
      <c r="BK615" s="43">
        <v>1.56</v>
      </c>
      <c r="BL615" s="43"/>
      <c r="BM615" s="43"/>
      <c r="BN615" s="43">
        <f t="shared" si="15"/>
        <v>1.56</v>
      </c>
      <c r="BO615" s="43">
        <f t="shared" si="16"/>
        <v>2017</v>
      </c>
    </row>
    <row r="616" spans="2:67" x14ac:dyDescent="0.75">
      <c r="B616" s="43" t="s">
        <v>314</v>
      </c>
      <c r="C616" s="43" t="s">
        <v>37</v>
      </c>
      <c r="D616" s="43" t="s">
        <v>758</v>
      </c>
      <c r="E616" s="43" t="s">
        <v>757</v>
      </c>
      <c r="F616" s="43">
        <v>0.17299999999999999</v>
      </c>
      <c r="G616" s="43"/>
      <c r="H616" s="43"/>
      <c r="I616" s="43"/>
      <c r="J616" s="43"/>
      <c r="K616" s="43">
        <v>0.11600000000000001</v>
      </c>
      <c r="L616" s="43"/>
      <c r="M616" s="43"/>
      <c r="N616" s="43"/>
      <c r="O616" s="43"/>
      <c r="P616" s="43">
        <v>0.123</v>
      </c>
      <c r="Q616" s="43"/>
      <c r="R616" s="43"/>
      <c r="S616" s="43"/>
      <c r="T616" s="43"/>
      <c r="U616" s="43"/>
      <c r="V616" s="43"/>
      <c r="W616" s="43"/>
      <c r="X616" s="43"/>
      <c r="Y616" s="43">
        <v>0.38</v>
      </c>
      <c r="Z616" s="43"/>
      <c r="AA616" s="43"/>
      <c r="AB616" s="43"/>
      <c r="AC616" s="43"/>
      <c r="AD616" s="43">
        <v>0.42699999999999999</v>
      </c>
      <c r="AE616" s="43"/>
      <c r="AF616" s="43"/>
      <c r="AG616" s="43"/>
      <c r="AH616" s="43">
        <v>0.42899999999999999</v>
      </c>
      <c r="AI616" s="43"/>
      <c r="AJ616" s="43">
        <v>0.94199999999999995</v>
      </c>
      <c r="AK616" s="43"/>
      <c r="AL616" s="43"/>
      <c r="AM616" s="43">
        <v>0.82099999999999995</v>
      </c>
      <c r="AN616" s="43"/>
      <c r="AO616" s="43">
        <v>0.84599999999999997</v>
      </c>
      <c r="AP616" s="43"/>
      <c r="AQ616" s="43"/>
      <c r="AR616" s="43">
        <v>1</v>
      </c>
      <c r="AS616" s="43"/>
      <c r="AT616" s="43"/>
      <c r="AU616" s="43"/>
      <c r="AV616" s="43">
        <v>1.1053999999999999</v>
      </c>
      <c r="AW616" s="43"/>
      <c r="AX616" s="43"/>
      <c r="AY616" s="43">
        <v>1.0199</v>
      </c>
      <c r="AZ616" s="43"/>
      <c r="BA616" s="43">
        <v>1.1912</v>
      </c>
      <c r="BB616" s="43"/>
      <c r="BC616" s="43"/>
      <c r="BD616" s="43">
        <v>1.2070000000000001</v>
      </c>
      <c r="BE616" s="43"/>
      <c r="BF616" s="43"/>
      <c r="BG616" s="43"/>
      <c r="BH616" s="43"/>
      <c r="BI616" s="43"/>
      <c r="BJ616" s="43">
        <v>1.83</v>
      </c>
      <c r="BK616" s="43"/>
      <c r="BL616" s="43"/>
      <c r="BM616" s="43"/>
      <c r="BN616" s="43">
        <f t="shared" si="15"/>
        <v>1.83</v>
      </c>
      <c r="BO616" s="43">
        <f t="shared" si="16"/>
        <v>2016</v>
      </c>
    </row>
    <row r="617" spans="2:67" x14ac:dyDescent="0.75">
      <c r="B617" s="43" t="s">
        <v>373</v>
      </c>
      <c r="C617" s="43" t="s">
        <v>374</v>
      </c>
      <c r="D617" s="43" t="s">
        <v>758</v>
      </c>
      <c r="E617" s="43" t="s">
        <v>757</v>
      </c>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v>0.85058523913436868</v>
      </c>
      <c r="AK617" s="43"/>
      <c r="AL617" s="43"/>
      <c r="AM617" s="43"/>
      <c r="AN617" s="43"/>
      <c r="AO617" s="43"/>
      <c r="AP617" s="43"/>
      <c r="AQ617" s="43"/>
      <c r="AR617" s="43"/>
      <c r="AS617" s="43"/>
      <c r="AT617" s="43">
        <v>1.0064622250608266</v>
      </c>
      <c r="AU617" s="43"/>
      <c r="AV617" s="43"/>
      <c r="AW617" s="43"/>
      <c r="AX617" s="43"/>
      <c r="AY617" s="43"/>
      <c r="AZ617" s="43"/>
      <c r="BA617" s="43"/>
      <c r="BB617" s="43"/>
      <c r="BC617" s="43"/>
      <c r="BD617" s="43"/>
      <c r="BE617" s="43"/>
      <c r="BF617" s="43"/>
      <c r="BG617" s="43"/>
      <c r="BH617" s="43"/>
      <c r="BI617" s="43">
        <v>1.4761485003558619</v>
      </c>
      <c r="BJ617" s="43"/>
      <c r="BK617" s="43"/>
      <c r="BL617" s="43"/>
      <c r="BM617" s="43"/>
      <c r="BN617" s="43">
        <f t="shared" si="15"/>
        <v>1.4761485003558619</v>
      </c>
      <c r="BO617" s="43">
        <f t="shared" si="16"/>
        <v>2015</v>
      </c>
    </row>
    <row r="618" spans="2:67" x14ac:dyDescent="0.75">
      <c r="B618" s="43" t="s">
        <v>369</v>
      </c>
      <c r="C618" s="43" t="s">
        <v>370</v>
      </c>
      <c r="D618" s="43" t="s">
        <v>758</v>
      </c>
      <c r="E618" s="43" t="s">
        <v>757</v>
      </c>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v>0.87325614569788945</v>
      </c>
      <c r="AK618" s="43"/>
      <c r="AL618" s="43"/>
      <c r="AM618" s="43"/>
      <c r="AN618" s="43"/>
      <c r="AO618" s="43"/>
      <c r="AP618" s="43"/>
      <c r="AQ618" s="43"/>
      <c r="AR618" s="43"/>
      <c r="AS618" s="43"/>
      <c r="AT618" s="43">
        <v>0.75437138259027836</v>
      </c>
      <c r="AU618" s="43"/>
      <c r="AV618" s="43"/>
      <c r="AW618" s="43"/>
      <c r="AX618" s="43"/>
      <c r="AY618" s="43"/>
      <c r="AZ618" s="43"/>
      <c r="BA618" s="43"/>
      <c r="BB618" s="43"/>
      <c r="BC618" s="43"/>
      <c r="BD618" s="43"/>
      <c r="BE618" s="43"/>
      <c r="BF618" s="43"/>
      <c r="BG618" s="43"/>
      <c r="BH618" s="43"/>
      <c r="BI618" s="43">
        <v>0.94011084109972498</v>
      </c>
      <c r="BJ618" s="43"/>
      <c r="BK618" s="43"/>
      <c r="BL618" s="43"/>
      <c r="BM618" s="43"/>
      <c r="BN618" s="43">
        <f t="shared" si="15"/>
        <v>0.94011084109972498</v>
      </c>
      <c r="BO618" s="43">
        <f t="shared" si="16"/>
        <v>2015</v>
      </c>
    </row>
    <row r="619" spans="2:67" x14ac:dyDescent="0.75">
      <c r="B619" s="43" t="s">
        <v>371</v>
      </c>
      <c r="C619" s="43" t="s">
        <v>372</v>
      </c>
      <c r="D619" s="43" t="s">
        <v>758</v>
      </c>
      <c r="E619" s="43" t="s">
        <v>757</v>
      </c>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v>0.92615972782662315</v>
      </c>
      <c r="AK619" s="43"/>
      <c r="AL619" s="43"/>
      <c r="AM619" s="43"/>
      <c r="AN619" s="43"/>
      <c r="AO619" s="43"/>
      <c r="AP619" s="43"/>
      <c r="AQ619" s="43"/>
      <c r="AR619" s="43"/>
      <c r="AS619" s="43"/>
      <c r="AT619" s="43">
        <v>1.094840183834624</v>
      </c>
      <c r="AU619" s="43"/>
      <c r="AV619" s="43"/>
      <c r="AW619" s="43"/>
      <c r="AX619" s="43"/>
      <c r="AY619" s="43"/>
      <c r="AZ619" s="43"/>
      <c r="BA619" s="43"/>
      <c r="BB619" s="43"/>
      <c r="BC619" s="43"/>
      <c r="BD619" s="43"/>
      <c r="BE619" s="43"/>
      <c r="BF619" s="43"/>
      <c r="BG619" s="43"/>
      <c r="BH619" s="43"/>
      <c r="BI619" s="43">
        <v>1.5767725519397087</v>
      </c>
      <c r="BJ619" s="43"/>
      <c r="BK619" s="43"/>
      <c r="BL619" s="43"/>
      <c r="BM619" s="43"/>
      <c r="BN619" s="43">
        <f t="shared" si="15"/>
        <v>1.5767725519397087</v>
      </c>
      <c r="BO619" s="43">
        <f t="shared" si="16"/>
        <v>2015</v>
      </c>
    </row>
    <row r="620" spans="2:67" x14ac:dyDescent="0.75">
      <c r="B620" s="43" t="s">
        <v>385</v>
      </c>
      <c r="C620" s="43" t="s">
        <v>386</v>
      </c>
      <c r="D620" s="43" t="s">
        <v>758</v>
      </c>
      <c r="E620" s="43" t="s">
        <v>757</v>
      </c>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v>3.3384666699126808</v>
      </c>
      <c r="AK620" s="43"/>
      <c r="AL620" s="43"/>
      <c r="AM620" s="43"/>
      <c r="AN620" s="43"/>
      <c r="AO620" s="43"/>
      <c r="AP620" s="43"/>
      <c r="AQ620" s="43"/>
      <c r="AR620" s="43"/>
      <c r="AS620" s="43"/>
      <c r="AT620" s="43">
        <v>3.1658773755261795</v>
      </c>
      <c r="AU620" s="43"/>
      <c r="AV620" s="43"/>
      <c r="AW620" s="43"/>
      <c r="AX620" s="43"/>
      <c r="AY620" s="43"/>
      <c r="AZ620" s="43"/>
      <c r="BA620" s="43"/>
      <c r="BB620" s="43"/>
      <c r="BC620" s="43"/>
      <c r="BD620" s="43"/>
      <c r="BE620" s="43"/>
      <c r="BF620" s="43"/>
      <c r="BG620" s="43"/>
      <c r="BH620" s="43"/>
      <c r="BI620" s="43">
        <v>3.045276370500583</v>
      </c>
      <c r="BJ620" s="43"/>
      <c r="BK620" s="43"/>
      <c r="BL620" s="43"/>
      <c r="BM620" s="43"/>
      <c r="BN620" s="43">
        <f t="shared" si="15"/>
        <v>3.045276370500583</v>
      </c>
      <c r="BO620" s="43">
        <f t="shared" si="16"/>
        <v>2015</v>
      </c>
    </row>
    <row r="621" spans="2:67" x14ac:dyDescent="0.75">
      <c r="B621" s="43" t="s">
        <v>383</v>
      </c>
      <c r="C621" s="43" t="s">
        <v>384</v>
      </c>
      <c r="D621" s="43" t="s">
        <v>758</v>
      </c>
      <c r="E621" s="43" t="s">
        <v>757</v>
      </c>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v>3.0138411222447261</v>
      </c>
      <c r="AK621" s="43"/>
      <c r="AL621" s="43"/>
      <c r="AM621" s="43"/>
      <c r="AN621" s="43"/>
      <c r="AO621" s="43"/>
      <c r="AP621" s="43"/>
      <c r="AQ621" s="43"/>
      <c r="AR621" s="43"/>
      <c r="AS621" s="43"/>
      <c r="AT621" s="43">
        <v>3.2039927181533172</v>
      </c>
      <c r="AU621" s="43"/>
      <c r="AV621" s="43"/>
      <c r="AW621" s="43"/>
      <c r="AX621" s="43"/>
      <c r="AY621" s="43"/>
      <c r="AZ621" s="43"/>
      <c r="BA621" s="43"/>
      <c r="BB621" s="43"/>
      <c r="BC621" s="43"/>
      <c r="BD621" s="43"/>
      <c r="BE621" s="43"/>
      <c r="BF621" s="43"/>
      <c r="BG621" s="43"/>
      <c r="BH621" s="43"/>
      <c r="BI621" s="43">
        <v>3.3729252519521515</v>
      </c>
      <c r="BJ621" s="43"/>
      <c r="BK621" s="43"/>
      <c r="BL621" s="43"/>
      <c r="BM621" s="43"/>
      <c r="BN621" s="43">
        <f t="shared" si="15"/>
        <v>3.3729252519521515</v>
      </c>
      <c r="BO621" s="43">
        <f t="shared" si="16"/>
        <v>2015</v>
      </c>
    </row>
    <row r="622" spans="2:67" x14ac:dyDescent="0.75">
      <c r="B622" s="43" t="s">
        <v>377</v>
      </c>
      <c r="C622" s="43" t="s">
        <v>38</v>
      </c>
      <c r="D622" s="43" t="s">
        <v>758</v>
      </c>
      <c r="E622" s="43" t="s">
        <v>757</v>
      </c>
      <c r="F622" s="43">
        <v>0.39600000000000002</v>
      </c>
      <c r="G622" s="43"/>
      <c r="H622" s="43"/>
      <c r="I622" s="43"/>
      <c r="J622" s="43"/>
      <c r="K622" s="43">
        <v>0.33500000000000002</v>
      </c>
      <c r="L622" s="43"/>
      <c r="M622" s="43"/>
      <c r="N622" s="43"/>
      <c r="O622" s="43"/>
      <c r="P622" s="43">
        <v>0.34799999999999998</v>
      </c>
      <c r="Q622" s="43"/>
      <c r="R622" s="43"/>
      <c r="S622" s="43"/>
      <c r="T622" s="43"/>
      <c r="U622" s="43">
        <v>0.35099999999999998</v>
      </c>
      <c r="V622" s="43"/>
      <c r="W622" s="43">
        <v>0.63700000000000001</v>
      </c>
      <c r="X622" s="43"/>
      <c r="Y622" s="43"/>
      <c r="Z622" s="43"/>
      <c r="AA622" s="43"/>
      <c r="AB622" s="43"/>
      <c r="AC622" s="43"/>
      <c r="AD622" s="43"/>
      <c r="AE622" s="43"/>
      <c r="AF622" s="43"/>
      <c r="AG622" s="43"/>
      <c r="AH622" s="43"/>
      <c r="AI622" s="43"/>
      <c r="AJ622" s="43">
        <v>0.95760000000000001</v>
      </c>
      <c r="AK622" s="43">
        <v>1.1667000000000001</v>
      </c>
      <c r="AL622" s="43">
        <v>1.2005999999999999</v>
      </c>
      <c r="AM622" s="43">
        <v>1.1093999999999999</v>
      </c>
      <c r="AN622" s="43">
        <v>1.2746</v>
      </c>
      <c r="AO622" s="43">
        <v>1.2474000000000001</v>
      </c>
      <c r="AP622" s="43">
        <v>1.3170999999999999</v>
      </c>
      <c r="AQ622" s="43">
        <v>1.3305</v>
      </c>
      <c r="AR622" s="43">
        <v>1.3167</v>
      </c>
      <c r="AS622" s="43">
        <v>1.3772</v>
      </c>
      <c r="AT622" s="43">
        <v>1.4519</v>
      </c>
      <c r="AU622" s="43">
        <v>1.5512999999999999</v>
      </c>
      <c r="AV622" s="43">
        <v>1.5752999999999999</v>
      </c>
      <c r="AW622" s="43">
        <v>1.5064</v>
      </c>
      <c r="AX622" s="43"/>
      <c r="AY622" s="43"/>
      <c r="AZ622" s="43"/>
      <c r="BA622" s="43"/>
      <c r="BB622" s="43"/>
      <c r="BC622" s="43">
        <v>1.6073</v>
      </c>
      <c r="BD622" s="43">
        <v>2.1219000000000001</v>
      </c>
      <c r="BE622" s="43">
        <v>1.6654</v>
      </c>
      <c r="BF622" s="43"/>
      <c r="BG622" s="43"/>
      <c r="BH622" s="43"/>
      <c r="BI622" s="43">
        <v>2.0733999999999999</v>
      </c>
      <c r="BJ622" s="43">
        <v>2.0499999999999998</v>
      </c>
      <c r="BK622" s="43"/>
      <c r="BL622" s="43"/>
      <c r="BM622" s="43"/>
      <c r="BN622" s="43">
        <f t="shared" ref="BN622:BN685" si="17">IFERROR(LOOKUP(2,1/(ISNUMBER(G622:BM622)),G622:BM622),"No reported value")</f>
        <v>2.0499999999999998</v>
      </c>
      <c r="BO622" s="43">
        <f t="shared" ref="BO622:BO685" si="18">IFERROR(INDEX($G$557:$BM$557,1,MATCH($BN622,$G622:$BM622,0)),"No reported value")</f>
        <v>2016</v>
      </c>
    </row>
    <row r="623" spans="2:67" x14ac:dyDescent="0.75">
      <c r="B623" s="43" t="s">
        <v>378</v>
      </c>
      <c r="C623" s="43" t="s">
        <v>39</v>
      </c>
      <c r="D623" s="43" t="s">
        <v>758</v>
      </c>
      <c r="E623" s="43" t="s">
        <v>757</v>
      </c>
      <c r="F623" s="43">
        <v>0.39100000000000001</v>
      </c>
      <c r="G623" s="43"/>
      <c r="H623" s="43"/>
      <c r="I623" s="43"/>
      <c r="J623" s="43"/>
      <c r="K623" s="43">
        <v>0.435</v>
      </c>
      <c r="L623" s="43"/>
      <c r="M623" s="43"/>
      <c r="N623" s="43"/>
      <c r="O623" s="43"/>
      <c r="P623" s="43">
        <v>0.52700000000000002</v>
      </c>
      <c r="Q623" s="43"/>
      <c r="R623" s="43"/>
      <c r="S623" s="43"/>
      <c r="T623" s="43"/>
      <c r="U623" s="43">
        <v>0.53600000000000003</v>
      </c>
      <c r="V623" s="43"/>
      <c r="W623" s="43"/>
      <c r="X623" s="43"/>
      <c r="Y623" s="43"/>
      <c r="Z623" s="43">
        <v>1.0649999999999999</v>
      </c>
      <c r="AA623" s="43">
        <v>1.3640000000000001</v>
      </c>
      <c r="AB623" s="43">
        <v>1.365</v>
      </c>
      <c r="AC623" s="43"/>
      <c r="AD623" s="43"/>
      <c r="AE623" s="43"/>
      <c r="AF623" s="43">
        <v>1.304</v>
      </c>
      <c r="AG623" s="43"/>
      <c r="AH623" s="43"/>
      <c r="AI623" s="43"/>
      <c r="AJ623" s="43">
        <v>0.76</v>
      </c>
      <c r="AK623" s="43"/>
      <c r="AL623" s="43"/>
      <c r="AM623" s="43"/>
      <c r="AN623" s="43">
        <v>1.84</v>
      </c>
      <c r="AO623" s="43"/>
      <c r="AP623" s="43">
        <v>2.02</v>
      </c>
      <c r="AQ623" s="43">
        <v>1.6</v>
      </c>
      <c r="AR623" s="43"/>
      <c r="AS623" s="43"/>
      <c r="AT623" s="43">
        <v>2.1179999999999999</v>
      </c>
      <c r="AU623" s="43"/>
      <c r="AV623" s="43"/>
      <c r="AW623" s="43">
        <v>0.5202</v>
      </c>
      <c r="AX623" s="43"/>
      <c r="AY623" s="43">
        <v>2.4009999999999998</v>
      </c>
      <c r="AZ623" s="43"/>
      <c r="BA623" s="43">
        <v>2.6040000000000001</v>
      </c>
      <c r="BB623" s="43"/>
      <c r="BC623" s="43">
        <v>2.8039999999999998</v>
      </c>
      <c r="BD623" s="43">
        <v>2.83</v>
      </c>
      <c r="BE623" s="43"/>
      <c r="BF623" s="43"/>
      <c r="BG623" s="43"/>
      <c r="BH623" s="43">
        <v>0.79400000000000004</v>
      </c>
      <c r="BI623" s="43">
        <v>0.81</v>
      </c>
      <c r="BJ623" s="43">
        <v>0.81069999999999998</v>
      </c>
      <c r="BK623" s="43">
        <v>0.79020000000000001</v>
      </c>
      <c r="BL623" s="43"/>
      <c r="BM623" s="43"/>
      <c r="BN623" s="43">
        <f t="shared" si="17"/>
        <v>0.79020000000000001</v>
      </c>
      <c r="BO623" s="43">
        <f t="shared" si="18"/>
        <v>2017</v>
      </c>
    </row>
    <row r="624" spans="2:67" x14ac:dyDescent="0.75">
      <c r="B624" s="43" t="s">
        <v>381</v>
      </c>
      <c r="C624" s="43" t="s">
        <v>382</v>
      </c>
      <c r="D624" s="43" t="s">
        <v>758</v>
      </c>
      <c r="E624" s="43" t="s">
        <v>757</v>
      </c>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v>3.0348344201515713</v>
      </c>
      <c r="AK624" s="43"/>
      <c r="AL624" s="43"/>
      <c r="AM624" s="43"/>
      <c r="AN624" s="43"/>
      <c r="AO624" s="43"/>
      <c r="AP624" s="43"/>
      <c r="AQ624" s="43"/>
      <c r="AR624" s="43"/>
      <c r="AS624" s="43"/>
      <c r="AT624" s="43">
        <v>3.6855896341408787</v>
      </c>
      <c r="AU624" s="43"/>
      <c r="AV624" s="43"/>
      <c r="AW624" s="43"/>
      <c r="AX624" s="43"/>
      <c r="AY624" s="43"/>
      <c r="AZ624" s="43"/>
      <c r="BA624" s="43"/>
      <c r="BB624" s="43"/>
      <c r="BC624" s="43"/>
      <c r="BD624" s="43"/>
      <c r="BE624" s="43"/>
      <c r="BF624" s="43"/>
      <c r="BG624" s="43"/>
      <c r="BH624" s="43"/>
      <c r="BI624" s="43">
        <v>3.8477576041724832</v>
      </c>
      <c r="BJ624" s="43"/>
      <c r="BK624" s="43"/>
      <c r="BL624" s="43"/>
      <c r="BM624" s="43"/>
      <c r="BN624" s="43">
        <f t="shared" si="17"/>
        <v>3.8477576041724832</v>
      </c>
      <c r="BO624" s="43">
        <f t="shared" si="18"/>
        <v>2015</v>
      </c>
    </row>
    <row r="625" spans="2:67" x14ac:dyDescent="0.75">
      <c r="B625" s="43" t="s">
        <v>192</v>
      </c>
      <c r="C625" s="43" t="s">
        <v>168</v>
      </c>
      <c r="D625" s="43" t="s">
        <v>758</v>
      </c>
      <c r="E625" s="43" t="s">
        <v>757</v>
      </c>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v>1.9E-2</v>
      </c>
      <c r="AN625" s="43"/>
      <c r="AO625" s="43"/>
      <c r="AP625" s="43">
        <v>0.03</v>
      </c>
      <c r="AQ625" s="43"/>
      <c r="AR625" s="43"/>
      <c r="AS625" s="43"/>
      <c r="AT625" s="43"/>
      <c r="AU625" s="43"/>
      <c r="AV625" s="43"/>
      <c r="AW625" s="43"/>
      <c r="AX625" s="43">
        <v>5.57E-2</v>
      </c>
      <c r="AY625" s="43"/>
      <c r="AZ625" s="43"/>
      <c r="BA625" s="43"/>
      <c r="BB625" s="43"/>
      <c r="BC625" s="43"/>
      <c r="BD625" s="43"/>
      <c r="BE625" s="43"/>
      <c r="BF625" s="43"/>
      <c r="BG625" s="43"/>
      <c r="BH625" s="43"/>
      <c r="BI625" s="43"/>
      <c r="BJ625" s="43"/>
      <c r="BK625" s="43"/>
      <c r="BL625" s="43"/>
      <c r="BM625" s="43"/>
      <c r="BN625" s="43">
        <f t="shared" si="17"/>
        <v>5.57E-2</v>
      </c>
      <c r="BO625" s="43">
        <f t="shared" si="18"/>
        <v>2004</v>
      </c>
    </row>
    <row r="626" spans="2:67" x14ac:dyDescent="0.75">
      <c r="B626" s="43" t="s">
        <v>530</v>
      </c>
      <c r="C626" s="43" t="s">
        <v>40</v>
      </c>
      <c r="D626" s="43" t="s">
        <v>758</v>
      </c>
      <c r="E626" s="43" t="s">
        <v>757</v>
      </c>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v>3.7835999999999999</v>
      </c>
      <c r="AK626" s="43">
        <v>3.8906999999999998</v>
      </c>
      <c r="AL626" s="43">
        <v>3.9502999999999999</v>
      </c>
      <c r="AM626" s="43">
        <v>4.0186000000000002</v>
      </c>
      <c r="AN626" s="43">
        <v>4.0762</v>
      </c>
      <c r="AO626" s="43">
        <v>4.0773999999999999</v>
      </c>
      <c r="AP626" s="43">
        <v>4.1379999999999999</v>
      </c>
      <c r="AQ626" s="43">
        <v>4.1921999999999997</v>
      </c>
      <c r="AR626" s="43">
        <v>4.2561999999999998</v>
      </c>
      <c r="AS626" s="43">
        <v>4.3147000000000002</v>
      </c>
      <c r="AT626" s="43">
        <v>4.3769</v>
      </c>
      <c r="AU626" s="43">
        <v>4.3586999999999998</v>
      </c>
      <c r="AV626" s="43">
        <v>4.4279000000000002</v>
      </c>
      <c r="AW626" s="43">
        <v>4.4701000000000004</v>
      </c>
      <c r="AX626" s="43">
        <v>4.4904000000000002</v>
      </c>
      <c r="AY626" s="43">
        <v>4.5210999999999997</v>
      </c>
      <c r="AZ626" s="43">
        <v>4.5407999999999999</v>
      </c>
      <c r="BA626" s="43">
        <v>4.5842999999999998</v>
      </c>
      <c r="BB626" s="43">
        <v>4.6519000000000004</v>
      </c>
      <c r="BC626" s="43">
        <v>4.7127999999999997</v>
      </c>
      <c r="BD626" s="43">
        <v>3.7408999999999999</v>
      </c>
      <c r="BE626" s="43">
        <v>3.8216000000000001</v>
      </c>
      <c r="BF626" s="43">
        <v>3.8165</v>
      </c>
      <c r="BG626" s="43">
        <v>3.8046000000000002</v>
      </c>
      <c r="BH626" s="43">
        <v>3.7974999999999999</v>
      </c>
      <c r="BI626" s="43">
        <v>3.8492999999999999</v>
      </c>
      <c r="BJ626" s="43">
        <v>4.0690999999999997</v>
      </c>
      <c r="BK626" s="43"/>
      <c r="BL626" s="43"/>
      <c r="BM626" s="43"/>
      <c r="BN626" s="43">
        <f t="shared" si="17"/>
        <v>4.0690999999999997</v>
      </c>
      <c r="BO626" s="43">
        <f t="shared" si="18"/>
        <v>2016</v>
      </c>
    </row>
    <row r="627" spans="2:67" x14ac:dyDescent="0.75">
      <c r="B627" s="43" t="s">
        <v>379</v>
      </c>
      <c r="C627" s="43" t="s">
        <v>41</v>
      </c>
      <c r="D627" s="43" t="s">
        <v>758</v>
      </c>
      <c r="E627" s="43" t="s">
        <v>757</v>
      </c>
      <c r="F627" s="43"/>
      <c r="G627" s="43"/>
      <c r="H627" s="43"/>
      <c r="I627" s="43"/>
      <c r="J627" s="43"/>
      <c r="K627" s="43"/>
      <c r="L627" s="43"/>
      <c r="M627" s="43"/>
      <c r="N627" s="43"/>
      <c r="O627" s="43"/>
      <c r="P627" s="43"/>
      <c r="Q627" s="43"/>
      <c r="R627" s="43"/>
      <c r="S627" s="43"/>
      <c r="T627" s="43"/>
      <c r="U627" s="43"/>
      <c r="V627" s="43"/>
      <c r="W627" s="43"/>
      <c r="X627" s="43"/>
      <c r="Y627" s="43"/>
      <c r="Z627" s="43">
        <v>2.9380000000000002</v>
      </c>
      <c r="AA627" s="43"/>
      <c r="AB627" s="43"/>
      <c r="AC627" s="43"/>
      <c r="AD627" s="43"/>
      <c r="AE627" s="43">
        <v>3.35</v>
      </c>
      <c r="AF627" s="43">
        <v>3.4079999999999999</v>
      </c>
      <c r="AG627" s="43">
        <v>3.484</v>
      </c>
      <c r="AH627" s="43">
        <v>3.4849999999999999</v>
      </c>
      <c r="AI627" s="43">
        <v>3.49</v>
      </c>
      <c r="AJ627" s="43">
        <v>3.504</v>
      </c>
      <c r="AK627" s="43">
        <v>3.536</v>
      </c>
      <c r="AL627" s="43">
        <v>3.2639999999999998</v>
      </c>
      <c r="AM627" s="43">
        <v>3.2069999999999999</v>
      </c>
      <c r="AN627" s="43">
        <v>3.2</v>
      </c>
      <c r="AO627" s="43">
        <v>3.1909999999999998</v>
      </c>
      <c r="AP627" s="43">
        <v>3.1480000000000001</v>
      </c>
      <c r="AQ627" s="43">
        <v>3.1139999999999999</v>
      </c>
      <c r="AR627" s="43">
        <v>3.11</v>
      </c>
      <c r="AS627" s="43">
        <v>3.206</v>
      </c>
      <c r="AT627" s="43">
        <v>4.3727999999999998</v>
      </c>
      <c r="AU627" s="43">
        <v>3.16</v>
      </c>
      <c r="AV627" s="43"/>
      <c r="AW627" s="43"/>
      <c r="AX627" s="43"/>
      <c r="AY627" s="43"/>
      <c r="AZ627" s="43">
        <v>3.33</v>
      </c>
      <c r="BA627" s="43"/>
      <c r="BB627" s="43">
        <v>3.4089999999999998</v>
      </c>
      <c r="BC627" s="43"/>
      <c r="BD627" s="43">
        <v>3.2422</v>
      </c>
      <c r="BE627" s="43">
        <v>3.2911999999999999</v>
      </c>
      <c r="BF627" s="43">
        <v>3.278</v>
      </c>
      <c r="BG627" s="43">
        <v>3.3254999999999999</v>
      </c>
      <c r="BH627" s="43">
        <v>3.3100999999999998</v>
      </c>
      <c r="BI627" s="43">
        <v>3.4152</v>
      </c>
      <c r="BJ627" s="43">
        <v>3.4651000000000001</v>
      </c>
      <c r="BK627" s="43"/>
      <c r="BL627" s="43"/>
      <c r="BM627" s="43"/>
      <c r="BN627" s="43">
        <f t="shared" si="17"/>
        <v>3.4651000000000001</v>
      </c>
      <c r="BO627" s="43">
        <f t="shared" si="18"/>
        <v>2016</v>
      </c>
    </row>
    <row r="628" spans="2:67" x14ac:dyDescent="0.75">
      <c r="B628" s="43" t="s">
        <v>194</v>
      </c>
      <c r="C628" s="43" t="s">
        <v>42</v>
      </c>
      <c r="D628" s="43" t="s">
        <v>758</v>
      </c>
      <c r="E628" s="43" t="s">
        <v>757</v>
      </c>
      <c r="F628" s="43">
        <v>8.9999999999999993E-3</v>
      </c>
      <c r="G628" s="43"/>
      <c r="H628" s="43"/>
      <c r="I628" s="43"/>
      <c r="J628" s="43"/>
      <c r="K628" s="43">
        <v>1.4E-2</v>
      </c>
      <c r="L628" s="43"/>
      <c r="M628" s="43"/>
      <c r="N628" s="43"/>
      <c r="O628" s="43"/>
      <c r="P628" s="43">
        <v>1.2E-2</v>
      </c>
      <c r="Q628" s="43"/>
      <c r="R628" s="43"/>
      <c r="S628" s="43"/>
      <c r="T628" s="43"/>
      <c r="U628" s="43">
        <v>1.2E-2</v>
      </c>
      <c r="V628" s="43"/>
      <c r="W628" s="43"/>
      <c r="X628" s="43"/>
      <c r="Y628" s="43"/>
      <c r="Z628" s="43">
        <v>1.0999999999999999E-2</v>
      </c>
      <c r="AA628" s="43">
        <v>1.0999999999999999E-2</v>
      </c>
      <c r="AB628" s="43"/>
      <c r="AC628" s="43"/>
      <c r="AD628" s="43">
        <v>1.2999999999999999E-2</v>
      </c>
      <c r="AE628" s="43"/>
      <c r="AF628" s="43"/>
      <c r="AG628" s="43"/>
      <c r="AH628" s="43">
        <v>3.1E-2</v>
      </c>
      <c r="AI628" s="43"/>
      <c r="AJ628" s="43"/>
      <c r="AK628" s="43"/>
      <c r="AL628" s="43"/>
      <c r="AM628" s="43"/>
      <c r="AN628" s="43">
        <v>2.9000000000000001E-2</v>
      </c>
      <c r="AO628" s="43"/>
      <c r="AP628" s="43">
        <v>2.5000000000000001E-2</v>
      </c>
      <c r="AQ628" s="43">
        <v>2.3E-2</v>
      </c>
      <c r="AR628" s="43">
        <v>2.1000000000000001E-2</v>
      </c>
      <c r="AS628" s="43">
        <v>0.02</v>
      </c>
      <c r="AT628" s="43">
        <v>2.1000000000000001E-2</v>
      </c>
      <c r="AU628" s="43">
        <v>2.8000000000000001E-2</v>
      </c>
      <c r="AV628" s="43">
        <v>2.9000000000000001E-2</v>
      </c>
      <c r="AW628" s="43">
        <v>2.6700000000000002E-2</v>
      </c>
      <c r="AX628" s="43">
        <v>2.6700000000000002E-2</v>
      </c>
      <c r="AY628" s="43">
        <v>3.2000000000000001E-2</v>
      </c>
      <c r="AZ628" s="43">
        <v>2.6800000000000001E-2</v>
      </c>
      <c r="BA628" s="43">
        <v>2.23E-2</v>
      </c>
      <c r="BB628" s="43">
        <v>2.5100000000000001E-2</v>
      </c>
      <c r="BC628" s="43">
        <v>2.52E-2</v>
      </c>
      <c r="BD628" s="43">
        <v>2.1999999999999999E-2</v>
      </c>
      <c r="BE628" s="43"/>
      <c r="BF628" s="43"/>
      <c r="BG628" s="43"/>
      <c r="BH628" s="43"/>
      <c r="BI628" s="43"/>
      <c r="BJ628" s="43"/>
      <c r="BK628" s="43">
        <v>0.1</v>
      </c>
      <c r="BL628" s="43"/>
      <c r="BM628" s="43"/>
      <c r="BN628" s="43">
        <f t="shared" si="17"/>
        <v>0.1</v>
      </c>
      <c r="BO628" s="43">
        <f t="shared" si="18"/>
        <v>2017</v>
      </c>
    </row>
    <row r="629" spans="2:67" x14ac:dyDescent="0.75">
      <c r="B629" s="43" t="s">
        <v>389</v>
      </c>
      <c r="C629" s="43" t="s">
        <v>390</v>
      </c>
      <c r="D629" s="43" t="s">
        <v>758</v>
      </c>
      <c r="E629" s="43" t="s">
        <v>757</v>
      </c>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v>2.6607423815373603</v>
      </c>
      <c r="AK629" s="43"/>
      <c r="AL629" s="43"/>
      <c r="AM629" s="43"/>
      <c r="AN629" s="43"/>
      <c r="AO629" s="43"/>
      <c r="AP629" s="43"/>
      <c r="AQ629" s="43"/>
      <c r="AR629" s="43"/>
      <c r="AS629" s="43"/>
      <c r="AT629" s="43">
        <v>3.1704253691017117</v>
      </c>
      <c r="AU629" s="43"/>
      <c r="AV629" s="43"/>
      <c r="AW629" s="43"/>
      <c r="AX629" s="43"/>
      <c r="AY629" s="43"/>
      <c r="AZ629" s="43"/>
      <c r="BA629" s="43"/>
      <c r="BB629" s="43"/>
      <c r="BC629" s="43"/>
      <c r="BD629" s="43"/>
      <c r="BE629" s="43"/>
      <c r="BF629" s="43"/>
      <c r="BG629" s="43"/>
      <c r="BH629" s="43"/>
      <c r="BI629" s="43">
        <v>3.5742495045037481</v>
      </c>
      <c r="BJ629" s="43"/>
      <c r="BK629" s="43"/>
      <c r="BL629" s="43"/>
      <c r="BM629" s="43"/>
      <c r="BN629" s="43">
        <f t="shared" si="17"/>
        <v>3.5742495045037481</v>
      </c>
      <c r="BO629" s="43">
        <f t="shared" si="18"/>
        <v>2015</v>
      </c>
    </row>
    <row r="630" spans="2:67" x14ac:dyDescent="0.75">
      <c r="B630" s="43" t="s">
        <v>394</v>
      </c>
      <c r="C630" s="43" t="s">
        <v>395</v>
      </c>
      <c r="D630" s="43" t="s">
        <v>758</v>
      </c>
      <c r="E630" s="43" t="s">
        <v>757</v>
      </c>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v>0.19575425362731189</v>
      </c>
      <c r="AK630" s="43"/>
      <c r="AL630" s="43"/>
      <c r="AM630" s="43"/>
      <c r="AN630" s="43"/>
      <c r="AO630" s="43"/>
      <c r="AP630" s="43"/>
      <c r="AQ630" s="43"/>
      <c r="AR630" s="43"/>
      <c r="AS630" s="43"/>
      <c r="AT630" s="43">
        <v>0.35426913358995793</v>
      </c>
      <c r="AU630" s="43"/>
      <c r="AV630" s="43"/>
      <c r="AW630" s="43"/>
      <c r="AX630" s="43"/>
      <c r="AY630" s="43"/>
      <c r="AZ630" s="43"/>
      <c r="BA630" s="43"/>
      <c r="BB630" s="43"/>
      <c r="BC630" s="43"/>
      <c r="BD630" s="43"/>
      <c r="BE630" s="43"/>
      <c r="BF630" s="43"/>
      <c r="BG630" s="43"/>
      <c r="BH630" s="43"/>
      <c r="BI630" s="43">
        <v>0.39973797980833775</v>
      </c>
      <c r="BJ630" s="43"/>
      <c r="BK630" s="43"/>
      <c r="BL630" s="43"/>
      <c r="BM630" s="43"/>
      <c r="BN630" s="43">
        <f t="shared" si="17"/>
        <v>0.39973797980833775</v>
      </c>
      <c r="BO630" s="43">
        <f t="shared" si="18"/>
        <v>2015</v>
      </c>
    </row>
    <row r="631" spans="2:67" x14ac:dyDescent="0.75">
      <c r="B631" s="43" t="s">
        <v>393</v>
      </c>
      <c r="C631" s="43" t="s">
        <v>43</v>
      </c>
      <c r="D631" s="43" t="s">
        <v>758</v>
      </c>
      <c r="E631" s="43" t="s">
        <v>757</v>
      </c>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v>2</v>
      </c>
      <c r="AK631" s="43">
        <v>2</v>
      </c>
      <c r="AL631" s="43">
        <v>2.1</v>
      </c>
      <c r="AM631" s="43">
        <v>2.1</v>
      </c>
      <c r="AN631" s="43">
        <v>2.2000000000000002</v>
      </c>
      <c r="AO631" s="43">
        <v>2.2000000000000002</v>
      </c>
      <c r="AP631" s="43">
        <v>2.2999999999999998</v>
      </c>
      <c r="AQ631" s="43">
        <v>2.4</v>
      </c>
      <c r="AR631" s="43">
        <v>2.4</v>
      </c>
      <c r="AS631" s="43">
        <v>2.5</v>
      </c>
      <c r="AT631" s="43">
        <v>2.6</v>
      </c>
      <c r="AU631" s="43">
        <v>2.6</v>
      </c>
      <c r="AV631" s="43">
        <v>3.1545999999999998</v>
      </c>
      <c r="AW631" s="43">
        <v>2.6</v>
      </c>
      <c r="AX631" s="43"/>
      <c r="AY631" s="43"/>
      <c r="AZ631" s="43">
        <v>3.3</v>
      </c>
      <c r="BA631" s="43">
        <v>3.319</v>
      </c>
      <c r="BB631" s="43">
        <v>2.7349999999999999</v>
      </c>
      <c r="BC631" s="43">
        <v>2.8795000000000002</v>
      </c>
      <c r="BD631" s="43">
        <v>2.9874000000000001</v>
      </c>
      <c r="BE631" s="43">
        <v>2.9855999999999998</v>
      </c>
      <c r="BF631" s="43">
        <v>3.0693000000000001</v>
      </c>
      <c r="BG631" s="43">
        <v>3.1482999999999999</v>
      </c>
      <c r="BH631" s="43">
        <v>3.2073</v>
      </c>
      <c r="BI631" s="43"/>
      <c r="BJ631" s="43">
        <v>3.8079999999999998</v>
      </c>
      <c r="BK631" s="43"/>
      <c r="BL631" s="43"/>
      <c r="BM631" s="43"/>
      <c r="BN631" s="43">
        <f t="shared" si="17"/>
        <v>3.8079999999999998</v>
      </c>
      <c r="BO631" s="43">
        <f t="shared" si="18"/>
        <v>2016</v>
      </c>
    </row>
    <row r="632" spans="2:67" x14ac:dyDescent="0.75">
      <c r="B632" s="43" t="s">
        <v>248</v>
      </c>
      <c r="C632" s="43" t="s">
        <v>44</v>
      </c>
      <c r="D632" s="43" t="s">
        <v>758</v>
      </c>
      <c r="E632" s="43" t="s">
        <v>757</v>
      </c>
      <c r="F632" s="43">
        <v>0.495</v>
      </c>
      <c r="G632" s="43"/>
      <c r="H632" s="43"/>
      <c r="I632" s="43"/>
      <c r="J632" s="43"/>
      <c r="K632" s="43"/>
      <c r="L632" s="43"/>
      <c r="M632" s="43"/>
      <c r="N632" s="43"/>
      <c r="O632" s="43"/>
      <c r="P632" s="43">
        <v>0.47099999999999997</v>
      </c>
      <c r="Q632" s="43"/>
      <c r="R632" s="43"/>
      <c r="S632" s="43"/>
      <c r="T632" s="43"/>
      <c r="U632" s="43">
        <v>0.47599999999999998</v>
      </c>
      <c r="V632" s="43"/>
      <c r="W632" s="43"/>
      <c r="X632" s="43"/>
      <c r="Y632" s="43"/>
      <c r="Z632" s="43">
        <v>0.44800000000000001</v>
      </c>
      <c r="AA632" s="43"/>
      <c r="AB632" s="43">
        <v>0.49399999999999999</v>
      </c>
      <c r="AC632" s="43"/>
      <c r="AD632" s="43"/>
      <c r="AE632" s="43"/>
      <c r="AF632" s="43"/>
      <c r="AG632" s="43"/>
      <c r="AH632" s="43"/>
      <c r="AI632" s="43">
        <v>0.35799999999999998</v>
      </c>
      <c r="AJ632" s="43"/>
      <c r="AK632" s="43"/>
      <c r="AL632" s="43">
        <v>0.47199999999999998</v>
      </c>
      <c r="AM632" s="43"/>
      <c r="AN632" s="43">
        <v>0.376</v>
      </c>
      <c r="AO632" s="43"/>
      <c r="AP632" s="43"/>
      <c r="AQ632" s="43">
        <v>0.47599999999999998</v>
      </c>
      <c r="AR632" s="43">
        <v>0.35699999999999998</v>
      </c>
      <c r="AS632" s="43">
        <v>0.33600000000000002</v>
      </c>
      <c r="AT632" s="43"/>
      <c r="AU632" s="43"/>
      <c r="AV632" s="43"/>
      <c r="AW632" s="43">
        <v>0.46529999999999999</v>
      </c>
      <c r="AX632" s="43"/>
      <c r="AY632" s="43"/>
      <c r="AZ632" s="43"/>
      <c r="BA632" s="43"/>
      <c r="BB632" s="43">
        <v>0.39960000000000001</v>
      </c>
      <c r="BC632" s="43">
        <v>0.43659999999999999</v>
      </c>
      <c r="BD632" s="43">
        <v>0.42599999999999999</v>
      </c>
      <c r="BE632" s="43"/>
      <c r="BF632" s="43"/>
      <c r="BG632" s="43">
        <v>0.80249999999999999</v>
      </c>
      <c r="BH632" s="43"/>
      <c r="BI632" s="43">
        <v>0.83740000000000003</v>
      </c>
      <c r="BJ632" s="43"/>
      <c r="BK632" s="43"/>
      <c r="BL632" s="43"/>
      <c r="BM632" s="43"/>
      <c r="BN632" s="43">
        <f t="shared" si="17"/>
        <v>0.83740000000000003</v>
      </c>
      <c r="BO632" s="43">
        <f t="shared" si="18"/>
        <v>2015</v>
      </c>
    </row>
    <row r="633" spans="2:67" x14ac:dyDescent="0.75">
      <c r="B633" s="43" t="s">
        <v>396</v>
      </c>
      <c r="C633" s="43" t="s">
        <v>45</v>
      </c>
      <c r="D633" s="43" t="s">
        <v>758</v>
      </c>
      <c r="E633" s="43" t="s">
        <v>757</v>
      </c>
      <c r="F633" s="43"/>
      <c r="G633" s="43"/>
      <c r="H633" s="43"/>
      <c r="I633" s="43"/>
      <c r="J633" s="43"/>
      <c r="K633" s="43"/>
      <c r="L633" s="43"/>
      <c r="M633" s="43"/>
      <c r="N633" s="43"/>
      <c r="O633" s="43"/>
      <c r="P633" s="43">
        <v>1.2</v>
      </c>
      <c r="Q633" s="43">
        <v>1.3</v>
      </c>
      <c r="R633" s="43">
        <v>1.3</v>
      </c>
      <c r="S633" s="43">
        <v>1.4</v>
      </c>
      <c r="T633" s="43">
        <v>1.4</v>
      </c>
      <c r="U633" s="43">
        <v>1.5</v>
      </c>
      <c r="V633" s="43">
        <v>1.5</v>
      </c>
      <c r="W633" s="43">
        <v>1.6</v>
      </c>
      <c r="X633" s="43">
        <v>1.7</v>
      </c>
      <c r="Y633" s="43">
        <v>1.8</v>
      </c>
      <c r="Z633" s="43">
        <v>1.9</v>
      </c>
      <c r="AA633" s="43">
        <v>2</v>
      </c>
      <c r="AB633" s="43">
        <v>2.1</v>
      </c>
      <c r="AC633" s="43">
        <v>2.1</v>
      </c>
      <c r="AD633" s="43">
        <v>2.5</v>
      </c>
      <c r="AE633" s="43">
        <v>2.7</v>
      </c>
      <c r="AF633" s="43">
        <v>2.8</v>
      </c>
      <c r="AG633" s="43">
        <v>2.8</v>
      </c>
      <c r="AH633" s="43">
        <v>2.9</v>
      </c>
      <c r="AI633" s="43">
        <v>3</v>
      </c>
      <c r="AJ633" s="43">
        <v>3.1</v>
      </c>
      <c r="AK633" s="43">
        <v>3.0661999999999998</v>
      </c>
      <c r="AL633" s="43"/>
      <c r="AM633" s="43"/>
      <c r="AN633" s="43"/>
      <c r="AO633" s="43"/>
      <c r="AP633" s="43">
        <v>3.2222</v>
      </c>
      <c r="AQ633" s="43"/>
      <c r="AR633" s="43"/>
      <c r="AS633" s="43"/>
      <c r="AT633" s="43"/>
      <c r="AU633" s="43"/>
      <c r="AV633" s="43"/>
      <c r="AW633" s="43"/>
      <c r="AX633" s="43"/>
      <c r="AY633" s="43"/>
      <c r="AZ633" s="43"/>
      <c r="BA633" s="43">
        <v>3.6745999999999999</v>
      </c>
      <c r="BB633" s="43"/>
      <c r="BC633" s="43"/>
      <c r="BD633" s="43"/>
      <c r="BE633" s="43">
        <v>3.1560999999999999</v>
      </c>
      <c r="BF633" s="43">
        <v>3.1711</v>
      </c>
      <c r="BG633" s="43">
        <v>3.1835</v>
      </c>
      <c r="BH633" s="43">
        <v>3.2117</v>
      </c>
      <c r="BI633" s="43">
        <v>3.2237</v>
      </c>
      <c r="BJ633" s="43">
        <v>3.2349000000000001</v>
      </c>
      <c r="BK633" s="43"/>
      <c r="BL633" s="43"/>
      <c r="BM633" s="43"/>
      <c r="BN633" s="43">
        <f t="shared" si="17"/>
        <v>3.2349000000000001</v>
      </c>
      <c r="BO633" s="43">
        <f t="shared" si="18"/>
        <v>2016</v>
      </c>
    </row>
    <row r="634" spans="2:67" x14ac:dyDescent="0.75">
      <c r="B634" s="43" t="s">
        <v>391</v>
      </c>
      <c r="C634" s="43" t="s">
        <v>392</v>
      </c>
      <c r="D634" s="43" t="s">
        <v>758</v>
      </c>
      <c r="E634" s="43" t="s">
        <v>757</v>
      </c>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t="str">
        <f t="shared" si="17"/>
        <v>No reported value</v>
      </c>
      <c r="BO634" s="43" t="str">
        <f t="shared" si="18"/>
        <v>No reported value</v>
      </c>
    </row>
    <row r="635" spans="2:67" x14ac:dyDescent="0.75">
      <c r="B635" s="43" t="s">
        <v>464</v>
      </c>
      <c r="C635" s="43" t="s">
        <v>465</v>
      </c>
      <c r="D635" s="43" t="s">
        <v>758</v>
      </c>
      <c r="E635" s="43" t="s">
        <v>757</v>
      </c>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v>0.45100000000000001</v>
      </c>
      <c r="AN635" s="43"/>
      <c r="AO635" s="43"/>
      <c r="AP635" s="43"/>
      <c r="AQ635" s="43"/>
      <c r="AR635" s="43"/>
      <c r="AS635" s="43">
        <v>0.57299999999999995</v>
      </c>
      <c r="AT635" s="43">
        <v>0.59589999999999999</v>
      </c>
      <c r="AU635" s="43"/>
      <c r="AV635" s="43"/>
      <c r="AW635" s="43">
        <v>0.56179999999999997</v>
      </c>
      <c r="AX635" s="43"/>
      <c r="AY635" s="43">
        <v>0.58379999999999999</v>
      </c>
      <c r="AZ635" s="43"/>
      <c r="BA635" s="43"/>
      <c r="BB635" s="43">
        <v>0.61240000000000006</v>
      </c>
      <c r="BC635" s="43">
        <v>0.1923</v>
      </c>
      <c r="BD635" s="43">
        <v>0.17699999999999999</v>
      </c>
      <c r="BE635" s="43"/>
      <c r="BF635" s="43"/>
      <c r="BG635" s="43"/>
      <c r="BH635" s="43"/>
      <c r="BI635" s="43"/>
      <c r="BJ635" s="43"/>
      <c r="BK635" s="43"/>
      <c r="BL635" s="43"/>
      <c r="BM635" s="43"/>
      <c r="BN635" s="43">
        <f t="shared" si="17"/>
        <v>0.17699999999999999</v>
      </c>
      <c r="BO635" s="43">
        <f t="shared" si="18"/>
        <v>2010</v>
      </c>
    </row>
    <row r="636" spans="2:67" x14ac:dyDescent="0.75">
      <c r="B636" s="43" t="s">
        <v>195</v>
      </c>
      <c r="C636" s="43" t="s">
        <v>46</v>
      </c>
      <c r="D636" s="43" t="s">
        <v>758</v>
      </c>
      <c r="E636" s="43" t="s">
        <v>757</v>
      </c>
      <c r="F636" s="43">
        <v>0.11700000000000001</v>
      </c>
      <c r="G636" s="43"/>
      <c r="H636" s="43"/>
      <c r="I636" s="43"/>
      <c r="J636" s="43"/>
      <c r="K636" s="43"/>
      <c r="L636" s="43"/>
      <c r="M636" s="43"/>
      <c r="N636" s="43"/>
      <c r="O636" s="43"/>
      <c r="P636" s="43">
        <v>0.191</v>
      </c>
      <c r="Q636" s="43"/>
      <c r="R636" s="43"/>
      <c r="S636" s="43"/>
      <c r="T636" s="43"/>
      <c r="U636" s="43"/>
      <c r="V636" s="43"/>
      <c r="W636" s="43"/>
      <c r="X636" s="43"/>
      <c r="Y636" s="43"/>
      <c r="Z636" s="43"/>
      <c r="AA636" s="43">
        <v>0.45700000000000002</v>
      </c>
      <c r="AB636" s="43"/>
      <c r="AC636" s="43">
        <v>0.433</v>
      </c>
      <c r="AD636" s="43"/>
      <c r="AE636" s="43">
        <v>0.51800000000000002</v>
      </c>
      <c r="AF636" s="43"/>
      <c r="AG636" s="43"/>
      <c r="AH636" s="43">
        <v>0.246</v>
      </c>
      <c r="AI636" s="43">
        <v>0.49399999999999999</v>
      </c>
      <c r="AJ636" s="43"/>
      <c r="AK636" s="43">
        <v>0.19320000000000001</v>
      </c>
      <c r="AL636" s="43"/>
      <c r="AM636" s="43">
        <v>0.21809999999999999</v>
      </c>
      <c r="AN636" s="43">
        <v>0.2616</v>
      </c>
      <c r="AO636" s="43">
        <v>0.29559999999999997</v>
      </c>
      <c r="AP636" s="43"/>
      <c r="AQ636" s="43"/>
      <c r="AR636" s="43"/>
      <c r="AS636" s="43"/>
      <c r="AT636" s="43"/>
      <c r="AU636" s="43"/>
      <c r="AV636" s="43"/>
      <c r="AW636" s="43"/>
      <c r="AX636" s="43">
        <v>0.28949999999999998</v>
      </c>
      <c r="AY636" s="43"/>
      <c r="AZ636" s="43"/>
      <c r="BA636" s="43"/>
      <c r="BB636" s="43"/>
      <c r="BC636" s="43"/>
      <c r="BD636" s="43"/>
      <c r="BE636" s="43"/>
      <c r="BF636" s="43"/>
      <c r="BG636" s="43"/>
      <c r="BH636" s="43"/>
      <c r="BI636" s="43"/>
      <c r="BJ636" s="43">
        <v>0.36109999999999998</v>
      </c>
      <c r="BK636" s="43"/>
      <c r="BL636" s="43"/>
      <c r="BM636" s="43"/>
      <c r="BN636" s="43">
        <f t="shared" si="17"/>
        <v>0.36109999999999998</v>
      </c>
      <c r="BO636" s="43">
        <f t="shared" si="18"/>
        <v>2016</v>
      </c>
    </row>
    <row r="637" spans="2:67" x14ac:dyDescent="0.75">
      <c r="B637" s="43" t="s">
        <v>556</v>
      </c>
      <c r="C637" s="43" t="s">
        <v>47</v>
      </c>
      <c r="D637" s="43" t="s">
        <v>758</v>
      </c>
      <c r="E637" s="43" t="s">
        <v>757</v>
      </c>
      <c r="F637" s="43">
        <v>0.8</v>
      </c>
      <c r="G637" s="43">
        <v>0.9</v>
      </c>
      <c r="H637" s="43">
        <v>0.9</v>
      </c>
      <c r="I637" s="43">
        <v>0.9</v>
      </c>
      <c r="J637" s="43">
        <v>0.9</v>
      </c>
      <c r="K637" s="43">
        <v>0.9</v>
      </c>
      <c r="L637" s="43">
        <v>0.9</v>
      </c>
      <c r="M637" s="43">
        <v>0.9</v>
      </c>
      <c r="N637" s="43">
        <v>0.9</v>
      </c>
      <c r="O637" s="43">
        <v>0.9</v>
      </c>
      <c r="P637" s="43">
        <v>0.9</v>
      </c>
      <c r="Q637" s="43">
        <v>1</v>
      </c>
      <c r="R637" s="43">
        <v>1</v>
      </c>
      <c r="S637" s="43">
        <v>1.1000000000000001</v>
      </c>
      <c r="T637" s="43">
        <v>1.1000000000000001</v>
      </c>
      <c r="U637" s="43">
        <v>1.1000000000000001</v>
      </c>
      <c r="V637" s="43">
        <v>1.2</v>
      </c>
      <c r="W637" s="43">
        <v>1.2</v>
      </c>
      <c r="X637" s="43">
        <v>1.2</v>
      </c>
      <c r="Y637" s="43">
        <v>1.3</v>
      </c>
      <c r="Z637" s="43">
        <v>1.3</v>
      </c>
      <c r="AA637" s="43">
        <v>1.3</v>
      </c>
      <c r="AB637" s="43">
        <v>1.3</v>
      </c>
      <c r="AC637" s="43">
        <v>1.4</v>
      </c>
      <c r="AD637" s="43">
        <v>1.4</v>
      </c>
      <c r="AE637" s="43">
        <v>1.4</v>
      </c>
      <c r="AF637" s="43">
        <v>1.4</v>
      </c>
      <c r="AG637" s="43">
        <v>1.5</v>
      </c>
      <c r="AH637" s="43">
        <v>1.5</v>
      </c>
      <c r="AI637" s="43">
        <v>1.5</v>
      </c>
      <c r="AJ637" s="43">
        <v>1.6</v>
      </c>
      <c r="AK637" s="43">
        <v>1.6</v>
      </c>
      <c r="AL637" s="43">
        <v>1.6</v>
      </c>
      <c r="AM637" s="43">
        <v>1.7</v>
      </c>
      <c r="AN637" s="43">
        <v>1.7</v>
      </c>
      <c r="AO637" s="43">
        <v>1.7</v>
      </c>
      <c r="AP637" s="43">
        <v>1.8</v>
      </c>
      <c r="AQ637" s="43">
        <v>2.2905000000000002</v>
      </c>
      <c r="AR637" s="43">
        <v>1.9</v>
      </c>
      <c r="AS637" s="43">
        <v>1.9</v>
      </c>
      <c r="AT637" s="43">
        <v>1.9</v>
      </c>
      <c r="AU637" s="43">
        <v>2</v>
      </c>
      <c r="AV637" s="43">
        <v>2.2999999999999998</v>
      </c>
      <c r="AW637" s="43">
        <v>2.2000000000000002</v>
      </c>
      <c r="AX637" s="43"/>
      <c r="AY637" s="43"/>
      <c r="AZ637" s="43"/>
      <c r="BA637" s="43"/>
      <c r="BB637" s="43"/>
      <c r="BC637" s="43"/>
      <c r="BD637" s="43">
        <v>2.6724000000000001</v>
      </c>
      <c r="BE637" s="43">
        <v>2.7176</v>
      </c>
      <c r="BF637" s="43">
        <v>2.7279</v>
      </c>
      <c r="BG637" s="43">
        <v>2.7484999999999999</v>
      </c>
      <c r="BH637" s="43">
        <v>2.7768999999999999</v>
      </c>
      <c r="BI637" s="43">
        <v>2.778</v>
      </c>
      <c r="BJ637" s="43">
        <v>2.7959000000000001</v>
      </c>
      <c r="BK637" s="43">
        <v>2.8058000000000001</v>
      </c>
      <c r="BL637" s="43"/>
      <c r="BM637" s="43"/>
      <c r="BN637" s="43">
        <f t="shared" si="17"/>
        <v>2.8058000000000001</v>
      </c>
      <c r="BO637" s="43">
        <f t="shared" si="18"/>
        <v>2017</v>
      </c>
    </row>
    <row r="638" spans="2:67" x14ac:dyDescent="0.75">
      <c r="B638" s="43" t="s">
        <v>236</v>
      </c>
      <c r="C638" s="43" t="s">
        <v>48</v>
      </c>
      <c r="D638" s="43" t="s">
        <v>758</v>
      </c>
      <c r="E638" s="43" t="s">
        <v>757</v>
      </c>
      <c r="F638" s="43"/>
      <c r="G638" s="43"/>
      <c r="H638" s="43"/>
      <c r="I638" s="43"/>
      <c r="J638" s="43"/>
      <c r="K638" s="43"/>
      <c r="L638" s="43"/>
      <c r="M638" s="43"/>
      <c r="N638" s="43"/>
      <c r="O638" s="43"/>
      <c r="P638" s="43">
        <v>3.2</v>
      </c>
      <c r="Q638" s="43">
        <v>3.3</v>
      </c>
      <c r="R638" s="43">
        <v>3.32</v>
      </c>
      <c r="S638" s="43">
        <v>3.4</v>
      </c>
      <c r="T638" s="43">
        <v>3.4750000000000001</v>
      </c>
      <c r="U638" s="43">
        <v>3.63</v>
      </c>
      <c r="V638" s="43">
        <v>3.72</v>
      </c>
      <c r="W638" s="43">
        <v>3.81</v>
      </c>
      <c r="X638" s="43">
        <v>3.95</v>
      </c>
      <c r="Y638" s="43">
        <v>4</v>
      </c>
      <c r="Z638" s="43">
        <v>4.1230000000000002</v>
      </c>
      <c r="AA638" s="43">
        <v>4.2119999999999997</v>
      </c>
      <c r="AB638" s="43">
        <v>4.319</v>
      </c>
      <c r="AC638" s="43">
        <v>4.3330000000000002</v>
      </c>
      <c r="AD638" s="43">
        <v>4.4710000000000001</v>
      </c>
      <c r="AE638" s="43">
        <v>4.6109999999999998</v>
      </c>
      <c r="AF638" s="43">
        <v>4.6989999999999998</v>
      </c>
      <c r="AG638" s="43">
        <v>4.8079999999999998</v>
      </c>
      <c r="AH638" s="43">
        <v>4.8680000000000003</v>
      </c>
      <c r="AI638" s="43">
        <v>4.9710000000000001</v>
      </c>
      <c r="AJ638" s="43">
        <v>4.9260000000000002</v>
      </c>
      <c r="AK638" s="43">
        <v>4.8979999999999997</v>
      </c>
      <c r="AL638" s="43">
        <v>4.726</v>
      </c>
      <c r="AM638" s="43">
        <v>5.0030000000000001</v>
      </c>
      <c r="AN638" s="43">
        <v>4.899</v>
      </c>
      <c r="AO638" s="43">
        <v>4.7919999999999998</v>
      </c>
      <c r="AP638" s="43">
        <v>4.4569999999999999</v>
      </c>
      <c r="AQ638" s="43">
        <v>5.1920000000000002</v>
      </c>
      <c r="AR638" s="43">
        <v>5.0419999999999998</v>
      </c>
      <c r="AS638" s="43">
        <v>3.7679999999999998</v>
      </c>
      <c r="AT638" s="43">
        <v>4.7309999999999999</v>
      </c>
      <c r="AU638" s="43">
        <v>4.2949999999999999</v>
      </c>
      <c r="AV638" s="43">
        <v>3.907</v>
      </c>
      <c r="AW638" s="43">
        <v>4.0890000000000004</v>
      </c>
      <c r="AX638" s="43"/>
      <c r="AY638" s="43"/>
      <c r="AZ638" s="43">
        <v>4.6500000000000004</v>
      </c>
      <c r="BA638" s="43">
        <v>4.5380000000000003</v>
      </c>
      <c r="BB638" s="43">
        <v>4.6661000000000001</v>
      </c>
      <c r="BC638" s="43">
        <v>4.8064999999999998</v>
      </c>
      <c r="BD638" s="43">
        <v>4.3072999999999997</v>
      </c>
      <c r="BE638" s="43">
        <v>4.4028999999999998</v>
      </c>
      <c r="BF638" s="43">
        <v>4.4391999999999996</v>
      </c>
      <c r="BG638" s="43">
        <v>4.5176999999999996</v>
      </c>
      <c r="BH638" s="43">
        <v>4.8266999999999998</v>
      </c>
      <c r="BI638" s="43">
        <v>5.0975999999999999</v>
      </c>
      <c r="BJ638" s="43"/>
      <c r="BK638" s="43"/>
      <c r="BL638" s="43"/>
      <c r="BM638" s="43"/>
      <c r="BN638" s="43">
        <f t="shared" si="17"/>
        <v>5.0975999999999999</v>
      </c>
      <c r="BO638" s="43">
        <f t="shared" si="18"/>
        <v>2015</v>
      </c>
    </row>
    <row r="639" spans="2:67" x14ac:dyDescent="0.75">
      <c r="B639" s="43" t="s">
        <v>196</v>
      </c>
      <c r="C639" s="43" t="s">
        <v>162</v>
      </c>
      <c r="D639" s="43" t="s">
        <v>758</v>
      </c>
      <c r="E639" s="43" t="s">
        <v>757</v>
      </c>
      <c r="F639" s="43">
        <v>4.7E-2</v>
      </c>
      <c r="G639" s="43"/>
      <c r="H639" s="43"/>
      <c r="I639" s="43"/>
      <c r="J639" s="43"/>
      <c r="K639" s="43">
        <v>7.2999999999999995E-2</v>
      </c>
      <c r="L639" s="43"/>
      <c r="M639" s="43"/>
      <c r="N639" s="43"/>
      <c r="O639" s="43"/>
      <c r="P639" s="43">
        <v>7.8E-2</v>
      </c>
      <c r="Q639" s="43"/>
      <c r="R639" s="43"/>
      <c r="S639" s="43"/>
      <c r="T639" s="43"/>
      <c r="U639" s="43">
        <v>7.8E-2</v>
      </c>
      <c r="V639" s="43"/>
      <c r="W639" s="43"/>
      <c r="X639" s="43"/>
      <c r="Y639" s="43"/>
      <c r="Z639" s="43"/>
      <c r="AA639" s="43"/>
      <c r="AB639" s="43"/>
      <c r="AC639" s="43"/>
      <c r="AD639" s="43">
        <v>6.7000000000000004E-2</v>
      </c>
      <c r="AE639" s="43"/>
      <c r="AF639" s="43"/>
      <c r="AG639" s="43">
        <v>4.9000000000000002E-2</v>
      </c>
      <c r="AH639" s="43"/>
      <c r="AI639" s="43">
        <v>4.2999999999999997E-2</v>
      </c>
      <c r="AJ639" s="43"/>
      <c r="AK639" s="43"/>
      <c r="AL639" s="43"/>
      <c r="AM639" s="43"/>
      <c r="AN639" s="43"/>
      <c r="AO639" s="43"/>
      <c r="AP639" s="43">
        <v>6.2E-2</v>
      </c>
      <c r="AQ639" s="43"/>
      <c r="AR639" s="43"/>
      <c r="AS639" s="43"/>
      <c r="AT639" s="43"/>
      <c r="AU639" s="43"/>
      <c r="AV639" s="43">
        <v>0.09</v>
      </c>
      <c r="AW639" s="43"/>
      <c r="AX639" s="43">
        <v>0.15440000000000001</v>
      </c>
      <c r="AY639" s="43"/>
      <c r="AZ639" s="43"/>
      <c r="BA639" s="43">
        <v>7.3300000000000004E-2</v>
      </c>
      <c r="BB639" s="43">
        <v>0.111</v>
      </c>
      <c r="BC639" s="43">
        <v>8.5000000000000006E-2</v>
      </c>
      <c r="BD639" s="43">
        <v>9.4899999999999998E-2</v>
      </c>
      <c r="BE639" s="43"/>
      <c r="BF639" s="43"/>
      <c r="BG639" s="43">
        <v>0.1686</v>
      </c>
      <c r="BH639" s="43"/>
      <c r="BI639" s="43"/>
      <c r="BJ639" s="43">
        <v>0.1283</v>
      </c>
      <c r="BK639" s="43">
        <v>0.18</v>
      </c>
      <c r="BL639" s="43"/>
      <c r="BM639" s="43"/>
      <c r="BN639" s="43">
        <f t="shared" si="17"/>
        <v>0.18</v>
      </c>
      <c r="BO639" s="43">
        <f t="shared" si="18"/>
        <v>2017</v>
      </c>
    </row>
    <row r="640" spans="2:67" x14ac:dyDescent="0.75">
      <c r="B640" s="43" t="s">
        <v>401</v>
      </c>
      <c r="C640" s="43" t="s">
        <v>402</v>
      </c>
      <c r="D640" s="43" t="s">
        <v>758</v>
      </c>
      <c r="E640" s="43" t="s">
        <v>757</v>
      </c>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t="str">
        <f t="shared" si="17"/>
        <v>No reported value</v>
      </c>
      <c r="BO640" s="43" t="str">
        <f t="shared" si="18"/>
        <v>No reported value</v>
      </c>
    </row>
    <row r="641" spans="2:67" x14ac:dyDescent="0.75">
      <c r="B641" s="43" t="s">
        <v>197</v>
      </c>
      <c r="C641" s="43" t="s">
        <v>49</v>
      </c>
      <c r="D641" s="43" t="s">
        <v>758</v>
      </c>
      <c r="E641" s="43" t="s">
        <v>757</v>
      </c>
      <c r="F641" s="43">
        <v>3.5999999999999997E-2</v>
      </c>
      <c r="G641" s="43"/>
      <c r="H641" s="43"/>
      <c r="I641" s="43"/>
      <c r="J641" s="43"/>
      <c r="K641" s="43">
        <v>2.1999999999999999E-2</v>
      </c>
      <c r="L641" s="43"/>
      <c r="M641" s="43"/>
      <c r="N641" s="43"/>
      <c r="O641" s="43"/>
      <c r="P641" s="43">
        <v>0.02</v>
      </c>
      <c r="Q641" s="43"/>
      <c r="R641" s="43"/>
      <c r="S641" s="43"/>
      <c r="T641" s="43"/>
      <c r="U641" s="43"/>
      <c r="V641" s="43"/>
      <c r="W641" s="43"/>
      <c r="X641" s="43"/>
      <c r="Y641" s="43"/>
      <c r="Z641" s="43"/>
      <c r="AA641" s="43">
        <v>2.1999999999999999E-2</v>
      </c>
      <c r="AB641" s="43">
        <v>2.1999999999999999E-2</v>
      </c>
      <c r="AC641" s="43"/>
      <c r="AD641" s="43"/>
      <c r="AE641" s="43">
        <v>2.5999999999999999E-2</v>
      </c>
      <c r="AF641" s="43"/>
      <c r="AG641" s="43"/>
      <c r="AH641" s="43"/>
      <c r="AI641" s="43"/>
      <c r="AJ641" s="43">
        <v>0.13400000000000001</v>
      </c>
      <c r="AK641" s="43"/>
      <c r="AL641" s="43"/>
      <c r="AM641" s="43"/>
      <c r="AN641" s="43">
        <v>0.152</v>
      </c>
      <c r="AO641" s="43">
        <v>0.13</v>
      </c>
      <c r="AP641" s="43"/>
      <c r="AQ641" s="43"/>
      <c r="AR641" s="43"/>
      <c r="AS641" s="43"/>
      <c r="AT641" s="43">
        <v>8.6699999999999999E-2</v>
      </c>
      <c r="AU641" s="43"/>
      <c r="AV641" s="43"/>
      <c r="AW641" s="43"/>
      <c r="AX641" s="43">
        <v>0.104</v>
      </c>
      <c r="AY641" s="43">
        <v>9.7100000000000006E-2</v>
      </c>
      <c r="AZ641" s="43"/>
      <c r="BA641" s="43"/>
      <c r="BB641" s="43"/>
      <c r="BC641" s="43"/>
      <c r="BD641" s="43">
        <v>0.1</v>
      </c>
      <c r="BE641" s="43"/>
      <c r="BF641" s="43"/>
      <c r="BG641" s="43"/>
      <c r="BH641" s="43"/>
      <c r="BI641" s="43"/>
      <c r="BJ641" s="43">
        <v>7.8799999999999995E-2</v>
      </c>
      <c r="BK641" s="43"/>
      <c r="BL641" s="43"/>
      <c r="BM641" s="43"/>
      <c r="BN641" s="43">
        <f t="shared" si="17"/>
        <v>7.8799999999999995E-2</v>
      </c>
      <c r="BO641" s="43">
        <f t="shared" si="18"/>
        <v>2016</v>
      </c>
    </row>
    <row r="642" spans="2:67" x14ac:dyDescent="0.75">
      <c r="B642" s="43" t="s">
        <v>399</v>
      </c>
      <c r="C642" s="43" t="s">
        <v>50</v>
      </c>
      <c r="D642" s="43" t="s">
        <v>758</v>
      </c>
      <c r="E642" s="43" t="s">
        <v>757</v>
      </c>
      <c r="F642" s="43">
        <v>4.2999999999999997E-2</v>
      </c>
      <c r="G642" s="43"/>
      <c r="H642" s="43"/>
      <c r="I642" s="43"/>
      <c r="J642" s="43"/>
      <c r="K642" s="43"/>
      <c r="L642" s="43"/>
      <c r="M642" s="43"/>
      <c r="N642" s="43"/>
      <c r="O642" s="43"/>
      <c r="P642" s="43">
        <v>4.1000000000000002E-2</v>
      </c>
      <c r="Q642" s="43"/>
      <c r="R642" s="43"/>
      <c r="S642" s="43"/>
      <c r="T642" s="43"/>
      <c r="U642" s="43">
        <v>0.04</v>
      </c>
      <c r="V642" s="43"/>
      <c r="W642" s="43"/>
      <c r="X642" s="43"/>
      <c r="Y642" s="43"/>
      <c r="Z642" s="43"/>
      <c r="AA642" s="43"/>
      <c r="AB642" s="43"/>
      <c r="AC642" s="43"/>
      <c r="AD642" s="43"/>
      <c r="AE642" s="43">
        <v>8.1000000000000003E-2</v>
      </c>
      <c r="AF642" s="43"/>
      <c r="AG642" s="43"/>
      <c r="AH642" s="43"/>
      <c r="AI642" s="43"/>
      <c r="AJ642" s="43"/>
      <c r="AK642" s="43"/>
      <c r="AL642" s="43"/>
      <c r="AM642" s="43">
        <v>1.6E-2</v>
      </c>
      <c r="AN642" s="43"/>
      <c r="AO642" s="43"/>
      <c r="AP642" s="43"/>
      <c r="AQ642" s="43">
        <v>3.5000000000000003E-2</v>
      </c>
      <c r="AR642" s="43"/>
      <c r="AS642" s="43"/>
      <c r="AT642" s="43"/>
      <c r="AU642" s="43"/>
      <c r="AV642" s="43"/>
      <c r="AW642" s="43">
        <v>0.1152</v>
      </c>
      <c r="AX642" s="43">
        <v>0.1187</v>
      </c>
      <c r="AY642" s="43">
        <v>0.1149</v>
      </c>
      <c r="AZ642" s="43">
        <v>0.1174</v>
      </c>
      <c r="BA642" s="43">
        <v>0.1033</v>
      </c>
      <c r="BB642" s="43">
        <v>0.11020000000000001</v>
      </c>
      <c r="BC642" s="43"/>
      <c r="BD642" s="43">
        <v>3.7999999999999999E-2</v>
      </c>
      <c r="BE642" s="43"/>
      <c r="BF642" s="43"/>
      <c r="BG642" s="43"/>
      <c r="BH642" s="43"/>
      <c r="BI642" s="43">
        <v>0.1077</v>
      </c>
      <c r="BJ642" s="43"/>
      <c r="BK642" s="43"/>
      <c r="BL642" s="43"/>
      <c r="BM642" s="43"/>
      <c r="BN642" s="43">
        <f t="shared" si="17"/>
        <v>0.1077</v>
      </c>
      <c r="BO642" s="43">
        <f t="shared" si="18"/>
        <v>2015</v>
      </c>
    </row>
    <row r="643" spans="2:67" x14ac:dyDescent="0.75">
      <c r="B643" s="43" t="s">
        <v>198</v>
      </c>
      <c r="C643" s="43" t="s">
        <v>172</v>
      </c>
      <c r="D643" s="43" t="s">
        <v>758</v>
      </c>
      <c r="E643" s="43" t="s">
        <v>757</v>
      </c>
      <c r="F643" s="43">
        <v>4.4999999999999998E-2</v>
      </c>
      <c r="G643" s="43"/>
      <c r="H643" s="43"/>
      <c r="I643" s="43"/>
      <c r="J643" s="43"/>
      <c r="K643" s="43"/>
      <c r="L643" s="43"/>
      <c r="M643" s="43"/>
      <c r="N643" s="43"/>
      <c r="O643" s="43"/>
      <c r="P643" s="43">
        <v>5.1999999999999998E-2</v>
      </c>
      <c r="Q643" s="43"/>
      <c r="R643" s="43"/>
      <c r="S643" s="43"/>
      <c r="T643" s="43"/>
      <c r="U643" s="43"/>
      <c r="V643" s="43"/>
      <c r="W643" s="43"/>
      <c r="X643" s="43"/>
      <c r="Y643" s="43"/>
      <c r="Z643" s="43">
        <v>0.14099999999999999</v>
      </c>
      <c r="AA643" s="43"/>
      <c r="AB643" s="43"/>
      <c r="AC643" s="43"/>
      <c r="AD643" s="43"/>
      <c r="AE643" s="43">
        <v>0.14399999999999999</v>
      </c>
      <c r="AF643" s="43"/>
      <c r="AG643" s="43"/>
      <c r="AH643" s="43"/>
      <c r="AI643" s="43"/>
      <c r="AJ643" s="43"/>
      <c r="AK643" s="43"/>
      <c r="AL643" s="43"/>
      <c r="AM643" s="43"/>
      <c r="AN643" s="43">
        <v>0.17699999999999999</v>
      </c>
      <c r="AO643" s="43"/>
      <c r="AP643" s="43">
        <v>0.16600000000000001</v>
      </c>
      <c r="AQ643" s="43"/>
      <c r="AR643" s="43"/>
      <c r="AS643" s="43"/>
      <c r="AT643" s="43"/>
      <c r="AU643" s="43"/>
      <c r="AV643" s="43"/>
      <c r="AW643" s="43"/>
      <c r="AX643" s="43">
        <v>0.13919999999999999</v>
      </c>
      <c r="AY643" s="43"/>
      <c r="AZ643" s="43"/>
      <c r="BA643" s="43"/>
      <c r="BB643" s="43">
        <v>5.2699999999999997E-2</v>
      </c>
      <c r="BC643" s="43">
        <v>8.1699999999999995E-2</v>
      </c>
      <c r="BD643" s="43">
        <v>4.4999999999999998E-2</v>
      </c>
      <c r="BE643" s="43">
        <v>6.2600000000000003E-2</v>
      </c>
      <c r="BF643" s="43"/>
      <c r="BG643" s="43"/>
      <c r="BH643" s="43"/>
      <c r="BI643" s="43">
        <v>0.2</v>
      </c>
      <c r="BJ643" s="43"/>
      <c r="BK643" s="43"/>
      <c r="BL643" s="43"/>
      <c r="BM643" s="43"/>
      <c r="BN643" s="43">
        <f t="shared" si="17"/>
        <v>0.2</v>
      </c>
      <c r="BO643" s="43">
        <f t="shared" si="18"/>
        <v>2015</v>
      </c>
    </row>
    <row r="644" spans="2:67" x14ac:dyDescent="0.75">
      <c r="B644" s="43" t="s">
        <v>191</v>
      </c>
      <c r="C644" s="43" t="s">
        <v>174</v>
      </c>
      <c r="D644" s="43" t="s">
        <v>758</v>
      </c>
      <c r="E644" s="43" t="s">
        <v>757</v>
      </c>
      <c r="F644" s="43">
        <v>0.16700000000000001</v>
      </c>
      <c r="G644" s="43"/>
      <c r="H644" s="43"/>
      <c r="I644" s="43"/>
      <c r="J644" s="43"/>
      <c r="K644" s="43"/>
      <c r="L644" s="43"/>
      <c r="M644" s="43"/>
      <c r="N644" s="43"/>
      <c r="O644" s="43"/>
      <c r="P644" s="43">
        <v>8.5999999999999993E-2</v>
      </c>
      <c r="Q644" s="43"/>
      <c r="R644" s="43"/>
      <c r="S644" s="43"/>
      <c r="T644" s="43"/>
      <c r="U644" s="43"/>
      <c r="V644" s="43"/>
      <c r="W644" s="43"/>
      <c r="X644" s="43"/>
      <c r="Y644" s="43"/>
      <c r="Z644" s="43"/>
      <c r="AA644" s="43"/>
      <c r="AB644" s="43"/>
      <c r="AC644" s="43"/>
      <c r="AD644" s="43"/>
      <c r="AE644" s="43"/>
      <c r="AF644" s="43"/>
      <c r="AG644" s="43"/>
      <c r="AH644" s="43"/>
      <c r="AI644" s="43"/>
      <c r="AJ644" s="43">
        <v>0.28100000000000003</v>
      </c>
      <c r="AK644" s="43"/>
      <c r="AL644" s="43"/>
      <c r="AM644" s="43"/>
      <c r="AN644" s="43"/>
      <c r="AO644" s="43">
        <v>0.20799999999999999</v>
      </c>
      <c r="AP644" s="43">
        <v>0.246</v>
      </c>
      <c r="AQ644" s="43"/>
      <c r="AR644" s="43"/>
      <c r="AS644" s="43"/>
      <c r="AT644" s="43"/>
      <c r="AU644" s="43"/>
      <c r="AV644" s="43"/>
      <c r="AW644" s="43"/>
      <c r="AX644" s="43">
        <v>0.21110000000000001</v>
      </c>
      <c r="AY644" s="43"/>
      <c r="AZ644" s="43"/>
      <c r="BA644" s="43"/>
      <c r="BB644" s="43"/>
      <c r="BC644" s="43"/>
      <c r="BD644" s="43"/>
      <c r="BE644" s="43"/>
      <c r="BF644" s="43"/>
      <c r="BG644" s="43"/>
      <c r="BH644" s="43"/>
      <c r="BI644" s="43"/>
      <c r="BJ644" s="43"/>
      <c r="BK644" s="43">
        <v>0.4</v>
      </c>
      <c r="BL644" s="43"/>
      <c r="BM644" s="43"/>
      <c r="BN644" s="43">
        <f t="shared" si="17"/>
        <v>0.4</v>
      </c>
      <c r="BO644" s="43">
        <f t="shared" si="18"/>
        <v>2017</v>
      </c>
    </row>
    <row r="645" spans="2:67" x14ac:dyDescent="0.75">
      <c r="B645" s="43" t="s">
        <v>403</v>
      </c>
      <c r="C645" s="43" t="s">
        <v>51</v>
      </c>
      <c r="D645" s="43" t="s">
        <v>758</v>
      </c>
      <c r="E645" s="43" t="s">
        <v>757</v>
      </c>
      <c r="F645" s="43">
        <v>1.3</v>
      </c>
      <c r="G645" s="43">
        <v>1.2</v>
      </c>
      <c r="H645" s="43">
        <v>1.3</v>
      </c>
      <c r="I645" s="43">
        <v>1.3</v>
      </c>
      <c r="J645" s="43">
        <v>1.4</v>
      </c>
      <c r="K645" s="43">
        <v>1.4</v>
      </c>
      <c r="L645" s="43">
        <v>1.4</v>
      </c>
      <c r="M645" s="43">
        <v>1.5</v>
      </c>
      <c r="N645" s="43">
        <v>1.5</v>
      </c>
      <c r="O645" s="43">
        <v>1.6</v>
      </c>
      <c r="P645" s="43">
        <v>1.6</v>
      </c>
      <c r="Q645" s="43">
        <v>1.7</v>
      </c>
      <c r="R645" s="43">
        <v>1.7</v>
      </c>
      <c r="S645" s="43">
        <v>1.9</v>
      </c>
      <c r="T645" s="43">
        <v>2</v>
      </c>
      <c r="U645" s="43">
        <v>2</v>
      </c>
      <c r="V645" s="43">
        <v>2.1</v>
      </c>
      <c r="W645" s="43">
        <v>2.2000000000000002</v>
      </c>
      <c r="X645" s="43">
        <v>2.2999999999999998</v>
      </c>
      <c r="Y645" s="43">
        <v>2.2999999999999998</v>
      </c>
      <c r="Z645" s="43">
        <v>2.4</v>
      </c>
      <c r="AA645" s="43">
        <v>2.5</v>
      </c>
      <c r="AB645" s="43">
        <v>2.6</v>
      </c>
      <c r="AC645" s="43">
        <v>2.8</v>
      </c>
      <c r="AD645" s="43">
        <v>2.9</v>
      </c>
      <c r="AE645" s="43">
        <v>2.9</v>
      </c>
      <c r="AF645" s="43">
        <v>3.1</v>
      </c>
      <c r="AG645" s="43">
        <v>3.3</v>
      </c>
      <c r="AH645" s="43">
        <v>3.2</v>
      </c>
      <c r="AI645" s="43">
        <v>3.3</v>
      </c>
      <c r="AJ645" s="43">
        <v>3.4</v>
      </c>
      <c r="AK645" s="43">
        <v>3.6</v>
      </c>
      <c r="AL645" s="43">
        <v>3.7</v>
      </c>
      <c r="AM645" s="43">
        <v>3.8</v>
      </c>
      <c r="AN645" s="43">
        <v>3.8</v>
      </c>
      <c r="AO645" s="43">
        <v>3.9</v>
      </c>
      <c r="AP645" s="43">
        <v>3.9</v>
      </c>
      <c r="AQ645" s="43">
        <v>4</v>
      </c>
      <c r="AR645" s="43">
        <v>4.0999999999999996</v>
      </c>
      <c r="AS645" s="43">
        <v>4.2</v>
      </c>
      <c r="AT645" s="43">
        <v>4.3</v>
      </c>
      <c r="AU645" s="43">
        <v>4.38</v>
      </c>
      <c r="AV645" s="43"/>
      <c r="AW645" s="43"/>
      <c r="AX645" s="43"/>
      <c r="AY645" s="43">
        <v>5</v>
      </c>
      <c r="AZ645" s="43">
        <v>5.35</v>
      </c>
      <c r="BA645" s="43"/>
      <c r="BB645" s="43">
        <v>6.0430000000000001</v>
      </c>
      <c r="BC645" s="43"/>
      <c r="BD645" s="43">
        <v>6.0514999999999999</v>
      </c>
      <c r="BE645" s="43">
        <v>6.0785999999999998</v>
      </c>
      <c r="BF645" s="43">
        <v>6.0831</v>
      </c>
      <c r="BG645" s="43">
        <v>6.0846</v>
      </c>
      <c r="BH645" s="43">
        <v>6.1082000000000001</v>
      </c>
      <c r="BI645" s="43"/>
      <c r="BJ645" s="43">
        <v>4.5919999999999996</v>
      </c>
      <c r="BK645" s="43"/>
      <c r="BL645" s="43"/>
      <c r="BM645" s="43"/>
      <c r="BN645" s="43">
        <f t="shared" si="17"/>
        <v>4.5919999999999996</v>
      </c>
      <c r="BO645" s="43">
        <f t="shared" si="18"/>
        <v>2016</v>
      </c>
    </row>
    <row r="646" spans="2:67" x14ac:dyDescent="0.75">
      <c r="B646" s="43" t="s">
        <v>406</v>
      </c>
      <c r="C646" s="43" t="s">
        <v>52</v>
      </c>
      <c r="D646" s="43" t="s">
        <v>758</v>
      </c>
      <c r="E646" s="43" t="s">
        <v>757</v>
      </c>
      <c r="F646" s="43">
        <v>0.222</v>
      </c>
      <c r="G646" s="43"/>
      <c r="H646" s="43"/>
      <c r="I646" s="43"/>
      <c r="J646" s="43"/>
      <c r="K646" s="43"/>
      <c r="L646" s="43"/>
      <c r="M646" s="43"/>
      <c r="N646" s="43"/>
      <c r="O646" s="43"/>
      <c r="P646" s="43">
        <v>0.34599999999999997</v>
      </c>
      <c r="Q646" s="43"/>
      <c r="R646" s="43"/>
      <c r="S646" s="43"/>
      <c r="T646" s="43"/>
      <c r="U646" s="43"/>
      <c r="V646" s="43"/>
      <c r="W646" s="43"/>
      <c r="X646" s="43"/>
      <c r="Y646" s="43"/>
      <c r="Z646" s="43"/>
      <c r="AA646" s="43"/>
      <c r="AB646" s="43"/>
      <c r="AC646" s="43"/>
      <c r="AD646" s="43">
        <v>0.49</v>
      </c>
      <c r="AE646" s="43"/>
      <c r="AF646" s="43"/>
      <c r="AG646" s="43"/>
      <c r="AH646" s="43">
        <v>0.55300000000000005</v>
      </c>
      <c r="AI646" s="43"/>
      <c r="AJ646" s="43">
        <v>0.5</v>
      </c>
      <c r="AK646" s="43"/>
      <c r="AL646" s="43"/>
      <c r="AM646" s="43">
        <v>0.57799999999999996</v>
      </c>
      <c r="AN646" s="43"/>
      <c r="AO646" s="43">
        <v>0.65</v>
      </c>
      <c r="AP646" s="43"/>
      <c r="AQ646" s="43">
        <v>0.40550000000000003</v>
      </c>
      <c r="AR646" s="43"/>
      <c r="AS646" s="43">
        <v>0.58189999999999997</v>
      </c>
      <c r="AT646" s="43">
        <v>0.57089999999999996</v>
      </c>
      <c r="AU646" s="43">
        <v>0.56969999999999998</v>
      </c>
      <c r="AV646" s="43">
        <v>0.56810000000000005</v>
      </c>
      <c r="AW646" s="43">
        <v>0.56640000000000001</v>
      </c>
      <c r="AX646" s="43"/>
      <c r="AY646" s="43"/>
      <c r="AZ646" s="43">
        <v>0.66800000000000004</v>
      </c>
      <c r="BA646" s="43"/>
      <c r="BB646" s="43"/>
      <c r="BC646" s="43"/>
      <c r="BD646" s="43"/>
      <c r="BE646" s="43"/>
      <c r="BF646" s="43"/>
      <c r="BG646" s="43"/>
      <c r="BH646" s="43"/>
      <c r="BI646" s="43"/>
      <c r="BJ646" s="43"/>
      <c r="BK646" s="43">
        <v>1.4471000000000001</v>
      </c>
      <c r="BL646" s="43"/>
      <c r="BM646" s="43"/>
      <c r="BN646" s="43">
        <f t="shared" si="17"/>
        <v>1.4471000000000001</v>
      </c>
      <c r="BO646" s="43">
        <f t="shared" si="18"/>
        <v>2017</v>
      </c>
    </row>
    <row r="647" spans="2:67" x14ac:dyDescent="0.75">
      <c r="B647" s="43" t="s">
        <v>404</v>
      </c>
      <c r="C647" s="43" t="s">
        <v>405</v>
      </c>
      <c r="D647" s="43" t="s">
        <v>758</v>
      </c>
      <c r="E647" s="43" t="s">
        <v>757</v>
      </c>
      <c r="F647" s="43">
        <v>1.169</v>
      </c>
      <c r="G647" s="43"/>
      <c r="H647" s="43"/>
      <c r="I647" s="43"/>
      <c r="J647" s="43"/>
      <c r="K647" s="43"/>
      <c r="L647" s="43"/>
      <c r="M647" s="43"/>
      <c r="N647" s="43"/>
      <c r="O647" s="43"/>
      <c r="P647" s="43">
        <v>0.90500000000000003</v>
      </c>
      <c r="Q647" s="43"/>
      <c r="R647" s="43"/>
      <c r="S647" s="43"/>
      <c r="T647" s="43"/>
      <c r="U647" s="43"/>
      <c r="V647" s="43"/>
      <c r="W647" s="43"/>
      <c r="X647" s="43"/>
      <c r="Y647" s="43"/>
      <c r="Z647" s="43">
        <v>1.135</v>
      </c>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f t="shared" si="17"/>
        <v>1.135</v>
      </c>
      <c r="BO647" s="43">
        <f t="shared" si="18"/>
        <v>1980</v>
      </c>
    </row>
    <row r="648" spans="2:67" x14ac:dyDescent="0.75">
      <c r="B648" s="43" t="s">
        <v>223</v>
      </c>
      <c r="C648" s="43" t="s">
        <v>53</v>
      </c>
      <c r="D648" s="43" t="s">
        <v>758</v>
      </c>
      <c r="E648" s="43" t="s">
        <v>757</v>
      </c>
      <c r="F648" s="43">
        <v>0.184</v>
      </c>
      <c r="G648" s="43"/>
      <c r="H648" s="43"/>
      <c r="I648" s="43"/>
      <c r="J648" s="43"/>
      <c r="K648" s="43">
        <v>0.27100000000000002</v>
      </c>
      <c r="L648" s="43"/>
      <c r="M648" s="43"/>
      <c r="N648" s="43"/>
      <c r="O648" s="43"/>
      <c r="P648" s="43">
        <v>0.27400000000000002</v>
      </c>
      <c r="Q648" s="43"/>
      <c r="R648" s="43"/>
      <c r="S648" s="43"/>
      <c r="T648" s="43"/>
      <c r="U648" s="43"/>
      <c r="V648" s="43"/>
      <c r="W648" s="43"/>
      <c r="X648" s="43"/>
      <c r="Y648" s="43"/>
      <c r="Z648" s="43"/>
      <c r="AA648" s="43"/>
      <c r="AB648" s="43"/>
      <c r="AC648" s="43"/>
      <c r="AD648" s="43">
        <v>0.47</v>
      </c>
      <c r="AE648" s="43"/>
      <c r="AF648" s="43"/>
      <c r="AG648" s="43"/>
      <c r="AH648" s="43">
        <v>0.26</v>
      </c>
      <c r="AI648" s="43"/>
      <c r="AJ648" s="43">
        <v>0.78</v>
      </c>
      <c r="AK648" s="43"/>
      <c r="AL648" s="43"/>
      <c r="AM648" s="43">
        <v>0.25</v>
      </c>
      <c r="AN648" s="43"/>
      <c r="AO648" s="43">
        <v>1.1000000000000001</v>
      </c>
      <c r="AP648" s="43"/>
      <c r="AQ648" s="43">
        <v>0.93300000000000005</v>
      </c>
      <c r="AR648" s="43"/>
      <c r="AS648" s="43">
        <v>0.87509999999999999</v>
      </c>
      <c r="AT648" s="43"/>
      <c r="AU648" s="43"/>
      <c r="AV648" s="43"/>
      <c r="AW648" s="43"/>
      <c r="AX648" s="43"/>
      <c r="AY648" s="43"/>
      <c r="AZ648" s="43"/>
      <c r="BA648" s="43"/>
      <c r="BB648" s="43"/>
      <c r="BC648" s="43">
        <v>0.90390000000000004</v>
      </c>
      <c r="BD648" s="43"/>
      <c r="BE648" s="43"/>
      <c r="BF648" s="43"/>
      <c r="BG648" s="43"/>
      <c r="BH648" s="43"/>
      <c r="BI648" s="43"/>
      <c r="BJ648" s="43"/>
      <c r="BK648" s="43"/>
      <c r="BL648" s="43">
        <v>0.35499999999999998</v>
      </c>
      <c r="BM648" s="43"/>
      <c r="BN648" s="43">
        <f t="shared" si="17"/>
        <v>0.35499999999999998</v>
      </c>
      <c r="BO648" s="43">
        <f t="shared" si="18"/>
        <v>2018</v>
      </c>
    </row>
    <row r="649" spans="2:67" x14ac:dyDescent="0.75">
      <c r="B649" s="43" t="s">
        <v>407</v>
      </c>
      <c r="C649" s="43" t="s">
        <v>408</v>
      </c>
      <c r="D649" s="43" t="s">
        <v>758</v>
      </c>
      <c r="E649" s="43" t="s">
        <v>757</v>
      </c>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v>1.1870000000000001</v>
      </c>
      <c r="AG649" s="43"/>
      <c r="AH649" s="43"/>
      <c r="AI649" s="43"/>
      <c r="AJ649" s="43"/>
      <c r="AK649" s="43"/>
      <c r="AL649" s="43"/>
      <c r="AM649" s="43"/>
      <c r="AN649" s="43"/>
      <c r="AO649" s="43"/>
      <c r="AP649" s="43"/>
      <c r="AQ649" s="43"/>
      <c r="AR649" s="43"/>
      <c r="AS649" s="43">
        <v>1.0840000000000001</v>
      </c>
      <c r="AT649" s="43"/>
      <c r="AU649" s="43"/>
      <c r="AV649" s="43"/>
      <c r="AW649" s="43"/>
      <c r="AX649" s="43"/>
      <c r="AY649" s="43"/>
      <c r="AZ649" s="43"/>
      <c r="BA649" s="43"/>
      <c r="BB649" s="43"/>
      <c r="BC649" s="43"/>
      <c r="BD649" s="43"/>
      <c r="BE649" s="43"/>
      <c r="BF649" s="43"/>
      <c r="BG649" s="43"/>
      <c r="BH649" s="43"/>
      <c r="BI649" s="43"/>
      <c r="BJ649" s="43"/>
      <c r="BK649" s="43"/>
      <c r="BL649" s="43"/>
      <c r="BM649" s="43"/>
      <c r="BN649" s="43">
        <f t="shared" si="17"/>
        <v>1.0840000000000001</v>
      </c>
      <c r="BO649" s="43">
        <f t="shared" si="18"/>
        <v>1999</v>
      </c>
    </row>
    <row r="650" spans="2:67" x14ac:dyDescent="0.75">
      <c r="B650" s="43" t="s">
        <v>224</v>
      </c>
      <c r="C650" s="43" t="s">
        <v>54</v>
      </c>
      <c r="D650" s="43" t="s">
        <v>758</v>
      </c>
      <c r="E650" s="43" t="s">
        <v>757</v>
      </c>
      <c r="F650" s="43">
        <v>0.255</v>
      </c>
      <c r="G650" s="43"/>
      <c r="H650" s="43"/>
      <c r="I650" s="43"/>
      <c r="J650" s="43"/>
      <c r="K650" s="43"/>
      <c r="L650" s="43"/>
      <c r="M650" s="43"/>
      <c r="N650" s="43"/>
      <c r="O650" s="43"/>
      <c r="P650" s="43">
        <v>0.23499999999999999</v>
      </c>
      <c r="Q650" s="43"/>
      <c r="R650" s="43"/>
      <c r="S650" s="43"/>
      <c r="T650" s="43"/>
      <c r="U650" s="43">
        <v>0.249</v>
      </c>
      <c r="V650" s="43"/>
      <c r="W650" s="43"/>
      <c r="X650" s="43"/>
      <c r="Y650" s="43"/>
      <c r="Z650" s="43"/>
      <c r="AA650" s="43"/>
      <c r="AB650" s="43"/>
      <c r="AC650" s="43"/>
      <c r="AD650" s="43">
        <v>0.16500000000000001</v>
      </c>
      <c r="AE650" s="43">
        <v>0.16800000000000001</v>
      </c>
      <c r="AF650" s="43"/>
      <c r="AG650" s="43"/>
      <c r="AH650" s="43"/>
      <c r="AI650" s="43"/>
      <c r="AJ650" s="43">
        <v>0.17</v>
      </c>
      <c r="AK650" s="43"/>
      <c r="AL650" s="43"/>
      <c r="AM650" s="43">
        <v>0.112</v>
      </c>
      <c r="AN650" s="43"/>
      <c r="AO650" s="43">
        <v>0.33</v>
      </c>
      <c r="AP650" s="43"/>
      <c r="AQ650" s="43">
        <v>0.18099999999999999</v>
      </c>
      <c r="AR650" s="43"/>
      <c r="AS650" s="43"/>
      <c r="AT650" s="43">
        <v>0.4859</v>
      </c>
      <c r="AU650" s="43"/>
      <c r="AV650" s="43"/>
      <c r="AW650" s="43"/>
      <c r="AX650" s="43"/>
      <c r="AY650" s="43"/>
      <c r="AZ650" s="43"/>
      <c r="BA650" s="43"/>
      <c r="BB650" s="43"/>
      <c r="BC650" s="43">
        <v>0.21590000000000001</v>
      </c>
      <c r="BD650" s="43">
        <v>0.68979999999999997</v>
      </c>
      <c r="BE650" s="43"/>
      <c r="BF650" s="43"/>
      <c r="BG650" s="43"/>
      <c r="BH650" s="43"/>
      <c r="BI650" s="43"/>
      <c r="BJ650" s="43"/>
      <c r="BK650" s="43"/>
      <c r="BL650" s="43">
        <v>0.79900000000000004</v>
      </c>
      <c r="BM650" s="43"/>
      <c r="BN650" s="43">
        <f t="shared" si="17"/>
        <v>0.79900000000000004</v>
      </c>
      <c r="BO650" s="43">
        <f t="shared" si="18"/>
        <v>2018</v>
      </c>
    </row>
    <row r="651" spans="2:67" x14ac:dyDescent="0.75">
      <c r="B651" s="43" t="s">
        <v>411</v>
      </c>
      <c r="C651" s="43" t="s">
        <v>412</v>
      </c>
      <c r="D651" s="43" t="s">
        <v>758</v>
      </c>
      <c r="E651" s="43" t="s">
        <v>757</v>
      </c>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v>2.1117815575588645</v>
      </c>
      <c r="AK651" s="43"/>
      <c r="AL651" s="43"/>
      <c r="AM651" s="43"/>
      <c r="AN651" s="43"/>
      <c r="AO651" s="43"/>
      <c r="AP651" s="43"/>
      <c r="AQ651" s="43"/>
      <c r="AR651" s="43"/>
      <c r="AS651" s="43"/>
      <c r="AT651" s="43">
        <v>2.6252843015597116</v>
      </c>
      <c r="AU651" s="43"/>
      <c r="AV651" s="43"/>
      <c r="AW651" s="43"/>
      <c r="AX651" s="43"/>
      <c r="AY651" s="43"/>
      <c r="AZ651" s="43"/>
      <c r="BA651" s="43"/>
      <c r="BB651" s="43"/>
      <c r="BC651" s="43"/>
      <c r="BD651" s="43"/>
      <c r="BE651" s="43"/>
      <c r="BF651" s="43"/>
      <c r="BG651" s="43"/>
      <c r="BH651" s="43"/>
      <c r="BI651" s="43">
        <v>3.0035446137299346</v>
      </c>
      <c r="BJ651" s="43"/>
      <c r="BK651" s="43"/>
      <c r="BL651" s="43"/>
      <c r="BM651" s="43"/>
      <c r="BN651" s="43">
        <f t="shared" si="17"/>
        <v>3.0035446137299346</v>
      </c>
      <c r="BO651" s="43">
        <f t="shared" si="18"/>
        <v>2015</v>
      </c>
    </row>
    <row r="652" spans="2:67" x14ac:dyDescent="0.75">
      <c r="B652" s="43" t="s">
        <v>413</v>
      </c>
      <c r="C652" s="43" t="s">
        <v>414</v>
      </c>
      <c r="D652" s="43" t="s">
        <v>758</v>
      </c>
      <c r="E652" s="43" t="s">
        <v>757</v>
      </c>
      <c r="F652" s="43">
        <v>0.32700000000000001</v>
      </c>
      <c r="G652" s="43"/>
      <c r="H652" s="43"/>
      <c r="I652" s="43"/>
      <c r="J652" s="43"/>
      <c r="K652" s="43">
        <v>0.39600000000000002</v>
      </c>
      <c r="L652" s="43"/>
      <c r="M652" s="43"/>
      <c r="N652" s="43"/>
      <c r="O652" s="43"/>
      <c r="P652" s="43">
        <v>0.66300000000000003</v>
      </c>
      <c r="Q652" s="43"/>
      <c r="R652" s="43"/>
      <c r="S652" s="43"/>
      <c r="T652" s="43"/>
      <c r="U652" s="43">
        <v>0.67200000000000004</v>
      </c>
      <c r="V652" s="43"/>
      <c r="W652" s="43"/>
      <c r="X652" s="43"/>
      <c r="Y652" s="43"/>
      <c r="Z652" s="43">
        <v>0.82599999999999996</v>
      </c>
      <c r="AA652" s="43"/>
      <c r="AB652" s="43"/>
      <c r="AC652" s="43"/>
      <c r="AD652" s="43"/>
      <c r="AE652" s="43"/>
      <c r="AF652" s="43">
        <v>0.93200000000000005</v>
      </c>
      <c r="AG652" s="43"/>
      <c r="AH652" s="43"/>
      <c r="AI652" s="43"/>
      <c r="AJ652" s="43"/>
      <c r="AK652" s="43"/>
      <c r="AL652" s="43"/>
      <c r="AM652" s="43">
        <v>1.204</v>
      </c>
      <c r="AN652" s="43">
        <v>1.2709999999999999</v>
      </c>
      <c r="AO652" s="43">
        <v>1.319</v>
      </c>
      <c r="AP652" s="43"/>
      <c r="AQ652" s="43"/>
      <c r="AR652" s="43"/>
      <c r="AS652" s="43"/>
      <c r="AT652" s="43"/>
      <c r="AU652" s="43"/>
      <c r="AV652" s="43"/>
      <c r="AW652" s="43"/>
      <c r="AX652" s="43"/>
      <c r="AY652" s="43"/>
      <c r="AZ652" s="43"/>
      <c r="BA652" s="43"/>
      <c r="BB652" s="43"/>
      <c r="BC652" s="43"/>
      <c r="BD652" s="43"/>
      <c r="BE652" s="43"/>
      <c r="BF652" s="43"/>
      <c r="BG652" s="43"/>
      <c r="BH652" s="43"/>
      <c r="BI652" s="43"/>
      <c r="BJ652" s="43"/>
      <c r="BK652" s="43"/>
      <c r="BL652" s="43"/>
      <c r="BM652" s="43"/>
      <c r="BN652" s="43">
        <f t="shared" si="17"/>
        <v>1.319</v>
      </c>
      <c r="BO652" s="43">
        <f t="shared" si="18"/>
        <v>1995</v>
      </c>
    </row>
    <row r="653" spans="2:67" x14ac:dyDescent="0.75">
      <c r="B653" s="43" t="s">
        <v>226</v>
      </c>
      <c r="C653" s="43" t="s">
        <v>166</v>
      </c>
      <c r="D653" s="43" t="s">
        <v>758</v>
      </c>
      <c r="E653" s="43" t="s">
        <v>757</v>
      </c>
      <c r="F653" s="43">
        <v>8.1000000000000003E-2</v>
      </c>
      <c r="G653" s="43"/>
      <c r="H653" s="43"/>
      <c r="I653" s="43"/>
      <c r="J653" s="43"/>
      <c r="K653" s="43">
        <v>0.19</v>
      </c>
      <c r="L653" s="43"/>
      <c r="M653" s="43"/>
      <c r="N653" s="43"/>
      <c r="O653" s="43"/>
      <c r="P653" s="43">
        <v>0.26900000000000002</v>
      </c>
      <c r="Q653" s="43"/>
      <c r="R653" s="43"/>
      <c r="S653" s="43"/>
      <c r="T653" s="43"/>
      <c r="U653" s="43">
        <v>0.26900000000000002</v>
      </c>
      <c r="V653" s="43"/>
      <c r="W653" s="43"/>
      <c r="X653" s="43"/>
      <c r="Y653" s="43">
        <v>0.33100000000000002</v>
      </c>
      <c r="Z653" s="43"/>
      <c r="AA653" s="43">
        <v>0.33200000000000002</v>
      </c>
      <c r="AB653" s="43"/>
      <c r="AC653" s="43"/>
      <c r="AD653" s="43">
        <v>0.69099999999999995</v>
      </c>
      <c r="AE653" s="43"/>
      <c r="AF653" s="43"/>
      <c r="AG653" s="43"/>
      <c r="AH653" s="43">
        <v>0.82899999999999996</v>
      </c>
      <c r="AI653" s="43"/>
      <c r="AJ653" s="43">
        <v>0.7</v>
      </c>
      <c r="AK653" s="43">
        <v>0.41099999999999998</v>
      </c>
      <c r="AL653" s="43"/>
      <c r="AM653" s="43"/>
      <c r="AN653" s="43"/>
      <c r="AO653" s="43">
        <v>0.65</v>
      </c>
      <c r="AP653" s="43"/>
      <c r="AQ653" s="43">
        <v>0.83199999999999996</v>
      </c>
      <c r="AR653" s="43"/>
      <c r="AS653" s="43"/>
      <c r="AT653" s="43">
        <v>0.56340000000000001</v>
      </c>
      <c r="AU653" s="43"/>
      <c r="AV653" s="43"/>
      <c r="AW653" s="43"/>
      <c r="AX653" s="43"/>
      <c r="AY653" s="43">
        <v>0.36349999999999999</v>
      </c>
      <c r="AZ653" s="43"/>
      <c r="BA653" s="43"/>
      <c r="BB653" s="43"/>
      <c r="BC653" s="43"/>
      <c r="BD653" s="43"/>
      <c r="BE653" s="43"/>
      <c r="BF653" s="43"/>
      <c r="BG653" s="43">
        <v>0.99990000000000001</v>
      </c>
      <c r="BH653" s="43"/>
      <c r="BI653" s="43"/>
      <c r="BJ653" s="43">
        <v>0.60860000000000003</v>
      </c>
      <c r="BK653" s="43">
        <v>0.31440000000000001</v>
      </c>
      <c r="BL653" s="43"/>
      <c r="BM653" s="43"/>
      <c r="BN653" s="43">
        <f t="shared" si="17"/>
        <v>0.31440000000000001</v>
      </c>
      <c r="BO653" s="43">
        <f t="shared" si="18"/>
        <v>2017</v>
      </c>
    </row>
    <row r="654" spans="2:67" x14ac:dyDescent="0.75">
      <c r="B654" s="43" t="s">
        <v>409</v>
      </c>
      <c r="C654" s="43" t="s">
        <v>410</v>
      </c>
      <c r="D654" s="43" t="s">
        <v>758</v>
      </c>
      <c r="E654" s="43" t="s">
        <v>757</v>
      </c>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v>8.7580108337591153E-2</v>
      </c>
      <c r="AK654" s="43"/>
      <c r="AL654" s="43"/>
      <c r="AM654" s="43"/>
      <c r="AN654" s="43"/>
      <c r="AO654" s="43"/>
      <c r="AP654" s="43"/>
      <c r="AQ654" s="43"/>
      <c r="AR654" s="43"/>
      <c r="AS654" s="43"/>
      <c r="AT654" s="43">
        <v>0.11372587568850917</v>
      </c>
      <c r="AU654" s="43"/>
      <c r="AV654" s="43"/>
      <c r="AW654" s="43"/>
      <c r="AX654" s="43"/>
      <c r="AY654" s="43"/>
      <c r="AZ654" s="43"/>
      <c r="BA654" s="43"/>
      <c r="BB654" s="43"/>
      <c r="BC654" s="43"/>
      <c r="BD654" s="43"/>
      <c r="BE654" s="43"/>
      <c r="BF654" s="43"/>
      <c r="BG654" s="43"/>
      <c r="BH654" s="43"/>
      <c r="BI654" s="43">
        <v>0.15767389400786444</v>
      </c>
      <c r="BJ654" s="43"/>
      <c r="BK654" s="43"/>
      <c r="BL654" s="43"/>
      <c r="BM654" s="43"/>
      <c r="BN654" s="43">
        <f t="shared" si="17"/>
        <v>0.15767389400786444</v>
      </c>
      <c r="BO654" s="43">
        <f t="shared" si="18"/>
        <v>2015</v>
      </c>
    </row>
    <row r="655" spans="2:67" x14ac:dyDescent="0.75">
      <c r="B655" s="43" t="s">
        <v>359</v>
      </c>
      <c r="C655" s="43" t="s">
        <v>55</v>
      </c>
      <c r="D655" s="43" t="s">
        <v>758</v>
      </c>
      <c r="E655" s="43" t="s">
        <v>757</v>
      </c>
      <c r="F655" s="43"/>
      <c r="G655" s="43"/>
      <c r="H655" s="43"/>
      <c r="I655" s="43"/>
      <c r="J655" s="43"/>
      <c r="K655" s="43"/>
      <c r="L655" s="43"/>
      <c r="M655" s="43"/>
      <c r="N655" s="43"/>
      <c r="O655" s="43"/>
      <c r="P655" s="43"/>
      <c r="Q655" s="43"/>
      <c r="R655" s="43"/>
      <c r="S655" s="43"/>
      <c r="T655" s="43"/>
      <c r="U655" s="43"/>
      <c r="V655" s="43"/>
      <c r="W655" s="43"/>
      <c r="X655" s="43"/>
      <c r="Y655" s="43"/>
      <c r="Z655" s="43">
        <v>1.673</v>
      </c>
      <c r="AA655" s="43">
        <v>1.738</v>
      </c>
      <c r="AB655" s="43">
        <v>1.8080000000000001</v>
      </c>
      <c r="AC655" s="43">
        <v>1.8580000000000001</v>
      </c>
      <c r="AD655" s="43">
        <v>1.88</v>
      </c>
      <c r="AE655" s="43">
        <v>1.944</v>
      </c>
      <c r="AF655" s="43"/>
      <c r="AG655" s="43"/>
      <c r="AH655" s="43"/>
      <c r="AI655" s="43"/>
      <c r="AJ655" s="43">
        <v>2.1255000000000002</v>
      </c>
      <c r="AK655" s="43">
        <v>1.9543999999999999</v>
      </c>
      <c r="AL655" s="43">
        <v>1.9958</v>
      </c>
      <c r="AM655" s="43">
        <v>1.9755</v>
      </c>
      <c r="AN655" s="43">
        <v>1.9619</v>
      </c>
      <c r="AO655" s="43">
        <v>1.9689000000000001</v>
      </c>
      <c r="AP655" s="43">
        <v>2.0596999999999999</v>
      </c>
      <c r="AQ655" s="43">
        <v>2.0552000000000001</v>
      </c>
      <c r="AR655" s="43">
        <v>1.9146000000000001</v>
      </c>
      <c r="AS655" s="43">
        <v>1.8055000000000001</v>
      </c>
      <c r="AT655" s="43">
        <v>2.383</v>
      </c>
      <c r="AU655" s="43">
        <v>2.3740000000000001</v>
      </c>
      <c r="AV655" s="43">
        <v>2.4</v>
      </c>
      <c r="AW655" s="43">
        <v>2.444</v>
      </c>
      <c r="AX655" s="43">
        <v>2.4</v>
      </c>
      <c r="AY655" s="43">
        <v>2.5</v>
      </c>
      <c r="AZ655" s="43">
        <v>2.4700000000000002</v>
      </c>
      <c r="BA655" s="43">
        <v>2.59</v>
      </c>
      <c r="BB655" s="43">
        <v>2.661</v>
      </c>
      <c r="BC655" s="43"/>
      <c r="BD655" s="43">
        <v>2.8428</v>
      </c>
      <c r="BE655" s="43">
        <v>2.8956</v>
      </c>
      <c r="BF655" s="43">
        <v>2.9727000000000001</v>
      </c>
      <c r="BG655" s="43">
        <v>3.0169999999999999</v>
      </c>
      <c r="BH655" s="43">
        <v>3.1244000000000001</v>
      </c>
      <c r="BI655" s="43"/>
      <c r="BJ655" s="43">
        <v>2.9962</v>
      </c>
      <c r="BK655" s="43"/>
      <c r="BL655" s="43"/>
      <c r="BM655" s="43"/>
      <c r="BN655" s="43">
        <f t="shared" si="17"/>
        <v>2.9962</v>
      </c>
      <c r="BO655" s="43">
        <f t="shared" si="18"/>
        <v>2016</v>
      </c>
    </row>
    <row r="656" spans="2:67" x14ac:dyDescent="0.75">
      <c r="B656" s="43" t="s">
        <v>225</v>
      </c>
      <c r="C656" s="43" t="s">
        <v>56</v>
      </c>
      <c r="D656" s="43" t="s">
        <v>758</v>
      </c>
      <c r="E656" s="43" t="s">
        <v>757</v>
      </c>
      <c r="F656" s="43">
        <v>0.105</v>
      </c>
      <c r="G656" s="43"/>
      <c r="H656" s="43"/>
      <c r="I656" s="43"/>
      <c r="J656" s="43"/>
      <c r="K656" s="43">
        <v>7.0000000000000007E-2</v>
      </c>
      <c r="L656" s="43"/>
      <c r="M656" s="43"/>
      <c r="N656" s="43"/>
      <c r="O656" s="43"/>
      <c r="P656" s="43">
        <v>0.08</v>
      </c>
      <c r="Q656" s="43"/>
      <c r="R656" s="43"/>
      <c r="S656" s="43"/>
      <c r="T656" s="43"/>
      <c r="U656" s="43">
        <v>8.1000000000000003E-2</v>
      </c>
      <c r="V656" s="43"/>
      <c r="W656" s="43"/>
      <c r="X656" s="43"/>
      <c r="Y656" s="43"/>
      <c r="Z656" s="43"/>
      <c r="AA656" s="43">
        <v>0.11</v>
      </c>
      <c r="AB656" s="43"/>
      <c r="AC656" s="43"/>
      <c r="AD656" s="43">
        <v>0.14099999999999999</v>
      </c>
      <c r="AE656" s="43">
        <v>0.13700000000000001</v>
      </c>
      <c r="AF656" s="43"/>
      <c r="AG656" s="43"/>
      <c r="AH656" s="43">
        <v>0.14299999999999999</v>
      </c>
      <c r="AI656" s="43"/>
      <c r="AJ656" s="43">
        <v>0.08</v>
      </c>
      <c r="AK656" s="43"/>
      <c r="AL656" s="43">
        <v>8.4000000000000005E-2</v>
      </c>
      <c r="AM656" s="43">
        <v>9.1999999999999998E-2</v>
      </c>
      <c r="AN656" s="43"/>
      <c r="AO656" s="43">
        <v>0.16</v>
      </c>
      <c r="AP656" s="43"/>
      <c r="AQ656" s="43"/>
      <c r="AR656" s="43">
        <v>0.23599999999999999</v>
      </c>
      <c r="AS656" s="43"/>
      <c r="AT656" s="43"/>
      <c r="AU656" s="43"/>
      <c r="AV656" s="43"/>
      <c r="AW656" s="43"/>
      <c r="AX656" s="43"/>
      <c r="AY656" s="43"/>
      <c r="AZ656" s="43"/>
      <c r="BA656" s="43"/>
      <c r="BB656" s="43"/>
      <c r="BC656" s="43"/>
      <c r="BD656" s="43"/>
      <c r="BE656" s="43">
        <v>0.13719999999999999</v>
      </c>
      <c r="BF656" s="43"/>
      <c r="BG656" s="43"/>
      <c r="BH656" s="43"/>
      <c r="BI656" s="43"/>
      <c r="BJ656" s="43"/>
      <c r="BK656" s="43"/>
      <c r="BL656" s="43">
        <v>0.23449999999999999</v>
      </c>
      <c r="BM656" s="43"/>
      <c r="BN656" s="43">
        <f t="shared" si="17"/>
        <v>0.23449999999999999</v>
      </c>
      <c r="BO656" s="43">
        <f t="shared" si="18"/>
        <v>2018</v>
      </c>
    </row>
    <row r="657" spans="2:67" x14ac:dyDescent="0.75">
      <c r="B657" s="43" t="s">
        <v>415</v>
      </c>
      <c r="C657" s="43" t="s">
        <v>57</v>
      </c>
      <c r="D657" s="43" t="s">
        <v>758</v>
      </c>
      <c r="E657" s="43" t="s">
        <v>757</v>
      </c>
      <c r="F657" s="43">
        <v>1.5</v>
      </c>
      <c r="G657" s="43">
        <v>1.6</v>
      </c>
      <c r="H657" s="43">
        <v>1.7</v>
      </c>
      <c r="I657" s="43">
        <v>1.7</v>
      </c>
      <c r="J657" s="43">
        <v>1.8</v>
      </c>
      <c r="K657" s="43">
        <v>1.9</v>
      </c>
      <c r="L657" s="43">
        <v>1.9</v>
      </c>
      <c r="M657" s="43">
        <v>2</v>
      </c>
      <c r="N657" s="43">
        <v>1.9</v>
      </c>
      <c r="O657" s="43">
        <v>2</v>
      </c>
      <c r="P657" s="43">
        <v>2</v>
      </c>
      <c r="Q657" s="43">
        <v>2.1</v>
      </c>
      <c r="R657" s="43">
        <v>2.1</v>
      </c>
      <c r="S657" s="43">
        <v>2.2000000000000002</v>
      </c>
      <c r="T657" s="43">
        <v>2.2000000000000002</v>
      </c>
      <c r="U657" s="43">
        <v>2.2000000000000002</v>
      </c>
      <c r="V657" s="43">
        <v>2.2999999999999998</v>
      </c>
      <c r="W657" s="43">
        <v>2.2999999999999998</v>
      </c>
      <c r="X657" s="43">
        <v>2.4</v>
      </c>
      <c r="Y657" s="43">
        <v>2.5</v>
      </c>
      <c r="Z657" s="43">
        <v>2.2999999999999998</v>
      </c>
      <c r="AA657" s="43">
        <v>2.2999999999999998</v>
      </c>
      <c r="AB657" s="43">
        <v>2.4</v>
      </c>
      <c r="AC657" s="43">
        <v>2.4</v>
      </c>
      <c r="AD657" s="43">
        <v>2.5</v>
      </c>
      <c r="AE657" s="43">
        <v>2.5</v>
      </c>
      <c r="AF657" s="43">
        <v>2.6</v>
      </c>
      <c r="AG657" s="43">
        <v>2.7</v>
      </c>
      <c r="AH657" s="43">
        <v>2.7</v>
      </c>
      <c r="AI657" s="43">
        <v>2.7</v>
      </c>
      <c r="AJ657" s="43">
        <v>3.1686999999999999</v>
      </c>
      <c r="AK657" s="43">
        <v>3.2671000000000001</v>
      </c>
      <c r="AL657" s="43">
        <v>3.3348</v>
      </c>
      <c r="AM657" s="43">
        <v>3.2909999999999999</v>
      </c>
      <c r="AN657" s="43">
        <v>3.3424999999999998</v>
      </c>
      <c r="AO657" s="43">
        <v>3.3462999999999998</v>
      </c>
      <c r="AP657" s="43">
        <v>3.3896999999999999</v>
      </c>
      <c r="AQ657" s="43">
        <v>3.4413999999999998</v>
      </c>
      <c r="AR657" s="43">
        <v>3.5158</v>
      </c>
      <c r="AS657" s="43">
        <v>3.5499000000000001</v>
      </c>
      <c r="AT657" s="43"/>
      <c r="AU657" s="43"/>
      <c r="AV657" s="43">
        <v>3.6678999999999999</v>
      </c>
      <c r="AW657" s="43">
        <v>3.7706</v>
      </c>
      <c r="AX657" s="43">
        <v>3.8435000000000001</v>
      </c>
      <c r="AY657" s="43">
        <v>3.2284000000000002</v>
      </c>
      <c r="AZ657" s="43">
        <v>3.5076000000000001</v>
      </c>
      <c r="BA657" s="43">
        <v>3.2124999999999999</v>
      </c>
      <c r="BB657" s="43">
        <v>3.6120000000000001</v>
      </c>
      <c r="BC657" s="43">
        <v>3.5341</v>
      </c>
      <c r="BD657" s="43">
        <v>2.8894000000000002</v>
      </c>
      <c r="BE657" s="43">
        <v>2.9803000000000002</v>
      </c>
      <c r="BF657" s="43">
        <v>3.1046</v>
      </c>
      <c r="BG657" s="43">
        <v>3.2259000000000002</v>
      </c>
      <c r="BH657" s="43">
        <v>3.3414999999999999</v>
      </c>
      <c r="BI657" s="43">
        <v>3.1158999999999999</v>
      </c>
      <c r="BJ657" s="43">
        <v>3.2311999999999999</v>
      </c>
      <c r="BK657" s="43"/>
      <c r="BL657" s="43"/>
      <c r="BM657" s="43"/>
      <c r="BN657" s="43">
        <f t="shared" si="17"/>
        <v>3.2311999999999999</v>
      </c>
      <c r="BO657" s="43">
        <f t="shared" si="18"/>
        <v>2016</v>
      </c>
    </row>
    <row r="658" spans="2:67" x14ac:dyDescent="0.75">
      <c r="B658" s="43" t="s">
        <v>634</v>
      </c>
      <c r="C658" s="43" t="s">
        <v>635</v>
      </c>
      <c r="D658" s="43" t="s">
        <v>758</v>
      </c>
      <c r="E658" s="43" t="s">
        <v>757</v>
      </c>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v>1.236218381572145</v>
      </c>
      <c r="AK658" s="43"/>
      <c r="AL658" s="43"/>
      <c r="AM658" s="43"/>
      <c r="AN658" s="43"/>
      <c r="AO658" s="43"/>
      <c r="AP658" s="43"/>
      <c r="AQ658" s="43"/>
      <c r="AR658" s="43"/>
      <c r="AS658" s="43"/>
      <c r="AT658" s="43">
        <v>1.1762766229538242</v>
      </c>
      <c r="AU658" s="43"/>
      <c r="AV658" s="43"/>
      <c r="AW658" s="43"/>
      <c r="AX658" s="43"/>
      <c r="AY658" s="43"/>
      <c r="AZ658" s="43"/>
      <c r="BA658" s="43"/>
      <c r="BB658" s="43"/>
      <c r="BC658" s="43"/>
      <c r="BD658" s="43"/>
      <c r="BE658" s="43"/>
      <c r="BF658" s="43"/>
      <c r="BG658" s="43"/>
      <c r="BH658" s="43"/>
      <c r="BI658" s="43">
        <v>1.4561130577046284</v>
      </c>
      <c r="BJ658" s="43"/>
      <c r="BK658" s="43"/>
      <c r="BL658" s="43"/>
      <c r="BM658" s="43"/>
      <c r="BN658" s="43">
        <f t="shared" si="17"/>
        <v>1.4561130577046284</v>
      </c>
      <c r="BO658" s="43">
        <f t="shared" si="18"/>
        <v>2015</v>
      </c>
    </row>
    <row r="659" spans="2:67" x14ac:dyDescent="0.75">
      <c r="B659" s="43" t="s">
        <v>636</v>
      </c>
      <c r="C659" s="43" t="s">
        <v>637</v>
      </c>
      <c r="D659" s="43" t="s">
        <v>758</v>
      </c>
      <c r="E659" s="43" t="s">
        <v>757</v>
      </c>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v>1.0697709710863452</v>
      </c>
      <c r="AK659" s="43"/>
      <c r="AL659" s="43"/>
      <c r="AM659" s="43"/>
      <c r="AN659" s="43"/>
      <c r="AO659" s="43"/>
      <c r="AP659" s="43"/>
      <c r="AQ659" s="43"/>
      <c r="AR659" s="43"/>
      <c r="AS659" s="43"/>
      <c r="AT659" s="43">
        <v>1.0228361531917838</v>
      </c>
      <c r="AU659" s="43"/>
      <c r="AV659" s="43"/>
      <c r="AW659" s="43"/>
      <c r="AX659" s="43"/>
      <c r="AY659" s="43"/>
      <c r="AZ659" s="43"/>
      <c r="BA659" s="43"/>
      <c r="BB659" s="43"/>
      <c r="BC659" s="43"/>
      <c r="BD659" s="43"/>
      <c r="BE659" s="43"/>
      <c r="BF659" s="43"/>
      <c r="BG659" s="43"/>
      <c r="BH659" s="43"/>
      <c r="BI659" s="43">
        <v>1.2057369708980019</v>
      </c>
      <c r="BJ659" s="43"/>
      <c r="BK659" s="43"/>
      <c r="BL659" s="43"/>
      <c r="BM659" s="43"/>
      <c r="BN659" s="43">
        <f t="shared" si="17"/>
        <v>1.2057369708980019</v>
      </c>
      <c r="BO659" s="43">
        <f t="shared" si="18"/>
        <v>2015</v>
      </c>
    </row>
    <row r="660" spans="2:67" x14ac:dyDescent="0.75">
      <c r="B660" s="43" t="s">
        <v>638</v>
      </c>
      <c r="C660" s="43" t="s">
        <v>639</v>
      </c>
      <c r="D660" s="43" t="s">
        <v>758</v>
      </c>
      <c r="E660" s="43" t="s">
        <v>757</v>
      </c>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v>0.31975884020674478</v>
      </c>
      <c r="AK660" s="43"/>
      <c r="AL660" s="43"/>
      <c r="AM660" s="43"/>
      <c r="AN660" s="43"/>
      <c r="AO660" s="43"/>
      <c r="AP660" s="43"/>
      <c r="AQ660" s="43"/>
      <c r="AR660" s="43"/>
      <c r="AS660" s="43"/>
      <c r="AT660" s="43">
        <v>0.3808657432766584</v>
      </c>
      <c r="AU660" s="43"/>
      <c r="AV660" s="43"/>
      <c r="AW660" s="43"/>
      <c r="AX660" s="43"/>
      <c r="AY660" s="43"/>
      <c r="AZ660" s="43"/>
      <c r="BA660" s="43"/>
      <c r="BB660" s="43"/>
      <c r="BC660" s="43"/>
      <c r="BD660" s="43"/>
      <c r="BE660" s="43"/>
      <c r="BF660" s="43"/>
      <c r="BG660" s="43"/>
      <c r="BH660" s="43"/>
      <c r="BI660" s="43">
        <v>0.44472649538513387</v>
      </c>
      <c r="BJ660" s="43"/>
      <c r="BK660" s="43"/>
      <c r="BL660" s="43"/>
      <c r="BM660" s="43"/>
      <c r="BN660" s="43">
        <f t="shared" si="17"/>
        <v>0.44472649538513387</v>
      </c>
      <c r="BO660" s="43">
        <f t="shared" si="18"/>
        <v>2015</v>
      </c>
    </row>
    <row r="661" spans="2:67" x14ac:dyDescent="0.75">
      <c r="B661" s="43" t="s">
        <v>640</v>
      </c>
      <c r="C661" s="43" t="s">
        <v>641</v>
      </c>
      <c r="D661" s="43" t="s">
        <v>758</v>
      </c>
      <c r="E661" s="43" t="s">
        <v>757</v>
      </c>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v>0.56782544831315251</v>
      </c>
      <c r="AK661" s="43"/>
      <c r="AL661" s="43"/>
      <c r="AM661" s="43"/>
      <c r="AN661" s="43"/>
      <c r="AO661" s="43"/>
      <c r="AP661" s="43"/>
      <c r="AQ661" s="43"/>
      <c r="AR661" s="43"/>
      <c r="AS661" s="43"/>
      <c r="AT661" s="43">
        <v>0.64606356522193331</v>
      </c>
      <c r="AU661" s="43"/>
      <c r="AV661" s="43"/>
      <c r="AW661" s="43"/>
      <c r="AX661" s="43"/>
      <c r="AY661" s="43"/>
      <c r="AZ661" s="43"/>
      <c r="BA661" s="43"/>
      <c r="BB661" s="43"/>
      <c r="BC661" s="43"/>
      <c r="BD661" s="43"/>
      <c r="BE661" s="43"/>
      <c r="BF661" s="43"/>
      <c r="BG661" s="43"/>
      <c r="BH661" s="43"/>
      <c r="BI661" s="43">
        <v>0.7199389124387725</v>
      </c>
      <c r="BJ661" s="43"/>
      <c r="BK661" s="43"/>
      <c r="BL661" s="43"/>
      <c r="BM661" s="43"/>
      <c r="BN661" s="43">
        <f t="shared" si="17"/>
        <v>0.7199389124387725</v>
      </c>
      <c r="BO661" s="43">
        <f t="shared" si="18"/>
        <v>2015</v>
      </c>
    </row>
    <row r="662" spans="2:67" x14ac:dyDescent="0.75">
      <c r="B662" s="43" t="s">
        <v>242</v>
      </c>
      <c r="C662" s="43" t="s">
        <v>58</v>
      </c>
      <c r="D662" s="43" t="s">
        <v>758</v>
      </c>
      <c r="E662" s="43" t="s">
        <v>757</v>
      </c>
      <c r="F662" s="43">
        <v>2.1000000000000001E-2</v>
      </c>
      <c r="G662" s="43"/>
      <c r="H662" s="43"/>
      <c r="I662" s="43"/>
      <c r="J662" s="43"/>
      <c r="K662" s="43">
        <v>3.2000000000000001E-2</v>
      </c>
      <c r="L662" s="43"/>
      <c r="M662" s="43"/>
      <c r="N662" s="43"/>
      <c r="O662" s="43"/>
      <c r="P662" s="43">
        <v>3.6999999999999998E-2</v>
      </c>
      <c r="Q662" s="43"/>
      <c r="R662" s="43"/>
      <c r="S662" s="43"/>
      <c r="T662" s="43"/>
      <c r="U662" s="43">
        <v>3.6999999999999998E-2</v>
      </c>
      <c r="V662" s="43"/>
      <c r="W662" s="43"/>
      <c r="X662" s="43"/>
      <c r="Y662" s="43">
        <v>8.5000000000000006E-2</v>
      </c>
      <c r="Z662" s="43"/>
      <c r="AA662" s="43">
        <v>0.08</v>
      </c>
      <c r="AB662" s="43"/>
      <c r="AC662" s="43">
        <v>0.106</v>
      </c>
      <c r="AD662" s="43"/>
      <c r="AE662" s="43"/>
      <c r="AF662" s="43"/>
      <c r="AG662" s="43"/>
      <c r="AH662" s="43"/>
      <c r="AI662" s="43">
        <v>0.14199999999999999</v>
      </c>
      <c r="AJ662" s="43">
        <v>0.14399999999999999</v>
      </c>
      <c r="AK662" s="43">
        <v>0.14799999999999999</v>
      </c>
      <c r="AL662" s="43"/>
      <c r="AM662" s="43">
        <v>5.8000000000000003E-2</v>
      </c>
      <c r="AN662" s="43">
        <v>0.16</v>
      </c>
      <c r="AO662" s="43"/>
      <c r="AP662" s="43"/>
      <c r="AQ662" s="43"/>
      <c r="AR662" s="43"/>
      <c r="AS662" s="43"/>
      <c r="AT662" s="43">
        <v>0.16200000000000001</v>
      </c>
      <c r="AU662" s="43"/>
      <c r="AV662" s="43"/>
      <c r="AW662" s="43">
        <v>0.1338</v>
      </c>
      <c r="AX662" s="43"/>
      <c r="AY662" s="43"/>
      <c r="AZ662" s="43">
        <v>0.13</v>
      </c>
      <c r="BA662" s="43">
        <v>0.28799999999999998</v>
      </c>
      <c r="BB662" s="43"/>
      <c r="BC662" s="43">
        <v>0.14430000000000001</v>
      </c>
      <c r="BD662" s="43">
        <v>0.1391</v>
      </c>
      <c r="BE662" s="43"/>
      <c r="BF662" s="43">
        <v>0.3075</v>
      </c>
      <c r="BG662" s="43">
        <v>0.31180000000000002</v>
      </c>
      <c r="BH662" s="43"/>
      <c r="BI662" s="43">
        <v>0.27400000000000002</v>
      </c>
      <c r="BJ662" s="43"/>
      <c r="BK662" s="43">
        <v>0.37769999999999998</v>
      </c>
      <c r="BL662" s="43"/>
      <c r="BM662" s="43"/>
      <c r="BN662" s="43">
        <f t="shared" si="17"/>
        <v>0.37769999999999998</v>
      </c>
      <c r="BO662" s="43">
        <f t="shared" si="18"/>
        <v>2017</v>
      </c>
    </row>
    <row r="663" spans="2:67" x14ac:dyDescent="0.75">
      <c r="B663" s="43" t="s">
        <v>642</v>
      </c>
      <c r="C663" s="43" t="s">
        <v>643</v>
      </c>
      <c r="D663" s="43" t="s">
        <v>758</v>
      </c>
      <c r="E663" s="43" t="s">
        <v>757</v>
      </c>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v>0.17444376399589753</v>
      </c>
      <c r="AK663" s="43"/>
      <c r="AL663" s="43"/>
      <c r="AM663" s="43"/>
      <c r="AN663" s="43"/>
      <c r="AO663" s="43"/>
      <c r="AP663" s="43"/>
      <c r="AQ663" s="43"/>
      <c r="AR663" s="43"/>
      <c r="AS663" s="43"/>
      <c r="AT663" s="43">
        <v>0.22184405454061945</v>
      </c>
      <c r="AU663" s="43"/>
      <c r="AV663" s="43"/>
      <c r="AW663" s="43"/>
      <c r="AX663" s="43"/>
      <c r="AY663" s="43"/>
      <c r="AZ663" s="43"/>
      <c r="BA663" s="43"/>
      <c r="BB663" s="43"/>
      <c r="BC663" s="43"/>
      <c r="BD663" s="43"/>
      <c r="BE663" s="43"/>
      <c r="BF663" s="43"/>
      <c r="BG663" s="43"/>
      <c r="BH663" s="43"/>
      <c r="BI663" s="43">
        <v>0.30155749417718902</v>
      </c>
      <c r="BJ663" s="43"/>
      <c r="BK663" s="43"/>
      <c r="BL663" s="43"/>
      <c r="BM663" s="43"/>
      <c r="BN663" s="43">
        <f t="shared" si="17"/>
        <v>0.30155749417718902</v>
      </c>
      <c r="BO663" s="43">
        <f t="shared" si="18"/>
        <v>2015</v>
      </c>
    </row>
    <row r="664" spans="2:67" x14ac:dyDescent="0.75">
      <c r="B664" s="43" t="s">
        <v>421</v>
      </c>
      <c r="C664" s="43" t="s">
        <v>422</v>
      </c>
      <c r="D664" s="43" t="s">
        <v>758</v>
      </c>
      <c r="E664" s="43" t="s">
        <v>757</v>
      </c>
      <c r="F664" s="43">
        <v>0.248</v>
      </c>
      <c r="G664" s="43"/>
      <c r="H664" s="43"/>
      <c r="I664" s="43"/>
      <c r="J664" s="43"/>
      <c r="K664" s="43">
        <v>0.26</v>
      </c>
      <c r="L664" s="43"/>
      <c r="M664" s="43"/>
      <c r="N664" s="43"/>
      <c r="O664" s="43"/>
      <c r="P664" s="43">
        <v>0.308</v>
      </c>
      <c r="Q664" s="43"/>
      <c r="R664" s="43"/>
      <c r="S664" s="43"/>
      <c r="T664" s="43"/>
      <c r="U664" s="43"/>
      <c r="V664" s="43"/>
      <c r="W664" s="43"/>
      <c r="X664" s="43"/>
      <c r="Y664" s="43"/>
      <c r="Z664" s="43"/>
      <c r="AA664" s="43">
        <v>0.68400000000000005</v>
      </c>
      <c r="AB664" s="43"/>
      <c r="AC664" s="43"/>
      <c r="AD664" s="43"/>
      <c r="AE664" s="43"/>
      <c r="AF664" s="43">
        <v>0.78700000000000003</v>
      </c>
      <c r="AG664" s="43"/>
      <c r="AH664" s="43"/>
      <c r="AI664" s="43"/>
      <c r="AJ664" s="43">
        <v>0.57699999999999996</v>
      </c>
      <c r="AK664" s="43"/>
      <c r="AL664" s="43"/>
      <c r="AM664" s="43"/>
      <c r="AN664" s="43"/>
      <c r="AO664" s="43"/>
      <c r="AP664" s="43"/>
      <c r="AQ664" s="43"/>
      <c r="AR664" s="43"/>
      <c r="AS664" s="43"/>
      <c r="AT664" s="43"/>
      <c r="AU664" s="43"/>
      <c r="AV664" s="43"/>
      <c r="AW664" s="43"/>
      <c r="AX664" s="43"/>
      <c r="AY664" s="43"/>
      <c r="AZ664" s="43"/>
      <c r="BA664" s="43"/>
      <c r="BB664" s="43"/>
      <c r="BC664" s="43"/>
      <c r="BD664" s="43">
        <v>1.4490000000000001</v>
      </c>
      <c r="BE664" s="43"/>
      <c r="BF664" s="43"/>
      <c r="BG664" s="43"/>
      <c r="BH664" s="43"/>
      <c r="BI664" s="43"/>
      <c r="BJ664" s="43"/>
      <c r="BK664" s="43"/>
      <c r="BL664" s="43"/>
      <c r="BM664" s="43"/>
      <c r="BN664" s="43">
        <f t="shared" si="17"/>
        <v>1.4490000000000001</v>
      </c>
      <c r="BO664" s="43">
        <f t="shared" si="18"/>
        <v>2010</v>
      </c>
    </row>
    <row r="665" spans="2:67" x14ac:dyDescent="0.75">
      <c r="B665" s="43" t="s">
        <v>417</v>
      </c>
      <c r="C665" s="43" t="s">
        <v>59</v>
      </c>
      <c r="D665" s="43" t="s">
        <v>758</v>
      </c>
      <c r="E665" s="43" t="s">
        <v>757</v>
      </c>
      <c r="F665" s="43">
        <v>0.21</v>
      </c>
      <c r="G665" s="43"/>
      <c r="H665" s="43"/>
      <c r="I665" s="43"/>
      <c r="J665" s="43"/>
      <c r="K665" s="43">
        <v>0.20499999999999999</v>
      </c>
      <c r="L665" s="43"/>
      <c r="M665" s="43"/>
      <c r="N665" s="43"/>
      <c r="O665" s="43"/>
      <c r="P665" s="43">
        <v>0.20499999999999999</v>
      </c>
      <c r="Q665" s="43"/>
      <c r="R665" s="43"/>
      <c r="S665" s="43"/>
      <c r="T665" s="43"/>
      <c r="U665" s="43">
        <v>0.20399999999999999</v>
      </c>
      <c r="V665" s="43"/>
      <c r="W665" s="43"/>
      <c r="X665" s="43"/>
      <c r="Y665" s="43"/>
      <c r="Z665" s="43">
        <v>0.371</v>
      </c>
      <c r="AA665" s="43">
        <v>0.27</v>
      </c>
      <c r="AB665" s="43"/>
      <c r="AC665" s="43"/>
      <c r="AD665" s="43">
        <v>0.39600000000000002</v>
      </c>
      <c r="AE665" s="43"/>
      <c r="AF665" s="43"/>
      <c r="AG665" s="43"/>
      <c r="AH665" s="43">
        <v>0.40699999999999997</v>
      </c>
      <c r="AI665" s="43"/>
      <c r="AJ665" s="43"/>
      <c r="AK665" s="43">
        <v>1.2252000000000001</v>
      </c>
      <c r="AL665" s="43">
        <v>0.48</v>
      </c>
      <c r="AM665" s="43">
        <v>0.40699999999999997</v>
      </c>
      <c r="AN665" s="43"/>
      <c r="AO665" s="43"/>
      <c r="AP665" s="43"/>
      <c r="AQ665" s="43"/>
      <c r="AR665" s="43">
        <v>0.51300000000000001</v>
      </c>
      <c r="AS665" s="43"/>
      <c r="AT665" s="43">
        <v>0.52759999999999996</v>
      </c>
      <c r="AU665" s="43">
        <v>0.53859999999999997</v>
      </c>
      <c r="AV665" s="43">
        <v>0.55700000000000005</v>
      </c>
      <c r="AW665" s="43">
        <v>0.56440000000000001</v>
      </c>
      <c r="AX665" s="43">
        <v>0.57350000000000001</v>
      </c>
      <c r="AY665" s="43">
        <v>0.5776</v>
      </c>
      <c r="AZ665" s="43">
        <v>0.58689999999999998</v>
      </c>
      <c r="BA665" s="43">
        <v>0.60019999999999996</v>
      </c>
      <c r="BB665" s="43">
        <v>0.61539999999999995</v>
      </c>
      <c r="BC665" s="43">
        <v>0.62370000000000003</v>
      </c>
      <c r="BD665" s="43">
        <v>0.66339999999999999</v>
      </c>
      <c r="BE665" s="43">
        <v>0.73939999999999995</v>
      </c>
      <c r="BF665" s="43">
        <v>0.69969999999999999</v>
      </c>
      <c r="BG665" s="43">
        <v>0.71819999999999995</v>
      </c>
      <c r="BH665" s="43">
        <v>0.72560000000000002</v>
      </c>
      <c r="BI665" s="43"/>
      <c r="BJ665" s="43">
        <v>0.75919999999999999</v>
      </c>
      <c r="BK665" s="43">
        <v>0.77759999999999996</v>
      </c>
      <c r="BL665" s="43"/>
      <c r="BM665" s="43"/>
      <c r="BN665" s="43">
        <f t="shared" si="17"/>
        <v>0.77759999999999996</v>
      </c>
      <c r="BO665" s="43">
        <f t="shared" si="18"/>
        <v>2017</v>
      </c>
    </row>
    <row r="666" spans="2:67" x14ac:dyDescent="0.75">
      <c r="B666" s="43" t="s">
        <v>489</v>
      </c>
      <c r="C666" s="43" t="s">
        <v>490</v>
      </c>
      <c r="D666" s="43" t="s">
        <v>758</v>
      </c>
      <c r="E666" s="43" t="s">
        <v>757</v>
      </c>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t="str">
        <f t="shared" si="17"/>
        <v>No reported value</v>
      </c>
      <c r="BO666" s="43" t="str">
        <f t="shared" si="18"/>
        <v>No reported value</v>
      </c>
    </row>
    <row r="667" spans="2:67" x14ac:dyDescent="0.75">
      <c r="B667" s="43" t="s">
        <v>420</v>
      </c>
      <c r="C667" s="43" t="s">
        <v>60</v>
      </c>
      <c r="D667" s="43" t="s">
        <v>758</v>
      </c>
      <c r="E667" s="43" t="s">
        <v>757</v>
      </c>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v>2</v>
      </c>
      <c r="AM667" s="43">
        <v>2</v>
      </c>
      <c r="AN667" s="43">
        <v>2</v>
      </c>
      <c r="AO667" s="43">
        <v>2.1</v>
      </c>
      <c r="AP667" s="43">
        <v>2.1</v>
      </c>
      <c r="AQ667" s="43">
        <v>2.1</v>
      </c>
      <c r="AR667" s="43">
        <v>2.2000000000000002</v>
      </c>
      <c r="AS667" s="43">
        <v>2.2999999999999998</v>
      </c>
      <c r="AT667" s="43">
        <v>2.2000000000000002</v>
      </c>
      <c r="AU667" s="43">
        <v>2.4</v>
      </c>
      <c r="AV667" s="43">
        <v>2.4</v>
      </c>
      <c r="AW667" s="43">
        <v>2.6</v>
      </c>
      <c r="AX667" s="43">
        <v>2.786</v>
      </c>
      <c r="AY667" s="43"/>
      <c r="AZ667" s="43">
        <v>2.347</v>
      </c>
      <c r="BA667" s="43">
        <v>3.08</v>
      </c>
      <c r="BB667" s="43">
        <v>3.1869999999999998</v>
      </c>
      <c r="BC667" s="43"/>
      <c r="BD667" s="43"/>
      <c r="BE667" s="43">
        <v>2.6198000000000001</v>
      </c>
      <c r="BF667" s="43">
        <v>2.6613000000000002</v>
      </c>
      <c r="BG667" s="43">
        <v>2.6414</v>
      </c>
      <c r="BH667" s="43">
        <v>2.7702</v>
      </c>
      <c r="BI667" s="43">
        <v>2.7818999999999998</v>
      </c>
      <c r="BJ667" s="43">
        <v>2.9535999999999998</v>
      </c>
      <c r="BK667" s="43">
        <v>3.0861000000000001</v>
      </c>
      <c r="BL667" s="43"/>
      <c r="BM667" s="43"/>
      <c r="BN667" s="43">
        <f t="shared" si="17"/>
        <v>3.0861000000000001</v>
      </c>
      <c r="BO667" s="43">
        <f t="shared" si="18"/>
        <v>2017</v>
      </c>
    </row>
    <row r="668" spans="2:67" x14ac:dyDescent="0.75">
      <c r="B668" s="43" t="s">
        <v>418</v>
      </c>
      <c r="C668" s="43" t="s">
        <v>61</v>
      </c>
      <c r="D668" s="43" t="s">
        <v>758</v>
      </c>
      <c r="E668" s="43" t="s">
        <v>757</v>
      </c>
      <c r="F668" s="43">
        <v>0.24399999999999999</v>
      </c>
      <c r="G668" s="43"/>
      <c r="H668" s="43"/>
      <c r="I668" s="43"/>
      <c r="J668" s="43"/>
      <c r="K668" s="43">
        <v>0.25700000000000001</v>
      </c>
      <c r="L668" s="43"/>
      <c r="M668" s="43"/>
      <c r="N668" s="43"/>
      <c r="O668" s="43"/>
      <c r="P668" s="43">
        <v>0.30599999999999999</v>
      </c>
      <c r="Q668" s="43"/>
      <c r="R668" s="43"/>
      <c r="S668" s="43"/>
      <c r="T668" s="43"/>
      <c r="U668" s="43"/>
      <c r="V668" s="43"/>
      <c r="W668" s="43"/>
      <c r="X668" s="43"/>
      <c r="Y668" s="43"/>
      <c r="Z668" s="43"/>
      <c r="AA668" s="43">
        <v>0.33800000000000002</v>
      </c>
      <c r="AB668" s="43"/>
      <c r="AC668" s="43"/>
      <c r="AD668" s="43"/>
      <c r="AE668" s="43"/>
      <c r="AF668" s="43">
        <v>0.34699999999999998</v>
      </c>
      <c r="AG668" s="43">
        <v>0.376</v>
      </c>
      <c r="AH668" s="43">
        <v>0.318</v>
      </c>
      <c r="AI668" s="43"/>
      <c r="AJ668" s="43"/>
      <c r="AK668" s="43"/>
      <c r="AL668" s="43"/>
      <c r="AM668" s="43">
        <v>0.318</v>
      </c>
      <c r="AN668" s="43"/>
      <c r="AO668" s="43"/>
      <c r="AP668" s="43">
        <v>0.85</v>
      </c>
      <c r="AQ668" s="43"/>
      <c r="AR668" s="43">
        <v>1.0489999999999999</v>
      </c>
      <c r="AS668" s="43"/>
      <c r="AT668" s="43"/>
      <c r="AU668" s="43"/>
      <c r="AV668" s="43"/>
      <c r="AW668" s="43"/>
      <c r="AX668" s="43">
        <v>0.87319999999999998</v>
      </c>
      <c r="AY668" s="43">
        <v>0.87860000000000005</v>
      </c>
      <c r="AZ668" s="43">
        <v>0.53100000000000003</v>
      </c>
      <c r="BA668" s="43"/>
      <c r="BB668" s="43"/>
      <c r="BC668" s="43"/>
      <c r="BD668" s="43">
        <v>0.89</v>
      </c>
      <c r="BE668" s="43"/>
      <c r="BF668" s="43"/>
      <c r="BG668" s="43"/>
      <c r="BH668" s="43">
        <v>1.4862</v>
      </c>
      <c r="BI668" s="43">
        <v>1.1399999999999999</v>
      </c>
      <c r="BJ668" s="43"/>
      <c r="BK668" s="43"/>
      <c r="BL668" s="43"/>
      <c r="BM668" s="43"/>
      <c r="BN668" s="43">
        <f t="shared" si="17"/>
        <v>1.1399999999999999</v>
      </c>
      <c r="BO668" s="43">
        <f t="shared" si="18"/>
        <v>2015</v>
      </c>
    </row>
    <row r="669" spans="2:67" x14ac:dyDescent="0.75">
      <c r="B669" s="43" t="s">
        <v>419</v>
      </c>
      <c r="C669" s="43" t="s">
        <v>62</v>
      </c>
      <c r="D669" s="43" t="s">
        <v>758</v>
      </c>
      <c r="E669" s="43" t="s">
        <v>757</v>
      </c>
      <c r="F669" s="43">
        <v>0.19500000000000001</v>
      </c>
      <c r="G669" s="43"/>
      <c r="H669" s="43"/>
      <c r="I669" s="43"/>
      <c r="J669" s="43"/>
      <c r="K669" s="43">
        <v>0.2</v>
      </c>
      <c r="L669" s="43"/>
      <c r="M669" s="43"/>
      <c r="N669" s="43"/>
      <c r="O669" s="43"/>
      <c r="P669" s="43">
        <v>0.309</v>
      </c>
      <c r="Q669" s="43"/>
      <c r="R669" s="43"/>
      <c r="S669" s="43"/>
      <c r="T669" s="43"/>
      <c r="U669" s="43"/>
      <c r="V669" s="43"/>
      <c r="W669" s="43"/>
      <c r="X669" s="43"/>
      <c r="Y669" s="43"/>
      <c r="Z669" s="43">
        <v>0.56299999999999994</v>
      </c>
      <c r="AA669" s="43">
        <v>0.56799999999999995</v>
      </c>
      <c r="AB669" s="43"/>
      <c r="AC669" s="43"/>
      <c r="AD669" s="43"/>
      <c r="AE669" s="43"/>
      <c r="AF669" s="43">
        <v>0.59599999999999997</v>
      </c>
      <c r="AG669" s="43">
        <v>0.57599999999999996</v>
      </c>
      <c r="AH669" s="43"/>
      <c r="AI669" s="43"/>
      <c r="AJ669" s="43">
        <v>0.60299999999999998</v>
      </c>
      <c r="AK669" s="43"/>
      <c r="AL669" s="43"/>
      <c r="AM669" s="43">
        <v>0.60299999999999998</v>
      </c>
      <c r="AN669" s="43"/>
      <c r="AO669" s="43"/>
      <c r="AP669" s="43"/>
      <c r="AQ669" s="43"/>
      <c r="AR669" s="43">
        <v>0.55000000000000004</v>
      </c>
      <c r="AS669" s="43"/>
      <c r="AT669" s="43"/>
      <c r="AU669" s="43">
        <v>0.54300000000000004</v>
      </c>
      <c r="AV669" s="43"/>
      <c r="AW669" s="43"/>
      <c r="AX669" s="43">
        <v>0.65800000000000003</v>
      </c>
      <c r="AY669" s="43">
        <v>0.66</v>
      </c>
      <c r="AZ669" s="43"/>
      <c r="BA669" s="43">
        <v>0.52800000000000002</v>
      </c>
      <c r="BB669" s="43"/>
      <c r="BC669" s="43"/>
      <c r="BD669" s="43">
        <v>0.64159999999999995</v>
      </c>
      <c r="BE669" s="43"/>
      <c r="BF669" s="43"/>
      <c r="BG669" s="43"/>
      <c r="BH669" s="43">
        <v>0.86070000000000002</v>
      </c>
      <c r="BI669" s="43"/>
      <c r="BJ669" s="43">
        <v>0.84</v>
      </c>
      <c r="BK669" s="43">
        <v>0.82169999999999999</v>
      </c>
      <c r="BL669" s="43"/>
      <c r="BM669" s="43"/>
      <c r="BN669" s="43">
        <f t="shared" si="17"/>
        <v>0.82169999999999999</v>
      </c>
      <c r="BO669" s="43">
        <f t="shared" si="18"/>
        <v>2017</v>
      </c>
    </row>
    <row r="670" spans="2:67" x14ac:dyDescent="0.75">
      <c r="B670" s="43" t="s">
        <v>416</v>
      </c>
      <c r="C670" s="43" t="s">
        <v>63</v>
      </c>
      <c r="D670" s="43" t="s">
        <v>758</v>
      </c>
      <c r="E670" s="43" t="s">
        <v>757</v>
      </c>
      <c r="F670" s="43">
        <v>1.2</v>
      </c>
      <c r="G670" s="43">
        <v>1.2</v>
      </c>
      <c r="H670" s="43">
        <v>1.2</v>
      </c>
      <c r="I670" s="43">
        <v>1.2</v>
      </c>
      <c r="J670" s="43">
        <v>1.2</v>
      </c>
      <c r="K670" s="43">
        <v>1.2</v>
      </c>
      <c r="L670" s="43">
        <v>1.2</v>
      </c>
      <c r="M670" s="43">
        <v>1.2</v>
      </c>
      <c r="N670" s="43">
        <v>1.3</v>
      </c>
      <c r="O670" s="43">
        <v>1.3</v>
      </c>
      <c r="P670" s="43">
        <v>1.4</v>
      </c>
      <c r="Q670" s="43">
        <v>1.5</v>
      </c>
      <c r="R670" s="43">
        <v>1.6</v>
      </c>
      <c r="S670" s="43">
        <v>1.6</v>
      </c>
      <c r="T670" s="43">
        <v>1.7</v>
      </c>
      <c r="U670" s="43">
        <v>1.8</v>
      </c>
      <c r="V670" s="43">
        <v>1.9</v>
      </c>
      <c r="W670" s="43">
        <v>1.9</v>
      </c>
      <c r="X670" s="43">
        <v>2</v>
      </c>
      <c r="Y670" s="43">
        <v>2</v>
      </c>
      <c r="Z670" s="43">
        <v>2.1</v>
      </c>
      <c r="AA670" s="43">
        <v>2.2000000000000002</v>
      </c>
      <c r="AB670" s="43">
        <v>2.2999999999999998</v>
      </c>
      <c r="AC670" s="43">
        <v>2.2999999999999998</v>
      </c>
      <c r="AD670" s="43">
        <v>2.4</v>
      </c>
      <c r="AE670" s="43">
        <v>2.6</v>
      </c>
      <c r="AF670" s="43">
        <v>2.6</v>
      </c>
      <c r="AG670" s="43">
        <v>2.7</v>
      </c>
      <c r="AH670" s="43">
        <v>2.7</v>
      </c>
      <c r="AI670" s="43">
        <v>2.8</v>
      </c>
      <c r="AJ670" s="43">
        <v>2.8</v>
      </c>
      <c r="AK670" s="43">
        <v>2.8</v>
      </c>
      <c r="AL670" s="43">
        <v>3</v>
      </c>
      <c r="AM670" s="43">
        <v>3</v>
      </c>
      <c r="AN670" s="43">
        <v>3</v>
      </c>
      <c r="AO670" s="43">
        <v>3</v>
      </c>
      <c r="AP670" s="43">
        <v>3.1</v>
      </c>
      <c r="AQ670" s="43">
        <v>3.3</v>
      </c>
      <c r="AR670" s="43">
        <v>3.3</v>
      </c>
      <c r="AS670" s="43">
        <v>3.4</v>
      </c>
      <c r="AT670" s="43">
        <v>3.4521999999999999</v>
      </c>
      <c r="AU670" s="43">
        <v>3.4994999999999998</v>
      </c>
      <c r="AV670" s="43">
        <v>3.6067</v>
      </c>
      <c r="AW670" s="43">
        <v>3.6354000000000002</v>
      </c>
      <c r="AX670" s="43">
        <v>3.6276000000000002</v>
      </c>
      <c r="AY670" s="43">
        <v>3.6271</v>
      </c>
      <c r="AZ670" s="43">
        <v>3.6469999999999998</v>
      </c>
      <c r="BA670" s="43">
        <v>3.6926999999999999</v>
      </c>
      <c r="BB670" s="43">
        <v>3.7246999999999999</v>
      </c>
      <c r="BC670" s="43">
        <v>3.6919</v>
      </c>
      <c r="BD670" s="43">
        <v>3.5653999999999999</v>
      </c>
      <c r="BE670" s="43">
        <v>3.4569999999999999</v>
      </c>
      <c r="BF670" s="43">
        <v>3.5084</v>
      </c>
      <c r="BG670" s="43">
        <v>3.5718999999999999</v>
      </c>
      <c r="BH670" s="43">
        <v>3.6316999999999999</v>
      </c>
      <c r="BI670" s="43">
        <v>3.7826</v>
      </c>
      <c r="BJ670" s="43">
        <v>3.8856999999999999</v>
      </c>
      <c r="BK670" s="43">
        <v>3.9701</v>
      </c>
      <c r="BL670" s="43"/>
      <c r="BM670" s="43"/>
      <c r="BN670" s="43">
        <f t="shared" si="17"/>
        <v>3.9701</v>
      </c>
      <c r="BO670" s="43">
        <f t="shared" si="18"/>
        <v>2017</v>
      </c>
    </row>
    <row r="671" spans="2:67" x14ac:dyDescent="0.75">
      <c r="B671" s="43" t="s">
        <v>423</v>
      </c>
      <c r="C671" s="43" t="s">
        <v>64</v>
      </c>
      <c r="D671" s="43" t="s">
        <v>758</v>
      </c>
      <c r="E671" s="43" t="s">
        <v>757</v>
      </c>
      <c r="F671" s="43">
        <v>2.472</v>
      </c>
      <c r="G671" s="43"/>
      <c r="H671" s="43"/>
      <c r="I671" s="43"/>
      <c r="J671" s="43"/>
      <c r="K671" s="43">
        <v>2.5</v>
      </c>
      <c r="L671" s="43"/>
      <c r="M671" s="43"/>
      <c r="N671" s="43"/>
      <c r="O671" s="43"/>
      <c r="P671" s="43">
        <v>2.8809999999999998</v>
      </c>
      <c r="Q671" s="43">
        <v>2.9740000000000002</v>
      </c>
      <c r="R671" s="43">
        <v>3.1560000000000001</v>
      </c>
      <c r="S671" s="43">
        <v>3.3039999999999998</v>
      </c>
      <c r="T671" s="43"/>
      <c r="U671" s="43"/>
      <c r="V671" s="43"/>
      <c r="W671" s="43"/>
      <c r="X671" s="43"/>
      <c r="Y671" s="43">
        <v>2.694</v>
      </c>
      <c r="Z671" s="43">
        <v>3.0939999999999999</v>
      </c>
      <c r="AA671" s="43">
        <v>3.1669999999999998</v>
      </c>
      <c r="AB671" s="43">
        <v>3.214</v>
      </c>
      <c r="AC671" s="43">
        <v>3.323</v>
      </c>
      <c r="AD671" s="43">
        <v>3.3530000000000002</v>
      </c>
      <c r="AE671" s="43">
        <v>3.2149999999999999</v>
      </c>
      <c r="AF671" s="43">
        <v>3.2</v>
      </c>
      <c r="AG671" s="43">
        <v>3.2069999999999999</v>
      </c>
      <c r="AH671" s="43">
        <v>3.21</v>
      </c>
      <c r="AI671" s="43">
        <v>3.1949999999999998</v>
      </c>
      <c r="AJ671" s="43">
        <v>3.2069999999999999</v>
      </c>
      <c r="AK671" s="43">
        <v>3.3029999999999999</v>
      </c>
      <c r="AL671" s="43">
        <v>3.657</v>
      </c>
      <c r="AM671" s="43">
        <v>3.6960000000000002</v>
      </c>
      <c r="AN671" s="43">
        <v>3.7309999999999999</v>
      </c>
      <c r="AO671" s="43">
        <v>4.8555000000000001</v>
      </c>
      <c r="AP671" s="43">
        <v>3.766</v>
      </c>
      <c r="AQ671" s="43">
        <v>3.7930000000000001</v>
      </c>
      <c r="AR671" s="43">
        <v>3.7749999999999999</v>
      </c>
      <c r="AS671" s="43">
        <v>3.915</v>
      </c>
      <c r="AT671" s="43">
        <v>3.766</v>
      </c>
      <c r="AU671" s="43">
        <v>3.91</v>
      </c>
      <c r="AV671" s="43"/>
      <c r="AW671" s="43">
        <v>3.82</v>
      </c>
      <c r="AX671" s="43"/>
      <c r="AY671" s="43"/>
      <c r="AZ671" s="43">
        <v>3.67</v>
      </c>
      <c r="BA671" s="43">
        <v>3.633</v>
      </c>
      <c r="BB671" s="43"/>
      <c r="BC671" s="43"/>
      <c r="BD671" s="43">
        <v>3.4114</v>
      </c>
      <c r="BE671" s="43">
        <v>3.3426999999999998</v>
      </c>
      <c r="BF671" s="43">
        <v>3.3422999999999998</v>
      </c>
      <c r="BG671" s="43">
        <v>3.5375000000000001</v>
      </c>
      <c r="BH671" s="43">
        <v>3.0844</v>
      </c>
      <c r="BI671" s="43">
        <v>3.1905999999999999</v>
      </c>
      <c r="BJ671" s="43">
        <v>3.2176</v>
      </c>
      <c r="BK671" s="43"/>
      <c r="BL671" s="43"/>
      <c r="BM671" s="43"/>
      <c r="BN671" s="43">
        <f t="shared" si="17"/>
        <v>3.2176</v>
      </c>
      <c r="BO671" s="43">
        <f t="shared" si="18"/>
        <v>2016</v>
      </c>
    </row>
    <row r="672" spans="2:67" x14ac:dyDescent="0.75">
      <c r="B672" s="43" t="s">
        <v>424</v>
      </c>
      <c r="C672" s="43" t="s">
        <v>65</v>
      </c>
      <c r="D672" s="43" t="s">
        <v>758</v>
      </c>
      <c r="E672" s="43" t="s">
        <v>757</v>
      </c>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v>3.8</v>
      </c>
      <c r="AN672" s="43">
        <v>3.7</v>
      </c>
      <c r="AO672" s="43">
        <v>3.9</v>
      </c>
      <c r="AP672" s="43">
        <v>4.0999999999999996</v>
      </c>
      <c r="AQ672" s="43">
        <v>4</v>
      </c>
      <c r="AR672" s="43">
        <v>4.0999999999999996</v>
      </c>
      <c r="AS672" s="43">
        <v>4.2</v>
      </c>
      <c r="AT672" s="43">
        <v>4.2</v>
      </c>
      <c r="AU672" s="43">
        <v>4.4000000000000004</v>
      </c>
      <c r="AV672" s="43">
        <v>4.4000000000000004</v>
      </c>
      <c r="AW672" s="43">
        <v>4.0999999999999996</v>
      </c>
      <c r="AX672" s="43">
        <v>4.2030000000000003</v>
      </c>
      <c r="AY672" s="43"/>
      <c r="AZ672" s="43">
        <v>3.7</v>
      </c>
      <c r="BA672" s="43"/>
      <c r="BB672" s="43">
        <v>4.242</v>
      </c>
      <c r="BC672" s="43">
        <v>3.802</v>
      </c>
      <c r="BD672" s="43"/>
      <c r="BE672" s="43"/>
      <c r="BF672" s="43">
        <v>3.8607999999999998</v>
      </c>
      <c r="BG672" s="43">
        <v>3.9371</v>
      </c>
      <c r="BH672" s="43">
        <v>3.9588000000000001</v>
      </c>
      <c r="BI672" s="43">
        <v>3.9174000000000002</v>
      </c>
      <c r="BJ672" s="43">
        <v>4.0323000000000002</v>
      </c>
      <c r="BK672" s="43">
        <v>4.0930999999999997</v>
      </c>
      <c r="BL672" s="43"/>
      <c r="BM672" s="43"/>
      <c r="BN672" s="43">
        <f t="shared" si="17"/>
        <v>4.0930999999999997</v>
      </c>
      <c r="BO672" s="43">
        <f t="shared" si="18"/>
        <v>2017</v>
      </c>
    </row>
    <row r="673" spans="2:67" x14ac:dyDescent="0.75">
      <c r="B673" s="43" t="s">
        <v>425</v>
      </c>
      <c r="C673" s="43" t="s">
        <v>66</v>
      </c>
      <c r="D673" s="43" t="s">
        <v>758</v>
      </c>
      <c r="E673" s="43" t="s">
        <v>757</v>
      </c>
      <c r="F673" s="43">
        <v>0.38600000000000001</v>
      </c>
      <c r="G673" s="43"/>
      <c r="H673" s="43"/>
      <c r="I673" s="43"/>
      <c r="J673" s="43"/>
      <c r="K673" s="43">
        <v>0.502</v>
      </c>
      <c r="L673" s="43"/>
      <c r="M673" s="43"/>
      <c r="N673" s="43"/>
      <c r="O673" s="43"/>
      <c r="P673" s="43">
        <v>0.38</v>
      </c>
      <c r="Q673" s="43"/>
      <c r="R673" s="43"/>
      <c r="S673" s="43"/>
      <c r="T673" s="43"/>
      <c r="U673" s="43"/>
      <c r="V673" s="43"/>
      <c r="W673" s="43"/>
      <c r="X673" s="43"/>
      <c r="Y673" s="43">
        <v>0.36099999999999999</v>
      </c>
      <c r="Z673" s="43"/>
      <c r="AA673" s="43">
        <v>0.35899999999999999</v>
      </c>
      <c r="AB673" s="43"/>
      <c r="AC673" s="43"/>
      <c r="AD673" s="43">
        <v>0.48899999999999999</v>
      </c>
      <c r="AE673" s="43"/>
      <c r="AF673" s="43"/>
      <c r="AG673" s="43"/>
      <c r="AH673" s="43"/>
      <c r="AI673" s="43"/>
      <c r="AJ673" s="43">
        <v>0.56999999999999995</v>
      </c>
      <c r="AK673" s="43"/>
      <c r="AL673" s="43"/>
      <c r="AM673" s="43">
        <v>0.47199999999999998</v>
      </c>
      <c r="AN673" s="43"/>
      <c r="AO673" s="43">
        <v>0.56999999999999995</v>
      </c>
      <c r="AP673" s="43">
        <v>1.401</v>
      </c>
      <c r="AQ673" s="43">
        <v>1.401</v>
      </c>
      <c r="AR673" s="43"/>
      <c r="AS673" s="43"/>
      <c r="AT673" s="43"/>
      <c r="AU673" s="43"/>
      <c r="AV673" s="43"/>
      <c r="AW673" s="43">
        <v>0.8306</v>
      </c>
      <c r="AX673" s="43"/>
      <c r="AY673" s="43"/>
      <c r="AZ673" s="43"/>
      <c r="BA673" s="43"/>
      <c r="BB673" s="43">
        <v>0.39529999999999998</v>
      </c>
      <c r="BC673" s="43"/>
      <c r="BD673" s="43"/>
      <c r="BE673" s="43"/>
      <c r="BF673" s="43">
        <v>0.35410000000000003</v>
      </c>
      <c r="BG673" s="43">
        <v>0.46879999999999999</v>
      </c>
      <c r="BH673" s="43">
        <v>0.38150000000000001</v>
      </c>
      <c r="BI673" s="43">
        <v>0.41749999999999998</v>
      </c>
      <c r="BJ673" s="43">
        <v>0.45879999999999999</v>
      </c>
      <c r="BK673" s="43">
        <v>1.3199000000000001</v>
      </c>
      <c r="BL673" s="43"/>
      <c r="BM673" s="43"/>
      <c r="BN673" s="43">
        <f t="shared" si="17"/>
        <v>1.3199000000000001</v>
      </c>
      <c r="BO673" s="43">
        <f t="shared" si="18"/>
        <v>2017</v>
      </c>
    </row>
    <row r="674" spans="2:67" x14ac:dyDescent="0.75">
      <c r="B674" s="43" t="s">
        <v>427</v>
      </c>
      <c r="C674" s="43" t="s">
        <v>67</v>
      </c>
      <c r="D674" s="43" t="s">
        <v>758</v>
      </c>
      <c r="E674" s="43" t="s">
        <v>757</v>
      </c>
      <c r="F674" s="43">
        <v>0.34599999999999997</v>
      </c>
      <c r="G674" s="43"/>
      <c r="H674" s="43"/>
      <c r="I674" s="43"/>
      <c r="J674" s="43"/>
      <c r="K674" s="43">
        <v>0.37</v>
      </c>
      <c r="L674" s="43"/>
      <c r="M674" s="43"/>
      <c r="N674" s="43"/>
      <c r="O674" s="43"/>
      <c r="P674" s="43">
        <v>0.40400000000000003</v>
      </c>
      <c r="Q674" s="43"/>
      <c r="R674" s="43"/>
      <c r="S674" s="43"/>
      <c r="T674" s="43"/>
      <c r="U674" s="43">
        <v>0.378</v>
      </c>
      <c r="V674" s="43"/>
      <c r="W674" s="43"/>
      <c r="X674" s="43"/>
      <c r="Y674" s="43"/>
      <c r="Z674" s="43">
        <v>0.78600000000000003</v>
      </c>
      <c r="AA674" s="43">
        <v>1.1140000000000001</v>
      </c>
      <c r="AB674" s="43">
        <v>1.1279999999999999</v>
      </c>
      <c r="AC674" s="43"/>
      <c r="AD674" s="43">
        <v>1.159</v>
      </c>
      <c r="AE674" s="43"/>
      <c r="AF674" s="43"/>
      <c r="AG674" s="43"/>
      <c r="AH674" s="43"/>
      <c r="AI674" s="43"/>
      <c r="AJ674" s="43"/>
      <c r="AK674" s="43">
        <v>1.3480000000000001</v>
      </c>
      <c r="AL674" s="43"/>
      <c r="AM674" s="43"/>
      <c r="AN674" s="43">
        <v>1.625</v>
      </c>
      <c r="AO674" s="43"/>
      <c r="AP674" s="43"/>
      <c r="AQ674" s="43">
        <v>1.66</v>
      </c>
      <c r="AR674" s="43">
        <v>0.99209999999999998</v>
      </c>
      <c r="AS674" s="43">
        <v>1.9314</v>
      </c>
      <c r="AT674" s="43">
        <v>1.8763000000000001</v>
      </c>
      <c r="AU674" s="43">
        <v>2.0461999999999998</v>
      </c>
      <c r="AV674" s="43">
        <v>2.2155999999999998</v>
      </c>
      <c r="AW674" s="43">
        <v>2.2930000000000001</v>
      </c>
      <c r="AX674" s="43">
        <v>2.0590000000000002</v>
      </c>
      <c r="AY674" s="43">
        <v>2.2591000000000001</v>
      </c>
      <c r="AZ674" s="43">
        <v>2.3132000000000001</v>
      </c>
      <c r="BA674" s="43">
        <v>2.4670999999999998</v>
      </c>
      <c r="BB674" s="43">
        <v>2.246</v>
      </c>
      <c r="BC674" s="43">
        <v>2.1513</v>
      </c>
      <c r="BD674" s="43">
        <v>2.2572000000000001</v>
      </c>
      <c r="BE674" s="43"/>
      <c r="BF674" s="43"/>
      <c r="BG674" s="43">
        <v>2.2223000000000002</v>
      </c>
      <c r="BH674" s="43">
        <v>2.2311999999999999</v>
      </c>
      <c r="BI674" s="43">
        <v>2.8407</v>
      </c>
      <c r="BJ674" s="43">
        <v>1.4098999999999999</v>
      </c>
      <c r="BK674" s="43">
        <v>2.3435999999999999</v>
      </c>
      <c r="BL674" s="43"/>
      <c r="BM674" s="43"/>
      <c r="BN674" s="43">
        <f t="shared" si="17"/>
        <v>2.3435999999999999</v>
      </c>
      <c r="BO674" s="43">
        <f t="shared" si="18"/>
        <v>2017</v>
      </c>
    </row>
    <row r="675" spans="2:67" x14ac:dyDescent="0.75">
      <c r="B675" s="43" t="s">
        <v>426</v>
      </c>
      <c r="C675" s="43" t="s">
        <v>68</v>
      </c>
      <c r="D675" s="43" t="s">
        <v>758</v>
      </c>
      <c r="E675" s="43" t="s">
        <v>757</v>
      </c>
      <c r="F675" s="43">
        <v>1</v>
      </c>
      <c r="G675" s="43">
        <v>1</v>
      </c>
      <c r="H675" s="43">
        <v>1</v>
      </c>
      <c r="I675" s="43">
        <v>1</v>
      </c>
      <c r="J675" s="43">
        <v>1</v>
      </c>
      <c r="K675" s="43">
        <v>1</v>
      </c>
      <c r="L675" s="43">
        <v>1</v>
      </c>
      <c r="M675" s="43">
        <v>1</v>
      </c>
      <c r="N675" s="43">
        <v>1</v>
      </c>
      <c r="O675" s="43">
        <v>1.1000000000000001</v>
      </c>
      <c r="P675" s="43">
        <v>1.1000000000000001</v>
      </c>
      <c r="Q675" s="43">
        <v>1.1000000000000001</v>
      </c>
      <c r="R675" s="43">
        <v>1.1000000000000001</v>
      </c>
      <c r="S675" s="43">
        <v>1.1000000000000001</v>
      </c>
      <c r="T675" s="43">
        <v>1.1000000000000001</v>
      </c>
      <c r="U675" s="43">
        <v>1.1000000000000001</v>
      </c>
      <c r="V675" s="43">
        <v>1.1000000000000001</v>
      </c>
      <c r="W675" s="43">
        <v>1.2</v>
      </c>
      <c r="X675" s="43">
        <v>1.2</v>
      </c>
      <c r="Y675" s="43">
        <v>1.2</v>
      </c>
      <c r="Z675" s="43"/>
      <c r="AA675" s="43">
        <v>1.3</v>
      </c>
      <c r="AB675" s="43"/>
      <c r="AC675" s="43"/>
      <c r="AD675" s="43"/>
      <c r="AE675" s="43">
        <v>1.5</v>
      </c>
      <c r="AF675" s="43"/>
      <c r="AG675" s="43"/>
      <c r="AH675" s="43"/>
      <c r="AI675" s="43"/>
      <c r="AJ675" s="43">
        <v>1.7010000000000001</v>
      </c>
      <c r="AK675" s="43"/>
      <c r="AL675" s="43">
        <v>1.7527999999999999</v>
      </c>
      <c r="AM675" s="43"/>
      <c r="AN675" s="43">
        <v>1.8286</v>
      </c>
      <c r="AO675" s="43"/>
      <c r="AP675" s="43">
        <v>1.9020999999999999</v>
      </c>
      <c r="AQ675" s="43"/>
      <c r="AR675" s="43">
        <v>1.9556</v>
      </c>
      <c r="AS675" s="43"/>
      <c r="AT675" s="43">
        <v>2.0057</v>
      </c>
      <c r="AU675" s="43"/>
      <c r="AV675" s="43">
        <v>2.0537999999999998</v>
      </c>
      <c r="AW675" s="43"/>
      <c r="AX675" s="43">
        <v>2.1088</v>
      </c>
      <c r="AY675" s="43"/>
      <c r="AZ675" s="43">
        <v>2.1640000000000001</v>
      </c>
      <c r="BA675" s="43"/>
      <c r="BB675" s="43">
        <v>2.2302</v>
      </c>
      <c r="BC675" s="43"/>
      <c r="BD675" s="43">
        <v>2.2469999999999999</v>
      </c>
      <c r="BE675" s="43"/>
      <c r="BF675" s="43">
        <v>2.274</v>
      </c>
      <c r="BG675" s="43"/>
      <c r="BH675" s="43">
        <v>2.3414000000000001</v>
      </c>
      <c r="BI675" s="43"/>
      <c r="BJ675" s="43">
        <v>2.4117999999999999</v>
      </c>
      <c r="BK675" s="43"/>
      <c r="BL675" s="43"/>
      <c r="BM675" s="43"/>
      <c r="BN675" s="43">
        <f t="shared" si="17"/>
        <v>2.4117999999999999</v>
      </c>
      <c r="BO675" s="43">
        <f t="shared" si="18"/>
        <v>2016</v>
      </c>
    </row>
    <row r="676" spans="2:67" x14ac:dyDescent="0.75">
      <c r="B676" s="43" t="s">
        <v>428</v>
      </c>
      <c r="C676" s="43" t="s">
        <v>69</v>
      </c>
      <c r="D676" s="43" t="s">
        <v>758</v>
      </c>
      <c r="E676" s="43" t="s">
        <v>757</v>
      </c>
      <c r="F676" s="43"/>
      <c r="G676" s="43"/>
      <c r="H676" s="43"/>
      <c r="I676" s="43"/>
      <c r="J676" s="43"/>
      <c r="K676" s="43"/>
      <c r="L676" s="43"/>
      <c r="M676" s="43"/>
      <c r="N676" s="43"/>
      <c r="O676" s="43"/>
      <c r="P676" s="43"/>
      <c r="Q676" s="43"/>
      <c r="R676" s="43"/>
      <c r="S676" s="43"/>
      <c r="T676" s="43"/>
      <c r="U676" s="43"/>
      <c r="V676" s="43"/>
      <c r="W676" s="43"/>
      <c r="X676" s="43"/>
      <c r="Y676" s="43"/>
      <c r="Z676" s="43">
        <v>3.036</v>
      </c>
      <c r="AA676" s="43">
        <v>3.1539999999999999</v>
      </c>
      <c r="AB676" s="43">
        <v>3.2530000000000001</v>
      </c>
      <c r="AC676" s="43">
        <v>3.3959999999999999</v>
      </c>
      <c r="AD676" s="43">
        <v>3.5310000000000001</v>
      </c>
      <c r="AE676" s="43">
        <v>3.629</v>
      </c>
      <c r="AF676" s="43">
        <v>3.7240000000000002</v>
      </c>
      <c r="AG676" s="43">
        <v>3.7909999999999999</v>
      </c>
      <c r="AH676" s="43">
        <v>3.8719999999999999</v>
      </c>
      <c r="AI676" s="43">
        <v>3.9620000000000002</v>
      </c>
      <c r="AJ676" s="43">
        <v>3.976</v>
      </c>
      <c r="AK676" s="43">
        <v>3.839</v>
      </c>
      <c r="AL676" s="43">
        <v>3.9079999999999999</v>
      </c>
      <c r="AM676" s="43">
        <v>3.766</v>
      </c>
      <c r="AN676" s="43">
        <v>3.6040000000000001</v>
      </c>
      <c r="AO676" s="43">
        <v>3.6349999999999998</v>
      </c>
      <c r="AP676" s="43">
        <v>3.6389999999999998</v>
      </c>
      <c r="AQ676" s="43">
        <v>3.3010000000000002</v>
      </c>
      <c r="AR676" s="43">
        <v>3.528</v>
      </c>
      <c r="AS676" s="43">
        <v>3.2010000000000001</v>
      </c>
      <c r="AT676" s="43">
        <v>3.2919999999999998</v>
      </c>
      <c r="AU676" s="43">
        <v>3.302</v>
      </c>
      <c r="AV676" s="43">
        <v>3.6120000000000001</v>
      </c>
      <c r="AW676" s="43">
        <v>3.5390000000000001</v>
      </c>
      <c r="AX676" s="43">
        <v>3.6</v>
      </c>
      <c r="AY676" s="43">
        <v>3.7</v>
      </c>
      <c r="AZ676" s="43">
        <v>3.88</v>
      </c>
      <c r="BA676" s="43">
        <v>3.8769999999999998</v>
      </c>
      <c r="BB676" s="43">
        <v>3.7</v>
      </c>
      <c r="BC676" s="43">
        <v>3.6869999999999998</v>
      </c>
      <c r="BD676" s="43">
        <v>3.4866999999999999</v>
      </c>
      <c r="BE676" s="43">
        <v>3.5278999999999998</v>
      </c>
      <c r="BF676" s="43">
        <v>3.4683999999999999</v>
      </c>
      <c r="BG676" s="43">
        <v>3.4794999999999998</v>
      </c>
      <c r="BH676" s="43">
        <v>3.2522000000000002</v>
      </c>
      <c r="BI676" s="43"/>
      <c r="BJ676" s="43"/>
      <c r="BK676" s="43"/>
      <c r="BL676" s="43"/>
      <c r="BM676" s="43"/>
      <c r="BN676" s="43">
        <f t="shared" si="17"/>
        <v>3.2522000000000002</v>
      </c>
      <c r="BO676" s="43">
        <f t="shared" si="18"/>
        <v>2014</v>
      </c>
    </row>
    <row r="677" spans="2:67" x14ac:dyDescent="0.75">
      <c r="B677" s="43" t="s">
        <v>199</v>
      </c>
      <c r="C677" s="43" t="s">
        <v>70</v>
      </c>
      <c r="D677" s="43" t="s">
        <v>758</v>
      </c>
      <c r="E677" s="43" t="s">
        <v>757</v>
      </c>
      <c r="F677" s="43">
        <v>9.1999999999999998E-2</v>
      </c>
      <c r="G677" s="43"/>
      <c r="H677" s="43"/>
      <c r="I677" s="43"/>
      <c r="J677" s="43"/>
      <c r="K677" s="43">
        <v>7.4999999999999997E-2</v>
      </c>
      <c r="L677" s="43"/>
      <c r="M677" s="43"/>
      <c r="N677" s="43"/>
      <c r="O677" s="43"/>
      <c r="P677" s="43">
        <v>0.125</v>
      </c>
      <c r="Q677" s="43"/>
      <c r="R677" s="43"/>
      <c r="S677" s="43"/>
      <c r="T677" s="43"/>
      <c r="U677" s="43">
        <v>0.127</v>
      </c>
      <c r="V677" s="43"/>
      <c r="W677" s="43"/>
      <c r="X677" s="43"/>
      <c r="Y677" s="43"/>
      <c r="Z677" s="43"/>
      <c r="AA677" s="43">
        <v>9.9000000000000005E-2</v>
      </c>
      <c r="AB677" s="43">
        <v>0.12</v>
      </c>
      <c r="AC677" s="43"/>
      <c r="AD677" s="43"/>
      <c r="AE677" s="43">
        <v>0.154</v>
      </c>
      <c r="AF677" s="43"/>
      <c r="AG677" s="43"/>
      <c r="AH677" s="43"/>
      <c r="AI677" s="43"/>
      <c r="AJ677" s="43">
        <v>4.4999999999999998E-2</v>
      </c>
      <c r="AK677" s="43"/>
      <c r="AL677" s="43"/>
      <c r="AM677" s="43">
        <v>0.13800000000000001</v>
      </c>
      <c r="AN677" s="43"/>
      <c r="AO677" s="43">
        <v>0.13200000000000001</v>
      </c>
      <c r="AP677" s="43"/>
      <c r="AQ677" s="43"/>
      <c r="AR677" s="43"/>
      <c r="AS677" s="43"/>
      <c r="AT677" s="43"/>
      <c r="AU677" s="43"/>
      <c r="AV677" s="43">
        <v>0.13569999999999999</v>
      </c>
      <c r="AW677" s="43"/>
      <c r="AX677" s="43"/>
      <c r="AY677" s="43"/>
      <c r="AZ677" s="43"/>
      <c r="BA677" s="43"/>
      <c r="BB677" s="43">
        <v>0.16919999999999999</v>
      </c>
      <c r="BC677" s="43">
        <v>0.1714</v>
      </c>
      <c r="BD677" s="43">
        <v>0.1724</v>
      </c>
      <c r="BE677" s="43">
        <v>0.1777</v>
      </c>
      <c r="BF677" s="43">
        <v>0.18540000000000001</v>
      </c>
      <c r="BG677" s="43">
        <v>0.19370000000000001</v>
      </c>
      <c r="BH677" s="43">
        <v>0.1988</v>
      </c>
      <c r="BI677" s="43"/>
      <c r="BJ677" s="43"/>
      <c r="BK677" s="43"/>
      <c r="BL677" s="43"/>
      <c r="BM677" s="43"/>
      <c r="BN677" s="43">
        <f t="shared" si="17"/>
        <v>0.1988</v>
      </c>
      <c r="BO677" s="43">
        <f t="shared" si="18"/>
        <v>2014</v>
      </c>
    </row>
    <row r="678" spans="2:67" x14ac:dyDescent="0.75">
      <c r="B678" s="43" t="s">
        <v>433</v>
      </c>
      <c r="C678" s="43" t="s">
        <v>71</v>
      </c>
      <c r="D678" s="43" t="s">
        <v>758</v>
      </c>
      <c r="E678" s="43" t="s">
        <v>757</v>
      </c>
      <c r="F678" s="43"/>
      <c r="G678" s="43"/>
      <c r="H678" s="43"/>
      <c r="I678" s="43"/>
      <c r="J678" s="43"/>
      <c r="K678" s="43"/>
      <c r="L678" s="43"/>
      <c r="M678" s="43"/>
      <c r="N678" s="43"/>
      <c r="O678" s="43"/>
      <c r="P678" s="43"/>
      <c r="Q678" s="43"/>
      <c r="R678" s="43"/>
      <c r="S678" s="43"/>
      <c r="T678" s="43"/>
      <c r="U678" s="43"/>
      <c r="V678" s="43"/>
      <c r="W678" s="43"/>
      <c r="X678" s="43"/>
      <c r="Y678" s="43"/>
      <c r="Z678" s="43">
        <v>2.6019999999999999</v>
      </c>
      <c r="AA678" s="43">
        <v>3.0880000000000001</v>
      </c>
      <c r="AB678" s="43">
        <v>2.7690000000000001</v>
      </c>
      <c r="AC678" s="43">
        <v>3.0609999999999999</v>
      </c>
      <c r="AD678" s="43">
        <v>2.9279999999999999</v>
      </c>
      <c r="AE678" s="43">
        <v>3.0390000000000001</v>
      </c>
      <c r="AF678" s="43">
        <v>3.1469999999999998</v>
      </c>
      <c r="AG678" s="43">
        <v>3.25</v>
      </c>
      <c r="AH678" s="43">
        <v>3.323</v>
      </c>
      <c r="AI678" s="43">
        <v>3.3690000000000002</v>
      </c>
      <c r="AJ678" s="43">
        <v>3.3740000000000001</v>
      </c>
      <c r="AK678" s="43">
        <v>3.4119999999999999</v>
      </c>
      <c r="AL678" s="43">
        <v>3.3490000000000002</v>
      </c>
      <c r="AM678" s="43">
        <v>3.1179999999999999</v>
      </c>
      <c r="AN678" s="43">
        <v>3.0960000000000001</v>
      </c>
      <c r="AO678" s="43">
        <v>3.2080000000000002</v>
      </c>
      <c r="AP678" s="43">
        <v>3.2930000000000001</v>
      </c>
      <c r="AQ678" s="43">
        <v>3.0579999999999998</v>
      </c>
      <c r="AR678" s="43">
        <v>3.01</v>
      </c>
      <c r="AS678" s="43">
        <v>2.875</v>
      </c>
      <c r="AT678" s="43">
        <v>2.823</v>
      </c>
      <c r="AU678" s="43">
        <v>2.6789999999999998</v>
      </c>
      <c r="AV678" s="43">
        <v>2.6</v>
      </c>
      <c r="AW678" s="43">
        <v>2.6</v>
      </c>
      <c r="AX678" s="43">
        <v>2.5</v>
      </c>
      <c r="AY678" s="43"/>
      <c r="AZ678" s="43">
        <v>2.39</v>
      </c>
      <c r="BA678" s="43">
        <v>2.3010000000000002</v>
      </c>
      <c r="BB678" s="43">
        <v>2.4822000000000002</v>
      </c>
      <c r="BC678" s="43">
        <v>2.4594</v>
      </c>
      <c r="BD678" s="43">
        <v>1.8953</v>
      </c>
      <c r="BE678" s="43">
        <v>1.927</v>
      </c>
      <c r="BF678" s="43">
        <v>1.9124000000000001</v>
      </c>
      <c r="BG678" s="43">
        <v>1.9068000000000001</v>
      </c>
      <c r="BH678" s="43">
        <v>1.8759999999999999</v>
      </c>
      <c r="BI678" s="43"/>
      <c r="BJ678" s="43"/>
      <c r="BK678" s="43"/>
      <c r="BL678" s="43"/>
      <c r="BM678" s="43"/>
      <c r="BN678" s="43">
        <f t="shared" si="17"/>
        <v>1.8759999999999999</v>
      </c>
      <c r="BO678" s="43">
        <f t="shared" si="18"/>
        <v>2014</v>
      </c>
    </row>
    <row r="679" spans="2:67" x14ac:dyDescent="0.75">
      <c r="B679" s="43" t="s">
        <v>247</v>
      </c>
      <c r="C679" s="43" t="s">
        <v>72</v>
      </c>
      <c r="D679" s="43" t="s">
        <v>758</v>
      </c>
      <c r="E679" s="43" t="s">
        <v>757</v>
      </c>
      <c r="F679" s="43">
        <v>2.8000000000000001E-2</v>
      </c>
      <c r="G679" s="43"/>
      <c r="H679" s="43"/>
      <c r="I679" s="43"/>
      <c r="J679" s="43"/>
      <c r="K679" s="43">
        <v>4.4999999999999998E-2</v>
      </c>
      <c r="L679" s="43"/>
      <c r="M679" s="43"/>
      <c r="N679" s="43"/>
      <c r="O679" s="43"/>
      <c r="P679" s="43">
        <v>6.2E-2</v>
      </c>
      <c r="Q679" s="43"/>
      <c r="R679" s="43"/>
      <c r="S679" s="43"/>
      <c r="T679" s="43"/>
      <c r="U679" s="43"/>
      <c r="V679" s="43"/>
      <c r="W679" s="43"/>
      <c r="X679" s="43"/>
      <c r="Y679" s="43"/>
      <c r="Z679" s="43"/>
      <c r="AA679" s="43"/>
      <c r="AB679" s="43"/>
      <c r="AC679" s="43">
        <v>5.8000000000000003E-2</v>
      </c>
      <c r="AD679" s="43"/>
      <c r="AE679" s="43"/>
      <c r="AF679" s="43"/>
      <c r="AG679" s="43"/>
      <c r="AH679" s="43"/>
      <c r="AI679" s="43"/>
      <c r="AJ679" s="43"/>
      <c r="AK679" s="43"/>
      <c r="AL679" s="43">
        <v>0.107</v>
      </c>
      <c r="AM679" s="43">
        <v>0.104</v>
      </c>
      <c r="AN679" s="43">
        <v>0.105</v>
      </c>
      <c r="AO679" s="43"/>
      <c r="AP679" s="43">
        <v>0.11360000000000001</v>
      </c>
      <c r="AQ679" s="43"/>
      <c r="AR679" s="43">
        <v>0.14749999999999999</v>
      </c>
      <c r="AS679" s="43">
        <v>0.29599999999999999</v>
      </c>
      <c r="AT679" s="43">
        <v>0.16839999999999999</v>
      </c>
      <c r="AU679" s="43"/>
      <c r="AV679" s="43"/>
      <c r="AW679" s="43"/>
      <c r="AX679" s="43"/>
      <c r="AY679" s="43"/>
      <c r="AZ679" s="43"/>
      <c r="BA679" s="43"/>
      <c r="BB679" s="43">
        <v>0.24440000000000001</v>
      </c>
      <c r="BC679" s="43">
        <v>0.23780000000000001</v>
      </c>
      <c r="BD679" s="43">
        <v>0.23019999999999999</v>
      </c>
      <c r="BE679" s="43">
        <v>0.22639999999999999</v>
      </c>
      <c r="BF679" s="43">
        <v>0.1651</v>
      </c>
      <c r="BG679" s="43">
        <v>0.47589999999999999</v>
      </c>
      <c r="BH679" s="43">
        <v>0.16819999999999999</v>
      </c>
      <c r="BI679" s="43"/>
      <c r="BJ679" s="43"/>
      <c r="BK679" s="43"/>
      <c r="BL679" s="43"/>
      <c r="BM679" s="43"/>
      <c r="BN679" s="43">
        <f t="shared" si="17"/>
        <v>0.16819999999999999</v>
      </c>
      <c r="BO679" s="43">
        <f t="shared" si="18"/>
        <v>2014</v>
      </c>
    </row>
    <row r="680" spans="2:67" x14ac:dyDescent="0.75">
      <c r="B680" s="43" t="s">
        <v>249</v>
      </c>
      <c r="C680" s="43" t="s">
        <v>73</v>
      </c>
      <c r="D680" s="43" t="s">
        <v>758</v>
      </c>
      <c r="E680" s="43" t="s">
        <v>757</v>
      </c>
      <c r="F680" s="43">
        <v>0.54100000000000004</v>
      </c>
      <c r="G680" s="43"/>
      <c r="H680" s="43"/>
      <c r="I680" s="43"/>
      <c r="J680" s="43"/>
      <c r="K680" s="43"/>
      <c r="L680" s="43"/>
      <c r="M680" s="43"/>
      <c r="N680" s="43"/>
      <c r="O680" s="43"/>
      <c r="P680" s="43">
        <v>0.61299999999999999</v>
      </c>
      <c r="Q680" s="43"/>
      <c r="R680" s="43"/>
      <c r="S680" s="43"/>
      <c r="T680" s="43"/>
      <c r="U680" s="43"/>
      <c r="V680" s="43"/>
      <c r="W680" s="43"/>
      <c r="X680" s="43"/>
      <c r="Y680" s="43"/>
      <c r="Z680" s="43">
        <v>0.51600000000000001</v>
      </c>
      <c r="AA680" s="43"/>
      <c r="AB680" s="43"/>
      <c r="AC680" s="43"/>
      <c r="AD680" s="43"/>
      <c r="AE680" s="43"/>
      <c r="AF680" s="43">
        <v>0.497</v>
      </c>
      <c r="AG680" s="43"/>
      <c r="AH680" s="43"/>
      <c r="AI680" s="43"/>
      <c r="AJ680" s="43">
        <v>0.193</v>
      </c>
      <c r="AK680" s="43">
        <v>0.17599999999999999</v>
      </c>
      <c r="AL680" s="43">
        <v>0.186</v>
      </c>
      <c r="AM680" s="43">
        <v>0.13</v>
      </c>
      <c r="AN680" s="43"/>
      <c r="AO680" s="43"/>
      <c r="AP680" s="43"/>
      <c r="AQ680" s="43"/>
      <c r="AR680" s="43"/>
      <c r="AS680" s="43"/>
      <c r="AT680" s="43"/>
      <c r="AU680" s="43"/>
      <c r="AV680" s="43"/>
      <c r="AW680" s="43"/>
      <c r="AX680" s="43"/>
      <c r="AY680" s="43"/>
      <c r="AZ680" s="43"/>
      <c r="BA680" s="43"/>
      <c r="BB680" s="43">
        <v>0.25409999999999999</v>
      </c>
      <c r="BC680" s="43">
        <v>0.32700000000000001</v>
      </c>
      <c r="BD680" s="43">
        <v>0.39960000000000001</v>
      </c>
      <c r="BE680" s="43">
        <v>0.14330000000000001</v>
      </c>
      <c r="BF680" s="43"/>
      <c r="BG680" s="43">
        <v>0.20280000000000001</v>
      </c>
      <c r="BH680" s="43"/>
      <c r="BI680" s="43"/>
      <c r="BJ680" s="43"/>
      <c r="BK680" s="43"/>
      <c r="BL680" s="43"/>
      <c r="BM680" s="43"/>
      <c r="BN680" s="43">
        <f t="shared" si="17"/>
        <v>0.20280000000000001</v>
      </c>
      <c r="BO680" s="43">
        <f t="shared" si="18"/>
        <v>2013</v>
      </c>
    </row>
    <row r="681" spans="2:67" x14ac:dyDescent="0.75">
      <c r="B681" s="43" t="s">
        <v>531</v>
      </c>
      <c r="C681" s="43" t="s">
        <v>532</v>
      </c>
      <c r="D681" s="43" t="s">
        <v>758</v>
      </c>
      <c r="E681" s="43" t="s">
        <v>757</v>
      </c>
      <c r="F681" s="43">
        <v>0.23499999999999999</v>
      </c>
      <c r="G681" s="43"/>
      <c r="H681" s="43"/>
      <c r="I681" s="43"/>
      <c r="J681" s="43"/>
      <c r="K681" s="43"/>
      <c r="L681" s="43"/>
      <c r="M681" s="43"/>
      <c r="N681" s="43"/>
      <c r="O681" s="43"/>
      <c r="P681" s="43">
        <v>0.312</v>
      </c>
      <c r="Q681" s="43"/>
      <c r="R681" s="43"/>
      <c r="S681" s="43"/>
      <c r="T681" s="43"/>
      <c r="U681" s="43"/>
      <c r="V681" s="43"/>
      <c r="W681" s="43"/>
      <c r="X681" s="43"/>
      <c r="Y681" s="43"/>
      <c r="Z681" s="43">
        <v>0.36</v>
      </c>
      <c r="AA681" s="43"/>
      <c r="AB681" s="43"/>
      <c r="AC681" s="43"/>
      <c r="AD681" s="43">
        <v>0.45800000000000002</v>
      </c>
      <c r="AE681" s="43"/>
      <c r="AF681" s="43"/>
      <c r="AG681" s="43"/>
      <c r="AH681" s="43"/>
      <c r="AI681" s="43"/>
      <c r="AJ681" s="43">
        <v>0.68630000000000002</v>
      </c>
      <c r="AK681" s="43">
        <v>0.68289999999999995</v>
      </c>
      <c r="AL681" s="43">
        <v>0.74880000000000002</v>
      </c>
      <c r="AM681" s="43">
        <v>0.76559999999999995</v>
      </c>
      <c r="AN681" s="43">
        <v>0.91979999999999995</v>
      </c>
      <c r="AO681" s="43">
        <v>1.0723</v>
      </c>
      <c r="AP681" s="43">
        <v>1.1060000000000001</v>
      </c>
      <c r="AQ681" s="43">
        <v>1.0959000000000001</v>
      </c>
      <c r="AR681" s="43">
        <v>1.0384</v>
      </c>
      <c r="AS681" s="43">
        <v>1.0267999999999999</v>
      </c>
      <c r="AT681" s="43">
        <v>1.095</v>
      </c>
      <c r="AU681" s="43">
        <v>1.0651999999999999</v>
      </c>
      <c r="AV681" s="43"/>
      <c r="AW681" s="43"/>
      <c r="AX681" s="43"/>
      <c r="AY681" s="43"/>
      <c r="AZ681" s="43"/>
      <c r="BA681" s="43"/>
      <c r="BB681" s="43"/>
      <c r="BC681" s="43"/>
      <c r="BD681" s="43"/>
      <c r="BE681" s="43"/>
      <c r="BF681" s="43"/>
      <c r="BG681" s="43"/>
      <c r="BH681" s="43"/>
      <c r="BI681" s="43">
        <v>2.5230000000000001</v>
      </c>
      <c r="BJ681" s="43"/>
      <c r="BK681" s="43"/>
      <c r="BL681" s="43"/>
      <c r="BM681" s="43"/>
      <c r="BN681" s="43">
        <f t="shared" si="17"/>
        <v>2.5230000000000001</v>
      </c>
      <c r="BO681" s="43">
        <f t="shared" si="18"/>
        <v>2015</v>
      </c>
    </row>
    <row r="682" spans="2:67" x14ac:dyDescent="0.75">
      <c r="B682" s="43" t="s">
        <v>430</v>
      </c>
      <c r="C682" s="43" t="s">
        <v>74</v>
      </c>
      <c r="D682" s="43" t="s">
        <v>758</v>
      </c>
      <c r="E682" s="43" t="s">
        <v>757</v>
      </c>
      <c r="F682" s="43"/>
      <c r="G682" s="43"/>
      <c r="H682" s="43"/>
      <c r="I682" s="43"/>
      <c r="J682" s="43"/>
      <c r="K682" s="43"/>
      <c r="L682" s="43"/>
      <c r="M682" s="43"/>
      <c r="N682" s="43"/>
      <c r="O682" s="43"/>
      <c r="P682" s="43"/>
      <c r="Q682" s="43"/>
      <c r="R682" s="43"/>
      <c r="S682" s="43"/>
      <c r="T682" s="43"/>
      <c r="U682" s="43"/>
      <c r="V682" s="43"/>
      <c r="W682" s="43"/>
      <c r="X682" s="43"/>
      <c r="Y682" s="43"/>
      <c r="Z682" s="43"/>
      <c r="AA682" s="43">
        <v>0.5</v>
      </c>
      <c r="AB682" s="43">
        <v>0.5</v>
      </c>
      <c r="AC682" s="43">
        <v>0.5</v>
      </c>
      <c r="AD682" s="43">
        <v>0.6</v>
      </c>
      <c r="AE682" s="43">
        <v>0.6</v>
      </c>
      <c r="AF682" s="43">
        <v>0.6</v>
      </c>
      <c r="AG682" s="43">
        <v>0.7</v>
      </c>
      <c r="AH682" s="43">
        <v>0.7</v>
      </c>
      <c r="AI682" s="43">
        <v>0.8</v>
      </c>
      <c r="AJ682" s="43">
        <v>0.8</v>
      </c>
      <c r="AK682" s="43">
        <v>0.9</v>
      </c>
      <c r="AL682" s="43">
        <v>1</v>
      </c>
      <c r="AM682" s="43">
        <v>1</v>
      </c>
      <c r="AN682" s="43">
        <v>1.1000000000000001</v>
      </c>
      <c r="AO682" s="43">
        <v>1.1000000000000001</v>
      </c>
      <c r="AP682" s="43">
        <v>1.2</v>
      </c>
      <c r="AQ682" s="43">
        <v>1.2</v>
      </c>
      <c r="AR682" s="43">
        <v>1.3</v>
      </c>
      <c r="AS682" s="43">
        <v>1.3</v>
      </c>
      <c r="AT682" s="43">
        <v>1.3</v>
      </c>
      <c r="AU682" s="43">
        <v>1.4</v>
      </c>
      <c r="AV682" s="43">
        <v>1.5</v>
      </c>
      <c r="AW682" s="43">
        <v>1.573</v>
      </c>
      <c r="AX682" s="43">
        <v>1.6907000000000001</v>
      </c>
      <c r="AY682" s="43">
        <v>1.7526999999999999</v>
      </c>
      <c r="AZ682" s="43">
        <v>1.8041</v>
      </c>
      <c r="BA682" s="43">
        <v>1.8645</v>
      </c>
      <c r="BB682" s="43">
        <v>1.9319</v>
      </c>
      <c r="BC682" s="43">
        <v>1.9934000000000001</v>
      </c>
      <c r="BD682" s="43">
        <v>1.9836</v>
      </c>
      <c r="BE682" s="43">
        <v>2.0377999999999998</v>
      </c>
      <c r="BF682" s="43">
        <v>2.0842999999999998</v>
      </c>
      <c r="BG682" s="43">
        <v>2.1707999999999998</v>
      </c>
      <c r="BH682" s="43">
        <v>2.2168000000000001</v>
      </c>
      <c r="BI682" s="43">
        <v>2.2595999999999998</v>
      </c>
      <c r="BJ682" s="43">
        <v>2.3123999999999998</v>
      </c>
      <c r="BK682" s="43">
        <v>2.3660999999999999</v>
      </c>
      <c r="BL682" s="43"/>
      <c r="BM682" s="43"/>
      <c r="BN682" s="43">
        <f t="shared" si="17"/>
        <v>2.3660999999999999</v>
      </c>
      <c r="BO682" s="43">
        <f t="shared" si="18"/>
        <v>2017</v>
      </c>
    </row>
    <row r="683" spans="2:67" x14ac:dyDescent="0.75">
      <c r="B683" s="43" t="s">
        <v>432</v>
      </c>
      <c r="C683" s="43" t="s">
        <v>75</v>
      </c>
      <c r="D683" s="43" t="s">
        <v>758</v>
      </c>
      <c r="E683" s="43" t="s">
        <v>757</v>
      </c>
      <c r="F683" s="43">
        <v>0.871</v>
      </c>
      <c r="G683" s="43"/>
      <c r="H683" s="43"/>
      <c r="I683" s="43"/>
      <c r="J683" s="43"/>
      <c r="K683" s="43">
        <v>1.2629999999999999</v>
      </c>
      <c r="L683" s="43"/>
      <c r="M683" s="43"/>
      <c r="N683" s="43"/>
      <c r="O683" s="43"/>
      <c r="P683" s="43">
        <v>0.95399999999999996</v>
      </c>
      <c r="Q683" s="43"/>
      <c r="R683" s="43"/>
      <c r="S683" s="43"/>
      <c r="T683" s="43"/>
      <c r="U683" s="43"/>
      <c r="V683" s="43"/>
      <c r="W683" s="43"/>
      <c r="X683" s="43"/>
      <c r="Y683" s="43"/>
      <c r="Z683" s="43">
        <v>1.698</v>
      </c>
      <c r="AA683" s="43">
        <v>1.4119999999999999</v>
      </c>
      <c r="AB683" s="43">
        <v>1.62</v>
      </c>
      <c r="AC683" s="43"/>
      <c r="AD683" s="43"/>
      <c r="AE683" s="43"/>
      <c r="AF683" s="43">
        <v>1.5660000000000001</v>
      </c>
      <c r="AG683" s="43"/>
      <c r="AH683" s="43"/>
      <c r="AI683" s="43"/>
      <c r="AJ683" s="43">
        <v>0.183</v>
      </c>
      <c r="AK683" s="43"/>
      <c r="AL683" s="43"/>
      <c r="AM683" s="43"/>
      <c r="AN683" s="43"/>
      <c r="AO683" s="43">
        <v>1.7829999999999999</v>
      </c>
      <c r="AP683" s="43"/>
      <c r="AQ683" s="43">
        <v>1.89</v>
      </c>
      <c r="AR683" s="43"/>
      <c r="AS683" s="43"/>
      <c r="AT683" s="43"/>
      <c r="AU683" s="43"/>
      <c r="AV683" s="43"/>
      <c r="AW683" s="43">
        <v>1.9</v>
      </c>
      <c r="AX683" s="43">
        <v>1.5</v>
      </c>
      <c r="AY683" s="43">
        <v>1.8</v>
      </c>
      <c r="AZ683" s="43">
        <v>1.4520999999999999</v>
      </c>
      <c r="BA683" s="43">
        <v>1.8817999999999999</v>
      </c>
      <c r="BB683" s="43">
        <v>1.8833</v>
      </c>
      <c r="BC683" s="43">
        <v>1.8944000000000001</v>
      </c>
      <c r="BD683" s="43">
        <v>2.4245000000000001</v>
      </c>
      <c r="BE683" s="43">
        <v>2.4382999999999999</v>
      </c>
      <c r="BF683" s="43">
        <v>2.4323000000000001</v>
      </c>
      <c r="BG683" s="43">
        <v>2.4824999999999999</v>
      </c>
      <c r="BH683" s="43">
        <v>2.5880000000000001</v>
      </c>
      <c r="BI683" s="43">
        <v>2.5789</v>
      </c>
      <c r="BJ683" s="43"/>
      <c r="BK683" s="43"/>
      <c r="BL683" s="43"/>
      <c r="BM683" s="43"/>
      <c r="BN683" s="43">
        <f t="shared" si="17"/>
        <v>2.5789</v>
      </c>
      <c r="BO683" s="43">
        <f t="shared" si="18"/>
        <v>2015</v>
      </c>
    </row>
    <row r="684" spans="2:67" x14ac:dyDescent="0.75">
      <c r="B684" s="43" t="s">
        <v>439</v>
      </c>
      <c r="C684" s="43" t="s">
        <v>440</v>
      </c>
      <c r="D684" s="43" t="s">
        <v>758</v>
      </c>
      <c r="E684" s="43" t="s">
        <v>757</v>
      </c>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v>1.219335209549929</v>
      </c>
      <c r="AK684" s="43"/>
      <c r="AL684" s="43"/>
      <c r="AM684" s="43"/>
      <c r="AN684" s="43"/>
      <c r="AO684" s="43"/>
      <c r="AP684" s="43"/>
      <c r="AQ684" s="43"/>
      <c r="AR684" s="43"/>
      <c r="AS684" s="43"/>
      <c r="AT684" s="43">
        <v>1.6109996109473501</v>
      </c>
      <c r="AU684" s="43"/>
      <c r="AV684" s="43"/>
      <c r="AW684" s="43"/>
      <c r="AX684" s="43"/>
      <c r="AY684" s="43"/>
      <c r="AZ684" s="43"/>
      <c r="BA684" s="43"/>
      <c r="BB684" s="43"/>
      <c r="BC684" s="43"/>
      <c r="BD684" s="43"/>
      <c r="BE684" s="43"/>
      <c r="BF684" s="43"/>
      <c r="BG684" s="43"/>
      <c r="BH684" s="43"/>
      <c r="BI684" s="43">
        <v>2.1902000281646443</v>
      </c>
      <c r="BJ684" s="43"/>
      <c r="BK684" s="43"/>
      <c r="BL684" s="43"/>
      <c r="BM684" s="43"/>
      <c r="BN684" s="43">
        <f t="shared" si="17"/>
        <v>2.1902000281646443</v>
      </c>
      <c r="BO684" s="43">
        <f t="shared" si="18"/>
        <v>2015</v>
      </c>
    </row>
    <row r="685" spans="2:67" x14ac:dyDescent="0.75">
      <c r="B685" s="43" t="s">
        <v>434</v>
      </c>
      <c r="C685" s="43" t="s">
        <v>76</v>
      </c>
      <c r="D685" s="43" t="s">
        <v>758</v>
      </c>
      <c r="E685" s="43" t="s">
        <v>757</v>
      </c>
      <c r="F685" s="43">
        <v>0.02</v>
      </c>
      <c r="G685" s="43"/>
      <c r="H685" s="43"/>
      <c r="I685" s="43"/>
      <c r="J685" s="43"/>
      <c r="K685" s="43">
        <v>4.1000000000000002E-2</v>
      </c>
      <c r="L685" s="43"/>
      <c r="M685" s="43"/>
      <c r="N685" s="43"/>
      <c r="O685" s="43"/>
      <c r="P685" s="43">
        <v>6.6000000000000003E-2</v>
      </c>
      <c r="Q685" s="43"/>
      <c r="R685" s="43"/>
      <c r="S685" s="43"/>
      <c r="T685" s="43"/>
      <c r="U685" s="43"/>
      <c r="V685" s="43">
        <v>5.0999999999999997E-2</v>
      </c>
      <c r="W685" s="43"/>
      <c r="X685" s="43"/>
      <c r="Y685" s="43"/>
      <c r="Z685" s="43"/>
      <c r="AA685" s="43"/>
      <c r="AB685" s="43"/>
      <c r="AC685" s="43"/>
      <c r="AD685" s="43"/>
      <c r="AE685" s="43">
        <v>0.72899999999999998</v>
      </c>
      <c r="AF685" s="43"/>
      <c r="AG685" s="43"/>
      <c r="AH685" s="43"/>
      <c r="AI685" s="43"/>
      <c r="AJ685" s="43">
        <v>0.23400000000000001</v>
      </c>
      <c r="AK685" s="43"/>
      <c r="AL685" s="43"/>
      <c r="AM685" s="43"/>
      <c r="AN685" s="43"/>
      <c r="AO685" s="43">
        <v>0.34129999999999999</v>
      </c>
      <c r="AP685" s="43">
        <v>0.58599999999999997</v>
      </c>
      <c r="AQ685" s="43"/>
      <c r="AR685" s="43"/>
      <c r="AS685" s="43"/>
      <c r="AT685" s="43">
        <v>0.28470000000000001</v>
      </c>
      <c r="AU685" s="43"/>
      <c r="AV685" s="43"/>
      <c r="AW685" s="43"/>
      <c r="AX685" s="43">
        <v>0.35310000000000002</v>
      </c>
      <c r="AY685" s="43">
        <v>0.28050000000000003</v>
      </c>
      <c r="AZ685" s="43"/>
      <c r="BA685" s="43"/>
      <c r="BB685" s="43"/>
      <c r="BC685" s="43">
        <v>0.1968</v>
      </c>
      <c r="BD685" s="43">
        <v>0.8306</v>
      </c>
      <c r="BE685" s="43"/>
      <c r="BF685" s="43">
        <v>0.18079999999999999</v>
      </c>
      <c r="BG685" s="43">
        <v>0.45250000000000001</v>
      </c>
      <c r="BH685" s="43">
        <v>0.49969999999999998</v>
      </c>
      <c r="BI685" s="43"/>
      <c r="BJ685" s="43"/>
      <c r="BK685" s="43"/>
      <c r="BL685" s="43"/>
      <c r="BM685" s="43"/>
      <c r="BN685" s="43">
        <f t="shared" si="17"/>
        <v>0.49969999999999998</v>
      </c>
      <c r="BO685" s="43">
        <f t="shared" si="18"/>
        <v>2014</v>
      </c>
    </row>
    <row r="686" spans="2:67" x14ac:dyDescent="0.75">
      <c r="B686" s="43" t="s">
        <v>446</v>
      </c>
      <c r="C686" s="43" t="s">
        <v>77</v>
      </c>
      <c r="D686" s="43" t="s">
        <v>758</v>
      </c>
      <c r="E686" s="43" t="s">
        <v>757</v>
      </c>
      <c r="F686" s="43">
        <v>0.77800000000000002</v>
      </c>
      <c r="G686" s="43"/>
      <c r="H686" s="43"/>
      <c r="I686" s="43"/>
      <c r="J686" s="43"/>
      <c r="K686" s="43">
        <v>0.93799999999999994</v>
      </c>
      <c r="L686" s="43"/>
      <c r="M686" s="43"/>
      <c r="N686" s="43"/>
      <c r="O686" s="43"/>
      <c r="P686" s="43">
        <v>0.72599999999999998</v>
      </c>
      <c r="Q686" s="43"/>
      <c r="R686" s="43"/>
      <c r="S686" s="43"/>
      <c r="T686" s="43"/>
      <c r="U686" s="43"/>
      <c r="V686" s="43"/>
      <c r="W686" s="43"/>
      <c r="X686" s="43"/>
      <c r="Y686" s="43">
        <v>1.6930000000000001</v>
      </c>
      <c r="Z686" s="43"/>
      <c r="AA686" s="43">
        <v>1.714</v>
      </c>
      <c r="AB686" s="43"/>
      <c r="AC686" s="43">
        <v>1.2549999999999999</v>
      </c>
      <c r="AD686" s="43"/>
      <c r="AE686" s="43"/>
      <c r="AF686" s="43"/>
      <c r="AG686" s="43"/>
      <c r="AH686" s="43"/>
      <c r="AI686" s="43">
        <v>1.8620000000000001</v>
      </c>
      <c r="AJ686" s="43"/>
      <c r="AK686" s="43">
        <v>1.3260000000000001</v>
      </c>
      <c r="AL686" s="43"/>
      <c r="AM686" s="43">
        <v>1.8620000000000001</v>
      </c>
      <c r="AN686" s="43"/>
      <c r="AO686" s="43"/>
      <c r="AP686" s="43"/>
      <c r="AQ686" s="43">
        <v>2.1</v>
      </c>
      <c r="AR686" s="43"/>
      <c r="AS686" s="43"/>
      <c r="AT686" s="43"/>
      <c r="AU686" s="43">
        <v>3.4241999999999999</v>
      </c>
      <c r="AV686" s="43"/>
      <c r="AW686" s="43"/>
      <c r="AX686" s="43"/>
      <c r="AY686" s="43"/>
      <c r="AZ686" s="43">
        <v>2.8984000000000001</v>
      </c>
      <c r="BA686" s="43">
        <v>2.7372999999999998</v>
      </c>
      <c r="BB686" s="43"/>
      <c r="BC686" s="43"/>
      <c r="BD686" s="43">
        <v>2.6707000000000001</v>
      </c>
      <c r="BE686" s="43">
        <v>2.9704999999999999</v>
      </c>
      <c r="BF686" s="43"/>
      <c r="BG686" s="43">
        <v>2.52</v>
      </c>
      <c r="BH686" s="43">
        <v>2.3168000000000002</v>
      </c>
      <c r="BI686" s="43">
        <v>2.3477999999999999</v>
      </c>
      <c r="BJ686" s="43">
        <v>2.2484999999999999</v>
      </c>
      <c r="BK686" s="43">
        <v>2.2709999999999999</v>
      </c>
      <c r="BL686" s="43"/>
      <c r="BM686" s="43"/>
      <c r="BN686" s="43">
        <f t="shared" ref="BN686:BN749" si="19">IFERROR(LOOKUP(2,1/(ISNUMBER(G686:BM686)),G686:BM686),"No reported value")</f>
        <v>2.2709999999999999</v>
      </c>
      <c r="BO686" s="43">
        <f t="shared" ref="BO686:BO749" si="20">IFERROR(INDEX($G$557:$BM$557,1,MATCH($BN686,$G686:$BM686,0)),"No reported value")</f>
        <v>2017</v>
      </c>
    </row>
    <row r="687" spans="2:67" x14ac:dyDescent="0.75">
      <c r="B687" s="43" t="s">
        <v>201</v>
      </c>
      <c r="C687" s="43" t="s">
        <v>78</v>
      </c>
      <c r="D687" s="43" t="s">
        <v>758</v>
      </c>
      <c r="E687" s="43" t="s">
        <v>757</v>
      </c>
      <c r="F687" s="43">
        <v>7.6999999999999999E-2</v>
      </c>
      <c r="G687" s="43"/>
      <c r="H687" s="43"/>
      <c r="I687" s="43"/>
      <c r="J687" s="43"/>
      <c r="K687" s="43">
        <v>0.08</v>
      </c>
      <c r="L687" s="43"/>
      <c r="M687" s="43"/>
      <c r="N687" s="43"/>
      <c r="O687" s="43"/>
      <c r="P687" s="43">
        <v>7.9000000000000001E-2</v>
      </c>
      <c r="Q687" s="43"/>
      <c r="R687" s="43"/>
      <c r="S687" s="43"/>
      <c r="T687" s="43"/>
      <c r="U687" s="43">
        <v>0.08</v>
      </c>
      <c r="V687" s="43"/>
      <c r="W687" s="43"/>
      <c r="X687" s="43"/>
      <c r="Y687" s="43"/>
      <c r="Z687" s="43"/>
      <c r="AA687" s="43">
        <v>0.106</v>
      </c>
      <c r="AB687" s="43"/>
      <c r="AC687" s="43">
        <v>0.107</v>
      </c>
      <c r="AD687" s="43"/>
      <c r="AE687" s="43"/>
      <c r="AF687" s="43"/>
      <c r="AG687" s="43"/>
      <c r="AH687" s="43"/>
      <c r="AI687" s="43"/>
      <c r="AJ687" s="43"/>
      <c r="AK687" s="43"/>
      <c r="AL687" s="43"/>
      <c r="AM687" s="43"/>
      <c r="AN687" s="43"/>
      <c r="AO687" s="43"/>
      <c r="AP687" s="43"/>
      <c r="AQ687" s="43">
        <v>2.3E-2</v>
      </c>
      <c r="AR687" s="43"/>
      <c r="AS687" s="43"/>
      <c r="AT687" s="43"/>
      <c r="AU687" s="43"/>
      <c r="AV687" s="43"/>
      <c r="AW687" s="43"/>
      <c r="AX687" s="43">
        <v>3.2399999999999998E-2</v>
      </c>
      <c r="AY687" s="43"/>
      <c r="AZ687" s="43"/>
      <c r="BA687" s="43"/>
      <c r="BB687" s="43">
        <v>1.3899999999999999E-2</v>
      </c>
      <c r="BC687" s="43"/>
      <c r="BD687" s="43">
        <v>2.2800000000000001E-2</v>
      </c>
      <c r="BE687" s="43"/>
      <c r="BF687" s="43"/>
      <c r="BG687" s="43"/>
      <c r="BH687" s="43"/>
      <c r="BI687" s="43">
        <v>3.73E-2</v>
      </c>
      <c r="BJ687" s="43"/>
      <c r="BK687" s="43"/>
      <c r="BL687" s="43"/>
      <c r="BM687" s="43"/>
      <c r="BN687" s="43">
        <f t="shared" si="19"/>
        <v>3.73E-2</v>
      </c>
      <c r="BO687" s="43">
        <f t="shared" si="20"/>
        <v>2015</v>
      </c>
    </row>
    <row r="688" spans="2:67" x14ac:dyDescent="0.75">
      <c r="B688" s="43" t="s">
        <v>447</v>
      </c>
      <c r="C688" s="43" t="s">
        <v>79</v>
      </c>
      <c r="D688" s="43" t="s">
        <v>758</v>
      </c>
      <c r="E688" s="43" t="s">
        <v>757</v>
      </c>
      <c r="F688" s="43">
        <v>0.152</v>
      </c>
      <c r="G688" s="43"/>
      <c r="H688" s="43"/>
      <c r="I688" s="43"/>
      <c r="J688" s="43"/>
      <c r="K688" s="43">
        <v>0.25900000000000001</v>
      </c>
      <c r="L688" s="43"/>
      <c r="M688" s="43"/>
      <c r="N688" s="43"/>
      <c r="O688" s="43"/>
      <c r="P688" s="43">
        <v>0.36799999999999999</v>
      </c>
      <c r="Q688" s="43"/>
      <c r="R688" s="43"/>
      <c r="S688" s="43"/>
      <c r="T688" s="43"/>
      <c r="U688" s="43"/>
      <c r="V688" s="43"/>
      <c r="W688" s="43"/>
      <c r="X688" s="43"/>
      <c r="Y688" s="43"/>
      <c r="Z688" s="43">
        <v>1.333</v>
      </c>
      <c r="AA688" s="43">
        <v>1.633</v>
      </c>
      <c r="AB688" s="43">
        <v>1.5620000000000001</v>
      </c>
      <c r="AC688" s="43">
        <v>1.44</v>
      </c>
      <c r="AD688" s="43"/>
      <c r="AE688" s="43"/>
      <c r="AF688" s="43"/>
      <c r="AG688" s="43"/>
      <c r="AH688" s="43"/>
      <c r="AI688" s="43"/>
      <c r="AJ688" s="43">
        <v>1.071</v>
      </c>
      <c r="AK688" s="43"/>
      <c r="AL688" s="43"/>
      <c r="AM688" s="43">
        <v>1.4410000000000001</v>
      </c>
      <c r="AN688" s="43"/>
      <c r="AO688" s="43"/>
      <c r="AP688" s="43"/>
      <c r="AQ688" s="43">
        <v>1.2450000000000001</v>
      </c>
      <c r="AR688" s="43"/>
      <c r="AS688" s="43"/>
      <c r="AT688" s="43"/>
      <c r="AU688" s="43"/>
      <c r="AV688" s="43"/>
      <c r="AW688" s="43"/>
      <c r="AX688" s="43">
        <v>1.2393000000000001</v>
      </c>
      <c r="AY688" s="43"/>
      <c r="AZ688" s="43"/>
      <c r="BA688" s="43"/>
      <c r="BB688" s="43">
        <v>1.8442000000000001</v>
      </c>
      <c r="BC688" s="43">
        <v>1.9619</v>
      </c>
      <c r="BD688" s="43">
        <v>1.9</v>
      </c>
      <c r="BE688" s="43"/>
      <c r="BF688" s="43"/>
      <c r="BG688" s="43"/>
      <c r="BH688" s="43">
        <v>2.1107</v>
      </c>
      <c r="BI688" s="43">
        <v>1.95</v>
      </c>
      <c r="BJ688" s="43"/>
      <c r="BK688" s="43">
        <v>2.1581000000000001</v>
      </c>
      <c r="BL688" s="43"/>
      <c r="BM688" s="43"/>
      <c r="BN688" s="43">
        <f t="shared" si="19"/>
        <v>2.1581000000000001</v>
      </c>
      <c r="BO688" s="43">
        <f t="shared" si="20"/>
        <v>2017</v>
      </c>
    </row>
    <row r="689" spans="2:67" x14ac:dyDescent="0.75">
      <c r="B689" s="43" t="s">
        <v>533</v>
      </c>
      <c r="C689" s="43" t="s">
        <v>80</v>
      </c>
      <c r="D689" s="43" t="s">
        <v>758</v>
      </c>
      <c r="E689" s="43" t="s">
        <v>757</v>
      </c>
      <c r="F689" s="43">
        <v>0.13900000000000001</v>
      </c>
      <c r="G689" s="43"/>
      <c r="H689" s="43"/>
      <c r="I689" s="43"/>
      <c r="J689" s="43"/>
      <c r="K689" s="43"/>
      <c r="L689" s="43"/>
      <c r="M689" s="43"/>
      <c r="N689" s="43"/>
      <c r="O689" s="43"/>
      <c r="P689" s="43">
        <v>0.187</v>
      </c>
      <c r="Q689" s="43"/>
      <c r="R689" s="43"/>
      <c r="S689" s="43"/>
      <c r="T689" s="43"/>
      <c r="U689" s="43"/>
      <c r="V689" s="43"/>
      <c r="W689" s="43"/>
      <c r="X689" s="43"/>
      <c r="Y689" s="43"/>
      <c r="Z689" s="43"/>
      <c r="AA689" s="43"/>
      <c r="AB689" s="43"/>
      <c r="AC689" s="43"/>
      <c r="AD689" s="43">
        <v>0.28499999999999998</v>
      </c>
      <c r="AE689" s="43"/>
      <c r="AF689" s="43"/>
      <c r="AG689" s="43"/>
      <c r="AH689" s="43"/>
      <c r="AI689" s="43"/>
      <c r="AJ689" s="43">
        <v>0.35</v>
      </c>
      <c r="AK689" s="43">
        <v>0.39300000000000002</v>
      </c>
      <c r="AL689" s="43"/>
      <c r="AM689" s="43">
        <v>0.54400000000000004</v>
      </c>
      <c r="AN689" s="43"/>
      <c r="AO689" s="43">
        <v>0.56000000000000005</v>
      </c>
      <c r="AP689" s="43"/>
      <c r="AQ689" s="43">
        <v>0.47299999999999998</v>
      </c>
      <c r="AR689" s="43"/>
      <c r="AS689" s="43"/>
      <c r="AT689" s="43"/>
      <c r="AU689" s="43">
        <v>0.81899999999999995</v>
      </c>
      <c r="AV689" s="43">
        <v>0.438</v>
      </c>
      <c r="AW689" s="43">
        <v>0.46579999999999999</v>
      </c>
      <c r="AX689" s="43">
        <v>0.41920000000000002</v>
      </c>
      <c r="AY689" s="43">
        <v>0.50700000000000001</v>
      </c>
      <c r="AZ689" s="43"/>
      <c r="BA689" s="43">
        <v>0.18529999999999999</v>
      </c>
      <c r="BB689" s="43">
        <v>0.15959999999999999</v>
      </c>
      <c r="BC689" s="43">
        <v>0.1053</v>
      </c>
      <c r="BD689" s="43"/>
      <c r="BE689" s="43"/>
      <c r="BF689" s="43"/>
      <c r="BG689" s="43"/>
      <c r="BH689" s="43"/>
      <c r="BI689" s="43"/>
      <c r="BJ689" s="43"/>
      <c r="BK689" s="43"/>
      <c r="BL689" s="43"/>
      <c r="BM689" s="43"/>
      <c r="BN689" s="43">
        <f t="shared" si="19"/>
        <v>0.1053</v>
      </c>
      <c r="BO689" s="43">
        <f t="shared" si="20"/>
        <v>2009</v>
      </c>
    </row>
    <row r="690" spans="2:67" x14ac:dyDescent="0.75">
      <c r="B690" s="43" t="s">
        <v>437</v>
      </c>
      <c r="C690" s="43" t="s">
        <v>438</v>
      </c>
      <c r="D690" s="43" t="s">
        <v>758</v>
      </c>
      <c r="E690" s="43" t="s">
        <v>757</v>
      </c>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v>1.2311986550221603</v>
      </c>
      <c r="AK690" s="43"/>
      <c r="AL690" s="43"/>
      <c r="AM690" s="43"/>
      <c r="AN690" s="43"/>
      <c r="AO690" s="43"/>
      <c r="AP690" s="43"/>
      <c r="AQ690" s="43"/>
      <c r="AR690" s="43"/>
      <c r="AS690" s="43"/>
      <c r="AT690" s="43">
        <v>1.6004821679808159</v>
      </c>
      <c r="AU690" s="43"/>
      <c r="AV690" s="43"/>
      <c r="AW690" s="43"/>
      <c r="AX690" s="43"/>
      <c r="AY690" s="43"/>
      <c r="AZ690" s="43"/>
      <c r="BA690" s="43"/>
      <c r="BB690" s="43"/>
      <c r="BC690" s="43"/>
      <c r="BD690" s="43"/>
      <c r="BE690" s="43"/>
      <c r="BF690" s="43"/>
      <c r="BG690" s="43"/>
      <c r="BH690" s="43"/>
      <c r="BI690" s="43">
        <v>2.1699311232596692</v>
      </c>
      <c r="BJ690" s="43"/>
      <c r="BK690" s="43"/>
      <c r="BL690" s="43"/>
      <c r="BM690" s="43"/>
      <c r="BN690" s="43">
        <f t="shared" si="19"/>
        <v>2.1699311232596692</v>
      </c>
      <c r="BO690" s="43">
        <f t="shared" si="20"/>
        <v>2015</v>
      </c>
    </row>
    <row r="691" spans="2:67" x14ac:dyDescent="0.75">
      <c r="B691" s="43" t="s">
        <v>444</v>
      </c>
      <c r="C691" s="43" t="s">
        <v>445</v>
      </c>
      <c r="D691" s="43" t="s">
        <v>758</v>
      </c>
      <c r="E691" s="43" t="s">
        <v>757</v>
      </c>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v>8.7339276036205116E-2</v>
      </c>
      <c r="AK691" s="43"/>
      <c r="AL691" s="43"/>
      <c r="AM691" s="43"/>
      <c r="AN691" s="43"/>
      <c r="AO691" s="43"/>
      <c r="AP691" s="43"/>
      <c r="AQ691" s="43"/>
      <c r="AR691" s="43"/>
      <c r="AS691" s="43"/>
      <c r="AT691" s="43">
        <v>0.13877320828279599</v>
      </c>
      <c r="AU691" s="43"/>
      <c r="AV691" s="43"/>
      <c r="AW691" s="43"/>
      <c r="AX691" s="43"/>
      <c r="AY691" s="43"/>
      <c r="AZ691" s="43"/>
      <c r="BA691" s="43"/>
      <c r="BB691" s="43"/>
      <c r="BC691" s="43"/>
      <c r="BD691" s="43"/>
      <c r="BE691" s="43"/>
      <c r="BF691" s="43"/>
      <c r="BG691" s="43"/>
      <c r="BH691" s="43"/>
      <c r="BI691" s="43">
        <v>0.25851559412471237</v>
      </c>
      <c r="BJ691" s="43"/>
      <c r="BK691" s="43"/>
      <c r="BL691" s="43"/>
      <c r="BM691" s="43"/>
      <c r="BN691" s="43">
        <f t="shared" si="19"/>
        <v>0.25851559412471237</v>
      </c>
      <c r="BO691" s="43">
        <f t="shared" si="20"/>
        <v>2015</v>
      </c>
    </row>
    <row r="692" spans="2:67" x14ac:dyDescent="0.75">
      <c r="B692" s="43" t="s">
        <v>453</v>
      </c>
      <c r="C692" s="43" t="s">
        <v>454</v>
      </c>
      <c r="D692" s="43" t="s">
        <v>758</v>
      </c>
      <c r="E692" s="43" t="s">
        <v>757</v>
      </c>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v>0.13765008333749479</v>
      </c>
      <c r="AK692" s="43"/>
      <c r="AL692" s="43"/>
      <c r="AM692" s="43"/>
      <c r="AN692" s="43"/>
      <c r="AO692" s="43"/>
      <c r="AP692" s="43"/>
      <c r="AQ692" s="43"/>
      <c r="AR692" s="43"/>
      <c r="AS692" s="43"/>
      <c r="AT692" s="43">
        <v>0.17237701072668812</v>
      </c>
      <c r="AU692" s="43"/>
      <c r="AV692" s="43"/>
      <c r="AW692" s="43"/>
      <c r="AX692" s="43"/>
      <c r="AY692" s="43"/>
      <c r="AZ692" s="43"/>
      <c r="BA692" s="43"/>
      <c r="BB692" s="43"/>
      <c r="BC692" s="43"/>
      <c r="BD692" s="43"/>
      <c r="BE692" s="43"/>
      <c r="BF692" s="43"/>
      <c r="BG692" s="43"/>
      <c r="BH692" s="43"/>
      <c r="BI692" s="43">
        <v>0.32490662919929747</v>
      </c>
      <c r="BJ692" s="43"/>
      <c r="BK692" s="43"/>
      <c r="BL692" s="43"/>
      <c r="BM692" s="43"/>
      <c r="BN692" s="43">
        <f t="shared" si="19"/>
        <v>0.32490662919929747</v>
      </c>
      <c r="BO692" s="43">
        <f t="shared" si="20"/>
        <v>2015</v>
      </c>
    </row>
    <row r="693" spans="2:67" x14ac:dyDescent="0.75">
      <c r="B693" s="43" t="s">
        <v>448</v>
      </c>
      <c r="C693" s="43" t="s">
        <v>449</v>
      </c>
      <c r="D693" s="43" t="s">
        <v>758</v>
      </c>
      <c r="E693" s="43" t="s">
        <v>757</v>
      </c>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t="str">
        <f t="shared" si="19"/>
        <v>No reported value</v>
      </c>
      <c r="BO693" s="43" t="str">
        <f t="shared" si="20"/>
        <v>No reported value</v>
      </c>
    </row>
    <row r="694" spans="2:67" x14ac:dyDescent="0.75">
      <c r="B694" s="43" t="s">
        <v>245</v>
      </c>
      <c r="C694" s="43" t="s">
        <v>81</v>
      </c>
      <c r="D694" s="43" t="s">
        <v>758</v>
      </c>
      <c r="E694" s="43" t="s">
        <v>757</v>
      </c>
      <c r="F694" s="43">
        <v>0.223</v>
      </c>
      <c r="G694" s="43"/>
      <c r="H694" s="43"/>
      <c r="I694" s="43"/>
      <c r="J694" s="43"/>
      <c r="K694" s="43">
        <v>0.17199999999999999</v>
      </c>
      <c r="L694" s="43"/>
      <c r="M694" s="43"/>
      <c r="N694" s="43"/>
      <c r="O694" s="43"/>
      <c r="P694" s="43">
        <v>0.16900000000000001</v>
      </c>
      <c r="Q694" s="43"/>
      <c r="R694" s="43"/>
      <c r="S694" s="43"/>
      <c r="T694" s="43"/>
      <c r="U694" s="43">
        <v>0.16900000000000001</v>
      </c>
      <c r="V694" s="43"/>
      <c r="W694" s="43"/>
      <c r="X694" s="43"/>
      <c r="Y694" s="43"/>
      <c r="Z694" s="43"/>
      <c r="AA694" s="43">
        <v>0.13400000000000001</v>
      </c>
      <c r="AB694" s="43">
        <v>0.13400000000000001</v>
      </c>
      <c r="AC694" s="43"/>
      <c r="AD694" s="43"/>
      <c r="AE694" s="43">
        <v>0.18099999999999999</v>
      </c>
      <c r="AF694" s="43"/>
      <c r="AG694" s="43"/>
      <c r="AH694" s="43"/>
      <c r="AI694" s="43">
        <v>0.14599999999999999</v>
      </c>
      <c r="AJ694" s="43"/>
      <c r="AK694" s="43">
        <v>0.1391</v>
      </c>
      <c r="AL694" s="43">
        <v>0.16539999999999999</v>
      </c>
      <c r="AM694" s="43">
        <v>0.20710000000000001</v>
      </c>
      <c r="AN694" s="43">
        <v>0.18479999999999999</v>
      </c>
      <c r="AO694" s="43">
        <v>0.2218</v>
      </c>
      <c r="AP694" s="43">
        <v>0.27850000000000003</v>
      </c>
      <c r="AQ694" s="43">
        <v>0.30459999999999998</v>
      </c>
      <c r="AR694" s="43">
        <v>0.34610000000000002</v>
      </c>
      <c r="AS694" s="43">
        <v>0.37459999999999999</v>
      </c>
      <c r="AT694" s="43">
        <v>0.42399999999999999</v>
      </c>
      <c r="AU694" s="43">
        <v>0.44330000000000003</v>
      </c>
      <c r="AV694" s="43"/>
      <c r="AW694" s="43"/>
      <c r="AX694" s="43">
        <v>0.54090000000000005</v>
      </c>
      <c r="AY694" s="43">
        <v>0.52229999999999999</v>
      </c>
      <c r="AZ694" s="43">
        <v>0.52259999999999995</v>
      </c>
      <c r="BA694" s="43">
        <v>0.55640000000000001</v>
      </c>
      <c r="BB694" s="43">
        <v>0.62560000000000004</v>
      </c>
      <c r="BC694" s="43">
        <v>0.68430000000000002</v>
      </c>
      <c r="BD694" s="43">
        <v>0.72619999999999996</v>
      </c>
      <c r="BE694" s="43"/>
      <c r="BF694" s="43"/>
      <c r="BG694" s="43">
        <v>1.0869</v>
      </c>
      <c r="BH694" s="43"/>
      <c r="BI694" s="43">
        <v>0.97460000000000002</v>
      </c>
      <c r="BJ694" s="43">
        <v>1.0578000000000001</v>
      </c>
      <c r="BK694" s="43">
        <v>0.95799999999999996</v>
      </c>
      <c r="BL694" s="43"/>
      <c r="BM694" s="43"/>
      <c r="BN694" s="43">
        <f t="shared" si="19"/>
        <v>0.95799999999999996</v>
      </c>
      <c r="BO694" s="43">
        <f t="shared" si="20"/>
        <v>2017</v>
      </c>
    </row>
    <row r="695" spans="2:67" x14ac:dyDescent="0.75">
      <c r="B695" s="43" t="s">
        <v>455</v>
      </c>
      <c r="C695" s="43" t="s">
        <v>456</v>
      </c>
      <c r="D695" s="43" t="s">
        <v>758</v>
      </c>
      <c r="E695" s="43" t="s">
        <v>757</v>
      </c>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v>0.87594571321191605</v>
      </c>
      <c r="AK695" s="43"/>
      <c r="AL695" s="43"/>
      <c r="AM695" s="43"/>
      <c r="AN695" s="43"/>
      <c r="AO695" s="43"/>
      <c r="AP695" s="43"/>
      <c r="AQ695" s="43"/>
      <c r="AR695" s="43"/>
      <c r="AS695" s="43"/>
      <c r="AT695" s="43">
        <v>0.6154650631376487</v>
      </c>
      <c r="AU695" s="43"/>
      <c r="AV695" s="43"/>
      <c r="AW695" s="43"/>
      <c r="AX695" s="43"/>
      <c r="AY695" s="43"/>
      <c r="AZ695" s="43"/>
      <c r="BA695" s="43"/>
      <c r="BB695" s="43"/>
      <c r="BC695" s="43"/>
      <c r="BD695" s="43"/>
      <c r="BE695" s="43"/>
      <c r="BF695" s="43"/>
      <c r="BG695" s="43"/>
      <c r="BH695" s="43"/>
      <c r="BI695" s="43">
        <v>0.74709085356064975</v>
      </c>
      <c r="BJ695" s="43"/>
      <c r="BK695" s="43"/>
      <c r="BL695" s="43"/>
      <c r="BM695" s="43"/>
      <c r="BN695" s="43">
        <f t="shared" si="19"/>
        <v>0.74709085356064975</v>
      </c>
      <c r="BO695" s="43">
        <f t="shared" si="20"/>
        <v>2015</v>
      </c>
    </row>
    <row r="696" spans="2:67" x14ac:dyDescent="0.75">
      <c r="B696" s="43" t="s">
        <v>451</v>
      </c>
      <c r="C696" s="43" t="s">
        <v>452</v>
      </c>
      <c r="D696" s="43" t="s">
        <v>758</v>
      </c>
      <c r="E696" s="43" t="s">
        <v>757</v>
      </c>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v>1.0637687379764684</v>
      </c>
      <c r="AK696" s="43"/>
      <c r="AL696" s="43"/>
      <c r="AM696" s="43"/>
      <c r="AN696" s="43"/>
      <c r="AO696" s="43"/>
      <c r="AP696" s="43"/>
      <c r="AQ696" s="43"/>
      <c r="AR696" s="43"/>
      <c r="AS696" s="43"/>
      <c r="AT696" s="43">
        <v>1.0216518092992626</v>
      </c>
      <c r="AU696" s="43"/>
      <c r="AV696" s="43"/>
      <c r="AW696" s="43"/>
      <c r="AX696" s="43"/>
      <c r="AY696" s="43"/>
      <c r="AZ696" s="43"/>
      <c r="BA696" s="43"/>
      <c r="BB696" s="43"/>
      <c r="BC696" s="43"/>
      <c r="BD696" s="43"/>
      <c r="BE696" s="43"/>
      <c r="BF696" s="43"/>
      <c r="BG696" s="43"/>
      <c r="BH696" s="43"/>
      <c r="BI696" s="43">
        <v>1.2178516305659948</v>
      </c>
      <c r="BJ696" s="43"/>
      <c r="BK696" s="43"/>
      <c r="BL696" s="43"/>
      <c r="BM696" s="43"/>
      <c r="BN696" s="43">
        <f t="shared" si="19"/>
        <v>1.2178516305659948</v>
      </c>
      <c r="BO696" s="43">
        <f t="shared" si="20"/>
        <v>2015</v>
      </c>
    </row>
    <row r="697" spans="2:67" x14ac:dyDescent="0.75">
      <c r="B697" s="43" t="s">
        <v>200</v>
      </c>
      <c r="C697" s="43" t="s">
        <v>167</v>
      </c>
      <c r="D697" s="43" t="s">
        <v>758</v>
      </c>
      <c r="E697" s="43" t="s">
        <v>757</v>
      </c>
      <c r="F697" s="43">
        <v>4.2000000000000003E-2</v>
      </c>
      <c r="G697" s="43"/>
      <c r="H697" s="43"/>
      <c r="I697" s="43"/>
      <c r="J697" s="43"/>
      <c r="K697" s="43">
        <v>4.8000000000000001E-2</v>
      </c>
      <c r="L697" s="43"/>
      <c r="M697" s="43"/>
      <c r="N697" s="43"/>
      <c r="O697" s="43"/>
      <c r="P697" s="43">
        <v>3.2000000000000001E-2</v>
      </c>
      <c r="Q697" s="43"/>
      <c r="R697" s="43"/>
      <c r="S697" s="43"/>
      <c r="T697" s="43"/>
      <c r="U697" s="43">
        <v>3.2000000000000001E-2</v>
      </c>
      <c r="V697" s="43"/>
      <c r="W697" s="43"/>
      <c r="X697" s="43"/>
      <c r="Y697" s="43"/>
      <c r="Z697" s="43"/>
      <c r="AA697" s="43"/>
      <c r="AB697" s="43"/>
      <c r="AC697" s="43"/>
      <c r="AD697" s="43"/>
      <c r="AE697" s="43">
        <v>7.0999999999999994E-2</v>
      </c>
      <c r="AF697" s="43"/>
      <c r="AG697" s="43"/>
      <c r="AH697" s="43"/>
      <c r="AI697" s="43"/>
      <c r="AJ697" s="43">
        <v>4.2999999999999997E-2</v>
      </c>
      <c r="AK697" s="43"/>
      <c r="AL697" s="43"/>
      <c r="AM697" s="43">
        <v>0.05</v>
      </c>
      <c r="AN697" s="43"/>
      <c r="AO697" s="43">
        <v>5.3999999999999999E-2</v>
      </c>
      <c r="AP697" s="43"/>
      <c r="AQ697" s="43"/>
      <c r="AR697" s="43"/>
      <c r="AS697" s="43"/>
      <c r="AT697" s="43"/>
      <c r="AU697" s="43"/>
      <c r="AV697" s="43"/>
      <c r="AW697" s="43">
        <v>4.6399999999999997E-2</v>
      </c>
      <c r="AX697" s="43"/>
      <c r="AY697" s="43"/>
      <c r="AZ697" s="43"/>
      <c r="BA697" s="43"/>
      <c r="BB697" s="43"/>
      <c r="BC697" s="43"/>
      <c r="BD697" s="43">
        <v>6.7599999999999993E-2</v>
      </c>
      <c r="BE697" s="43"/>
      <c r="BF697" s="43"/>
      <c r="BG697" s="43"/>
      <c r="BH697" s="43"/>
      <c r="BI697" s="43"/>
      <c r="BJ697" s="43"/>
      <c r="BK697" s="43"/>
      <c r="BL697" s="43"/>
      <c r="BM697" s="43"/>
      <c r="BN697" s="43">
        <f t="shared" si="19"/>
        <v>6.7599999999999993E-2</v>
      </c>
      <c r="BO697" s="43">
        <f t="shared" si="20"/>
        <v>2010</v>
      </c>
    </row>
    <row r="698" spans="2:67" x14ac:dyDescent="0.75">
      <c r="B698" s="43" t="s">
        <v>435</v>
      </c>
      <c r="C698" s="43" t="s">
        <v>436</v>
      </c>
      <c r="D698" s="43" t="s">
        <v>758</v>
      </c>
      <c r="E698" s="43" t="s">
        <v>757</v>
      </c>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v>1.3671398726791915</v>
      </c>
      <c r="AK698" s="43"/>
      <c r="AL698" s="43"/>
      <c r="AM698" s="43"/>
      <c r="AN698" s="43"/>
      <c r="AO698" s="43"/>
      <c r="AP698" s="43"/>
      <c r="AQ698" s="43"/>
      <c r="AR698" s="43"/>
      <c r="AS698" s="43"/>
      <c r="AT698" s="43">
        <v>1.4538187370888338</v>
      </c>
      <c r="AU698" s="43"/>
      <c r="AV698" s="43"/>
      <c r="AW698" s="43"/>
      <c r="AX698" s="43"/>
      <c r="AY698" s="43"/>
      <c r="AZ698" s="43"/>
      <c r="BA698" s="43"/>
      <c r="BB698" s="43"/>
      <c r="BC698" s="43"/>
      <c r="BD698" s="43"/>
      <c r="BE698" s="43"/>
      <c r="BF698" s="43"/>
      <c r="BG698" s="43"/>
      <c r="BH698" s="43"/>
      <c r="BI698" s="43">
        <v>1.9456894274001637</v>
      </c>
      <c r="BJ698" s="43"/>
      <c r="BK698" s="43"/>
      <c r="BL698" s="43"/>
      <c r="BM698" s="43"/>
      <c r="BN698" s="43">
        <f t="shared" si="19"/>
        <v>1.9456894274001637</v>
      </c>
      <c r="BO698" s="43">
        <f t="shared" si="20"/>
        <v>2015</v>
      </c>
    </row>
    <row r="699" spans="2:67" x14ac:dyDescent="0.75">
      <c r="B699" s="43" t="s">
        <v>450</v>
      </c>
      <c r="C699" s="43" t="s">
        <v>82</v>
      </c>
      <c r="D699" s="43" t="s">
        <v>758</v>
      </c>
      <c r="E699" s="43" t="s">
        <v>757</v>
      </c>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v>3.72</v>
      </c>
      <c r="AF699" s="43">
        <v>3.8159999999999998</v>
      </c>
      <c r="AG699" s="43">
        <v>3.8849999999999998</v>
      </c>
      <c r="AH699" s="43">
        <v>3.9409999999999998</v>
      </c>
      <c r="AI699" s="43">
        <v>3.9769999999999999</v>
      </c>
      <c r="AJ699" s="43">
        <v>4.0270000000000001</v>
      </c>
      <c r="AK699" s="43">
        <v>3.9049999999999998</v>
      </c>
      <c r="AL699" s="43">
        <v>3.9279999999999999</v>
      </c>
      <c r="AM699" s="43">
        <v>3.9780000000000002</v>
      </c>
      <c r="AN699" s="43">
        <v>4.0910000000000002</v>
      </c>
      <c r="AO699" s="43">
        <v>4.0636000000000001</v>
      </c>
      <c r="AP699" s="43">
        <v>4.0965999999999996</v>
      </c>
      <c r="AQ699" s="43">
        <v>4.1222000000000003</v>
      </c>
      <c r="AR699" s="43">
        <v>4.1130000000000004</v>
      </c>
      <c r="AS699" s="43">
        <v>4.1307</v>
      </c>
      <c r="AT699" s="43">
        <v>4.01</v>
      </c>
      <c r="AU699" s="43">
        <v>4.0270000000000001</v>
      </c>
      <c r="AV699" s="43"/>
      <c r="AW699" s="43"/>
      <c r="AX699" s="43"/>
      <c r="AY699" s="43"/>
      <c r="AZ699" s="43">
        <v>3.95</v>
      </c>
      <c r="BA699" s="43">
        <v>4.0339999999999998</v>
      </c>
      <c r="BB699" s="43">
        <v>3.6640000000000001</v>
      </c>
      <c r="BC699" s="43"/>
      <c r="BD699" s="43">
        <v>3.9138000000000002</v>
      </c>
      <c r="BE699" s="43">
        <v>4.0284000000000004</v>
      </c>
      <c r="BF699" s="43">
        <v>4.1497000000000002</v>
      </c>
      <c r="BG699" s="43">
        <v>4.2205000000000004</v>
      </c>
      <c r="BH699" s="43">
        <v>4.2645999999999997</v>
      </c>
      <c r="BI699" s="43">
        <v>4.2992999999999997</v>
      </c>
      <c r="BJ699" s="43">
        <v>4.3369999999999997</v>
      </c>
      <c r="BK699" s="43"/>
      <c r="BL699" s="43"/>
      <c r="BM699" s="43"/>
      <c r="BN699" s="43">
        <f t="shared" si="19"/>
        <v>4.3369999999999997</v>
      </c>
      <c r="BO699" s="43">
        <f t="shared" si="20"/>
        <v>2016</v>
      </c>
    </row>
    <row r="700" spans="2:67" x14ac:dyDescent="0.75">
      <c r="B700" s="43" t="s">
        <v>457</v>
      </c>
      <c r="C700" s="43" t="s">
        <v>83</v>
      </c>
      <c r="D700" s="43" t="s">
        <v>758</v>
      </c>
      <c r="E700" s="43" t="s">
        <v>757</v>
      </c>
      <c r="F700" s="43">
        <v>1</v>
      </c>
      <c r="G700" s="43">
        <v>1</v>
      </c>
      <c r="H700" s="43">
        <v>1</v>
      </c>
      <c r="I700" s="43">
        <v>1</v>
      </c>
      <c r="J700" s="43">
        <v>1</v>
      </c>
      <c r="K700" s="43">
        <v>1</v>
      </c>
      <c r="L700" s="43">
        <v>1</v>
      </c>
      <c r="M700" s="43">
        <v>1</v>
      </c>
      <c r="N700" s="43">
        <v>1.1000000000000001</v>
      </c>
      <c r="O700" s="43">
        <v>1.1000000000000001</v>
      </c>
      <c r="P700" s="43">
        <v>1.1000000000000001</v>
      </c>
      <c r="Q700" s="43">
        <v>1.2</v>
      </c>
      <c r="R700" s="43">
        <v>1.2</v>
      </c>
      <c r="S700" s="43">
        <v>1.2</v>
      </c>
      <c r="T700" s="43">
        <v>1.2</v>
      </c>
      <c r="U700" s="43">
        <v>1.3</v>
      </c>
      <c r="V700" s="43">
        <v>1.3</v>
      </c>
      <c r="W700" s="43">
        <v>1.3</v>
      </c>
      <c r="X700" s="43">
        <v>1.5</v>
      </c>
      <c r="Y700" s="43">
        <v>1.6</v>
      </c>
      <c r="Z700" s="43">
        <v>1.7</v>
      </c>
      <c r="AA700" s="43">
        <v>1.5</v>
      </c>
      <c r="AB700" s="43">
        <v>1.7</v>
      </c>
      <c r="AC700" s="43">
        <v>1.7</v>
      </c>
      <c r="AD700" s="43">
        <v>1.7</v>
      </c>
      <c r="AE700" s="43">
        <v>1.8</v>
      </c>
      <c r="AF700" s="43">
        <v>1.9</v>
      </c>
      <c r="AG700" s="43">
        <v>1.8</v>
      </c>
      <c r="AH700" s="43">
        <v>1.9</v>
      </c>
      <c r="AI700" s="43">
        <v>2</v>
      </c>
      <c r="AJ700" s="43">
        <v>2</v>
      </c>
      <c r="AK700" s="43">
        <v>2</v>
      </c>
      <c r="AL700" s="43">
        <v>2.1</v>
      </c>
      <c r="AM700" s="43">
        <v>2.1</v>
      </c>
      <c r="AN700" s="43">
        <v>2.2000000000000002</v>
      </c>
      <c r="AO700" s="43">
        <v>2.2000000000000002</v>
      </c>
      <c r="AP700" s="43">
        <v>2.2999999999999998</v>
      </c>
      <c r="AQ700" s="43">
        <v>2.4</v>
      </c>
      <c r="AR700" s="43">
        <v>2.4</v>
      </c>
      <c r="AS700" s="43">
        <v>2.5</v>
      </c>
      <c r="AT700" s="43">
        <v>2.5</v>
      </c>
      <c r="AU700" s="43">
        <v>2.5</v>
      </c>
      <c r="AV700" s="43">
        <v>2.6</v>
      </c>
      <c r="AW700" s="43">
        <v>2.7</v>
      </c>
      <c r="AX700" s="43">
        <v>2.73</v>
      </c>
      <c r="AY700" s="43">
        <v>2.8519999999999999</v>
      </c>
      <c r="AZ700" s="43"/>
      <c r="BA700" s="43">
        <v>2.8620000000000001</v>
      </c>
      <c r="BB700" s="43"/>
      <c r="BC700" s="43"/>
      <c r="BD700" s="43">
        <v>2.7643</v>
      </c>
      <c r="BE700" s="43">
        <v>2.7486000000000002</v>
      </c>
      <c r="BF700" s="43">
        <v>2.7761</v>
      </c>
      <c r="BG700" s="43">
        <v>2.7997000000000001</v>
      </c>
      <c r="BH700" s="43">
        <v>2.8563999999999998</v>
      </c>
      <c r="BI700" s="43">
        <v>2.9222000000000001</v>
      </c>
      <c r="BJ700" s="43">
        <v>2.9234</v>
      </c>
      <c r="BK700" s="43">
        <v>3.0266000000000002</v>
      </c>
      <c r="BL700" s="43"/>
      <c r="BM700" s="43"/>
      <c r="BN700" s="43">
        <f t="shared" si="19"/>
        <v>3.0266000000000002</v>
      </c>
      <c r="BO700" s="43">
        <f t="shared" si="20"/>
        <v>2017</v>
      </c>
    </row>
    <row r="701" spans="2:67" x14ac:dyDescent="0.75">
      <c r="B701" s="43" t="s">
        <v>443</v>
      </c>
      <c r="C701" s="43" t="s">
        <v>84</v>
      </c>
      <c r="D701" s="43" t="s">
        <v>758</v>
      </c>
      <c r="E701" s="43" t="s">
        <v>757</v>
      </c>
      <c r="F701" s="43"/>
      <c r="G701" s="43"/>
      <c r="H701" s="43"/>
      <c r="I701" s="43"/>
      <c r="J701" s="43"/>
      <c r="K701" s="43"/>
      <c r="L701" s="43"/>
      <c r="M701" s="43"/>
      <c r="N701" s="43"/>
      <c r="O701" s="43"/>
      <c r="P701" s="43"/>
      <c r="Q701" s="43"/>
      <c r="R701" s="43"/>
      <c r="S701" s="43"/>
      <c r="T701" s="43"/>
      <c r="U701" s="43"/>
      <c r="V701" s="43"/>
      <c r="W701" s="43"/>
      <c r="X701" s="43"/>
      <c r="Y701" s="43"/>
      <c r="Z701" s="43">
        <v>3.6230000000000002</v>
      </c>
      <c r="AA701" s="43"/>
      <c r="AB701" s="43"/>
      <c r="AC701" s="43"/>
      <c r="AD701" s="43"/>
      <c r="AE701" s="43">
        <v>4.0990000000000002</v>
      </c>
      <c r="AF701" s="43">
        <v>4.077</v>
      </c>
      <c r="AG701" s="43">
        <v>4.1120000000000001</v>
      </c>
      <c r="AH701" s="43">
        <v>4.1829999999999998</v>
      </c>
      <c r="AI701" s="43">
        <v>4.1619999999999999</v>
      </c>
      <c r="AJ701" s="43">
        <v>4.6933999999999996</v>
      </c>
      <c r="AK701" s="43">
        <v>4.6063000000000001</v>
      </c>
      <c r="AL701" s="43">
        <v>4.0839999999999996</v>
      </c>
      <c r="AM701" s="43">
        <v>3.6198999999999999</v>
      </c>
      <c r="AN701" s="43">
        <v>3.4133</v>
      </c>
      <c r="AO701" s="43">
        <v>3.3481999999999998</v>
      </c>
      <c r="AP701" s="43">
        <v>3.4803000000000002</v>
      </c>
      <c r="AQ701" s="43">
        <v>3.4218999999999999</v>
      </c>
      <c r="AR701" s="43">
        <v>3.2766999999999999</v>
      </c>
      <c r="AS701" s="43">
        <v>3.3391000000000002</v>
      </c>
      <c r="AT701" s="43">
        <v>3.4117999999999999</v>
      </c>
      <c r="AU701" s="43">
        <v>3.2831999999999999</v>
      </c>
      <c r="AV701" s="43">
        <v>3.3959000000000001</v>
      </c>
      <c r="AW701" s="43">
        <v>3.4188000000000001</v>
      </c>
      <c r="AX701" s="43">
        <v>3.5486</v>
      </c>
      <c r="AY701" s="43">
        <v>3.6442999999999999</v>
      </c>
      <c r="AZ701" s="43">
        <v>3.7484000000000002</v>
      </c>
      <c r="BA701" s="43">
        <v>3.6452</v>
      </c>
      <c r="BB701" s="43">
        <v>3.8845999999999998</v>
      </c>
      <c r="BC701" s="43">
        <v>3.7122999999999999</v>
      </c>
      <c r="BD701" s="43">
        <v>3.0758000000000001</v>
      </c>
      <c r="BE701" s="43">
        <v>3.0853000000000002</v>
      </c>
      <c r="BF701" s="43">
        <v>3.0952000000000002</v>
      </c>
      <c r="BG701" s="43">
        <v>3.1473</v>
      </c>
      <c r="BH701" s="43">
        <v>3.1804000000000001</v>
      </c>
      <c r="BI701" s="43">
        <v>3.1736</v>
      </c>
      <c r="BJ701" s="43">
        <v>3.1945999999999999</v>
      </c>
      <c r="BK701" s="43"/>
      <c r="BL701" s="43"/>
      <c r="BM701" s="43"/>
      <c r="BN701" s="43">
        <f t="shared" si="19"/>
        <v>3.1945999999999999</v>
      </c>
      <c r="BO701" s="43">
        <f t="shared" si="20"/>
        <v>2016</v>
      </c>
    </row>
    <row r="702" spans="2:67" x14ac:dyDescent="0.75">
      <c r="B702" s="43" t="s">
        <v>458</v>
      </c>
      <c r="C702" s="43" t="s">
        <v>459</v>
      </c>
      <c r="D702" s="43" t="s">
        <v>758</v>
      </c>
      <c r="E702" s="43" t="s">
        <v>757</v>
      </c>
      <c r="F702" s="43">
        <v>0.41</v>
      </c>
      <c r="G702" s="43"/>
      <c r="H702" s="43"/>
      <c r="I702" s="43"/>
      <c r="J702" s="43"/>
      <c r="K702" s="43"/>
      <c r="L702" s="43"/>
      <c r="M702" s="43"/>
      <c r="N702" s="43"/>
      <c r="O702" s="43"/>
      <c r="P702" s="43">
        <v>0.63400000000000001</v>
      </c>
      <c r="Q702" s="43"/>
      <c r="R702" s="43"/>
      <c r="S702" s="43"/>
      <c r="T702" s="43"/>
      <c r="U702" s="43"/>
      <c r="V702" s="43"/>
      <c r="W702" s="43"/>
      <c r="X702" s="43"/>
      <c r="Y702" s="43"/>
      <c r="Z702" s="43">
        <v>1.0669999999999999</v>
      </c>
      <c r="AA702" s="43">
        <v>1.1220000000000001</v>
      </c>
      <c r="AB702" s="43"/>
      <c r="AC702" s="43"/>
      <c r="AD702" s="43"/>
      <c r="AE702" s="43"/>
      <c r="AF702" s="43">
        <v>2.4279999999999999</v>
      </c>
      <c r="AG702" s="43">
        <v>1.5620000000000001</v>
      </c>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c r="BI702" s="43"/>
      <c r="BJ702" s="43"/>
      <c r="BK702" s="43"/>
      <c r="BL702" s="43"/>
      <c r="BM702" s="43"/>
      <c r="BN702" s="43">
        <f t="shared" si="19"/>
        <v>1.5620000000000001</v>
      </c>
      <c r="BO702" s="43">
        <f t="shared" si="20"/>
        <v>1987</v>
      </c>
    </row>
    <row r="703" spans="2:67" x14ac:dyDescent="0.75">
      <c r="B703" s="43" t="s">
        <v>534</v>
      </c>
      <c r="C703" s="43" t="s">
        <v>535</v>
      </c>
      <c r="D703" s="43" t="s">
        <v>758</v>
      </c>
      <c r="E703" s="43" t="s">
        <v>757</v>
      </c>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t="str">
        <f t="shared" si="19"/>
        <v>No reported value</v>
      </c>
      <c r="BO703" s="43" t="str">
        <f t="shared" si="20"/>
        <v>No reported value</v>
      </c>
    </row>
    <row r="704" spans="2:67" x14ac:dyDescent="0.75">
      <c r="B704" s="43" t="s">
        <v>477</v>
      </c>
      <c r="C704" s="43" t="s">
        <v>85</v>
      </c>
      <c r="D704" s="43" t="s">
        <v>758</v>
      </c>
      <c r="E704" s="43" t="s">
        <v>757</v>
      </c>
      <c r="F704" s="43">
        <v>0.106</v>
      </c>
      <c r="G704" s="43"/>
      <c r="H704" s="43"/>
      <c r="I704" s="43"/>
      <c r="J704" s="43"/>
      <c r="K704" s="43">
        <v>8.2000000000000003E-2</v>
      </c>
      <c r="L704" s="43"/>
      <c r="M704" s="43"/>
      <c r="N704" s="43"/>
      <c r="O704" s="43"/>
      <c r="P704" s="43">
        <v>7.5999999999999998E-2</v>
      </c>
      <c r="Q704" s="43"/>
      <c r="R704" s="43"/>
      <c r="S704" s="43"/>
      <c r="T704" s="43"/>
      <c r="U704" s="43">
        <v>7.5999999999999998E-2</v>
      </c>
      <c r="V704" s="43"/>
      <c r="W704" s="43"/>
      <c r="X704" s="43"/>
      <c r="Y704" s="43"/>
      <c r="Z704" s="43"/>
      <c r="AA704" s="43">
        <v>5.3999999999999999E-2</v>
      </c>
      <c r="AB704" s="43">
        <v>6.4000000000000001E-2</v>
      </c>
      <c r="AC704" s="43"/>
      <c r="AD704" s="43"/>
      <c r="AE704" s="43"/>
      <c r="AF704" s="43"/>
      <c r="AG704" s="43">
        <v>0.217</v>
      </c>
      <c r="AH704" s="43">
        <v>0.214</v>
      </c>
      <c r="AI704" s="43"/>
      <c r="AJ704" s="43"/>
      <c r="AK704" s="43"/>
      <c r="AL704" s="43"/>
      <c r="AM704" s="43">
        <v>0.214</v>
      </c>
      <c r="AN704" s="43">
        <v>0.36299999999999999</v>
      </c>
      <c r="AO704" s="43"/>
      <c r="AP704" s="43"/>
      <c r="AQ704" s="43">
        <v>0.46</v>
      </c>
      <c r="AR704" s="43"/>
      <c r="AS704" s="43"/>
      <c r="AT704" s="43"/>
      <c r="AU704" s="43">
        <v>0.48299999999999998</v>
      </c>
      <c r="AV704" s="43"/>
      <c r="AW704" s="43"/>
      <c r="AX704" s="43">
        <v>0.52990000000000004</v>
      </c>
      <c r="AY704" s="43"/>
      <c r="AZ704" s="43"/>
      <c r="BA704" s="43">
        <v>0.58509999999999995</v>
      </c>
      <c r="BB704" s="43"/>
      <c r="BC704" s="43">
        <v>0.64649999999999996</v>
      </c>
      <c r="BD704" s="43">
        <v>0.62</v>
      </c>
      <c r="BE704" s="43"/>
      <c r="BF704" s="43"/>
      <c r="BG704" s="43">
        <v>0.63</v>
      </c>
      <c r="BH704" s="43">
        <v>0.61040000000000005</v>
      </c>
      <c r="BI704" s="43"/>
      <c r="BJ704" s="43"/>
      <c r="BK704" s="43">
        <v>0.72729999999999995</v>
      </c>
      <c r="BL704" s="43"/>
      <c r="BM704" s="43"/>
      <c r="BN704" s="43">
        <f t="shared" si="19"/>
        <v>0.72729999999999995</v>
      </c>
      <c r="BO704" s="43">
        <f t="shared" si="20"/>
        <v>2017</v>
      </c>
    </row>
    <row r="705" spans="2:67" x14ac:dyDescent="0.75">
      <c r="B705" s="43" t="s">
        <v>475</v>
      </c>
      <c r="C705" s="43" t="s">
        <v>86</v>
      </c>
      <c r="D705" s="43" t="s">
        <v>758</v>
      </c>
      <c r="E705" s="43" t="s">
        <v>757</v>
      </c>
      <c r="F705" s="43"/>
      <c r="G705" s="43"/>
      <c r="H705" s="43"/>
      <c r="I705" s="43"/>
      <c r="J705" s="43"/>
      <c r="K705" s="43"/>
      <c r="L705" s="43"/>
      <c r="M705" s="43"/>
      <c r="N705" s="43"/>
      <c r="O705" s="43"/>
      <c r="P705" s="43">
        <v>2.4</v>
      </c>
      <c r="Q705" s="43">
        <v>1.958</v>
      </c>
      <c r="R705" s="43">
        <v>2.2080000000000002</v>
      </c>
      <c r="S705" s="43">
        <v>2.25</v>
      </c>
      <c r="T705" s="43">
        <v>2.375</v>
      </c>
      <c r="U705" s="43">
        <v>2.36</v>
      </c>
      <c r="V705" s="43">
        <v>2.4169999999999998</v>
      </c>
      <c r="W705" s="43">
        <v>2.4</v>
      </c>
      <c r="X705" s="43">
        <v>2.3199999999999998</v>
      </c>
      <c r="Y705" s="43">
        <v>2.36</v>
      </c>
      <c r="Z705" s="43">
        <v>2.3849999999999998</v>
      </c>
      <c r="AA705" s="43">
        <v>2.2309999999999999</v>
      </c>
      <c r="AB705" s="43">
        <v>2.1850000000000001</v>
      </c>
      <c r="AC705" s="43"/>
      <c r="AD705" s="43"/>
      <c r="AE705" s="43"/>
      <c r="AF705" s="43"/>
      <c r="AG705" s="43"/>
      <c r="AH705" s="43"/>
      <c r="AI705" s="43">
        <v>2.8570000000000002</v>
      </c>
      <c r="AJ705" s="43"/>
      <c r="AK705" s="43"/>
      <c r="AL705" s="43">
        <v>3</v>
      </c>
      <c r="AM705" s="43"/>
      <c r="AN705" s="43"/>
      <c r="AO705" s="43">
        <v>5.81</v>
      </c>
      <c r="AP705" s="43"/>
      <c r="AQ705" s="43"/>
      <c r="AR705" s="43"/>
      <c r="AS705" s="43"/>
      <c r="AT705" s="43"/>
      <c r="AU705" s="43"/>
      <c r="AV705" s="43"/>
      <c r="AW705" s="43"/>
      <c r="AX705" s="43"/>
      <c r="AY705" s="43"/>
      <c r="AZ705" s="43"/>
      <c r="BA705" s="43"/>
      <c r="BB705" s="43"/>
      <c r="BC705" s="43"/>
      <c r="BD705" s="43"/>
      <c r="BE705" s="43">
        <v>6.6666999999999996</v>
      </c>
      <c r="BF705" s="43">
        <v>6.7195999999999998</v>
      </c>
      <c r="BG705" s="43">
        <v>6.5789</v>
      </c>
      <c r="BH705" s="43">
        <v>6.5617000000000001</v>
      </c>
      <c r="BI705" s="43"/>
      <c r="BJ705" s="43"/>
      <c r="BK705" s="43"/>
      <c r="BL705" s="43"/>
      <c r="BM705" s="43"/>
      <c r="BN705" s="43">
        <f t="shared" si="19"/>
        <v>6.5617000000000001</v>
      </c>
      <c r="BO705" s="43">
        <f t="shared" si="20"/>
        <v>2014</v>
      </c>
    </row>
    <row r="706" spans="2:67" x14ac:dyDescent="0.75">
      <c r="B706" s="43" t="s">
        <v>474</v>
      </c>
      <c r="C706" s="43" t="s">
        <v>87</v>
      </c>
      <c r="D706" s="43" t="s">
        <v>758</v>
      </c>
      <c r="E706" s="43" t="s">
        <v>757</v>
      </c>
      <c r="F706" s="43"/>
      <c r="G706" s="43"/>
      <c r="H706" s="43"/>
      <c r="I706" s="43"/>
      <c r="J706" s="43"/>
      <c r="K706" s="43"/>
      <c r="L706" s="43"/>
      <c r="M706" s="43"/>
      <c r="N706" s="43"/>
      <c r="O706" s="43"/>
      <c r="P706" s="43"/>
      <c r="Q706" s="43"/>
      <c r="R706" s="43"/>
      <c r="S706" s="43"/>
      <c r="T706" s="43"/>
      <c r="U706" s="43"/>
      <c r="V706" s="43"/>
      <c r="W706" s="43"/>
      <c r="X706" s="43"/>
      <c r="Y706" s="43"/>
      <c r="Z706" s="43">
        <v>2.8159999999999998</v>
      </c>
      <c r="AA706" s="43">
        <v>2.895</v>
      </c>
      <c r="AB706" s="43">
        <v>3.0070000000000001</v>
      </c>
      <c r="AC706" s="43">
        <v>3.089</v>
      </c>
      <c r="AD706" s="43">
        <v>3.1930000000000001</v>
      </c>
      <c r="AE706" s="43">
        <v>3.2970000000000002</v>
      </c>
      <c r="AF706" s="43">
        <v>3.37</v>
      </c>
      <c r="AG706" s="43">
        <v>3.444</v>
      </c>
      <c r="AH706" s="43">
        <v>3.52</v>
      </c>
      <c r="AI706" s="43">
        <v>3.573</v>
      </c>
      <c r="AJ706" s="43">
        <v>3.55</v>
      </c>
      <c r="AK706" s="43">
        <v>3.484</v>
      </c>
      <c r="AL706" s="43">
        <v>3.51</v>
      </c>
      <c r="AM706" s="43">
        <v>3.5550000000000002</v>
      </c>
      <c r="AN706" s="43">
        <v>3.5640000000000001</v>
      </c>
      <c r="AO706" s="43">
        <v>3.5129999999999999</v>
      </c>
      <c r="AP706" s="43">
        <v>3.5619999999999998</v>
      </c>
      <c r="AQ706" s="43">
        <v>3.5819999999999999</v>
      </c>
      <c r="AR706" s="43">
        <v>3.6309999999999998</v>
      </c>
      <c r="AS706" s="43">
        <v>3.2450000000000001</v>
      </c>
      <c r="AT706" s="43">
        <v>3.18</v>
      </c>
      <c r="AU706" s="43">
        <v>2.694</v>
      </c>
      <c r="AV706" s="43"/>
      <c r="AW706" s="43">
        <v>2.6360000000000001</v>
      </c>
      <c r="AX706" s="43"/>
      <c r="AY706" s="43"/>
      <c r="AZ706" s="43">
        <v>2.66</v>
      </c>
      <c r="BA706" s="43">
        <v>2.6680000000000001</v>
      </c>
      <c r="BB706" s="43"/>
      <c r="BC706" s="43"/>
      <c r="BD706" s="43">
        <v>2.4390000000000001</v>
      </c>
      <c r="BE706" s="43">
        <v>2.4672999999999998</v>
      </c>
      <c r="BF706" s="43">
        <v>2.4695</v>
      </c>
      <c r="BG706" s="43">
        <v>2.5619000000000001</v>
      </c>
      <c r="BH706" s="43">
        <v>2.5388999999999999</v>
      </c>
      <c r="BI706" s="43">
        <v>3.2002000000000002</v>
      </c>
      <c r="BJ706" s="43"/>
      <c r="BK706" s="43"/>
      <c r="BL706" s="43"/>
      <c r="BM706" s="43"/>
      <c r="BN706" s="43">
        <f t="shared" si="19"/>
        <v>3.2002000000000002</v>
      </c>
      <c r="BO706" s="43">
        <f t="shared" si="20"/>
        <v>2015</v>
      </c>
    </row>
    <row r="707" spans="2:67" x14ac:dyDescent="0.75">
      <c r="B707" s="43" t="s">
        <v>202</v>
      </c>
      <c r="C707" s="43" t="s">
        <v>88</v>
      </c>
      <c r="D707" s="43" t="s">
        <v>758</v>
      </c>
      <c r="E707" s="43" t="s">
        <v>757</v>
      </c>
      <c r="F707" s="43">
        <v>0.115</v>
      </c>
      <c r="G707" s="43"/>
      <c r="H707" s="43"/>
      <c r="I707" s="43"/>
      <c r="J707" s="43"/>
      <c r="K707" s="43">
        <v>9.2999999999999999E-2</v>
      </c>
      <c r="L707" s="43"/>
      <c r="M707" s="43"/>
      <c r="N707" s="43"/>
      <c r="O707" s="43"/>
      <c r="P707" s="43">
        <v>9.7000000000000003E-2</v>
      </c>
      <c r="Q707" s="43"/>
      <c r="R707" s="43"/>
      <c r="S707" s="43"/>
      <c r="T707" s="43"/>
      <c r="U707" s="43">
        <v>9.6000000000000002E-2</v>
      </c>
      <c r="V707" s="43"/>
      <c r="W707" s="43"/>
      <c r="X707" s="43"/>
      <c r="Y707" s="43"/>
      <c r="Z707" s="43"/>
      <c r="AA707" s="43">
        <v>9.9000000000000005E-2</v>
      </c>
      <c r="AB707" s="43"/>
      <c r="AC707" s="43"/>
      <c r="AD707" s="43"/>
      <c r="AE707" s="43">
        <v>0.10100000000000001</v>
      </c>
      <c r="AF707" s="43"/>
      <c r="AG707" s="43"/>
      <c r="AH707" s="43"/>
      <c r="AI707" s="43"/>
      <c r="AJ707" s="43">
        <v>0.12</v>
      </c>
      <c r="AK707" s="43"/>
      <c r="AL707" s="43"/>
      <c r="AM707" s="43"/>
      <c r="AN707" s="43"/>
      <c r="AO707" s="43">
        <v>0.27200000000000002</v>
      </c>
      <c r="AP707" s="43">
        <v>0.107</v>
      </c>
      <c r="AQ707" s="43"/>
      <c r="AR707" s="43"/>
      <c r="AS707" s="43"/>
      <c r="AT707" s="43"/>
      <c r="AU707" s="43">
        <v>8.6999999999999994E-2</v>
      </c>
      <c r="AV707" s="43">
        <v>0.13619999999999999</v>
      </c>
      <c r="AW707" s="43">
        <v>0.14760000000000001</v>
      </c>
      <c r="AX707" s="43">
        <v>0.15620000000000001</v>
      </c>
      <c r="AY707" s="43">
        <v>0.18010000000000001</v>
      </c>
      <c r="AZ707" s="43">
        <v>0.17050000000000001</v>
      </c>
      <c r="BA707" s="43">
        <v>0.18129999999999999</v>
      </c>
      <c r="BB707" s="43">
        <v>0.186</v>
      </c>
      <c r="BC707" s="43">
        <v>0.18129999999999999</v>
      </c>
      <c r="BD707" s="43">
        <v>0.1953</v>
      </c>
      <c r="BE707" s="43">
        <v>0.14399999999999999</v>
      </c>
      <c r="BF707" s="43">
        <v>0.14269999999999999</v>
      </c>
      <c r="BG707" s="43"/>
      <c r="BH707" s="43">
        <v>0.1812</v>
      </c>
      <c r="BI707" s="43"/>
      <c r="BJ707" s="43"/>
      <c r="BK707" s="43"/>
      <c r="BL707" s="43"/>
      <c r="BM707" s="43"/>
      <c r="BN707" s="43">
        <f t="shared" si="19"/>
        <v>0.1812</v>
      </c>
      <c r="BO707" s="43">
        <f t="shared" si="20"/>
        <v>2014</v>
      </c>
    </row>
    <row r="708" spans="2:67" x14ac:dyDescent="0.75">
      <c r="B708" s="43" t="s">
        <v>243</v>
      </c>
      <c r="C708" s="43" t="s">
        <v>89</v>
      </c>
      <c r="D708" s="43" t="s">
        <v>758</v>
      </c>
      <c r="E708" s="43" t="s">
        <v>757</v>
      </c>
      <c r="F708" s="43"/>
      <c r="G708" s="43"/>
      <c r="H708" s="43"/>
      <c r="I708" s="43"/>
      <c r="J708" s="43"/>
      <c r="K708" s="43"/>
      <c r="L708" s="43"/>
      <c r="M708" s="43"/>
      <c r="N708" s="43"/>
      <c r="O708" s="43"/>
      <c r="P708" s="43">
        <v>3.3000000000000002E-2</v>
      </c>
      <c r="Q708" s="43"/>
      <c r="R708" s="43"/>
      <c r="S708" s="43"/>
      <c r="T708" s="43"/>
      <c r="U708" s="43"/>
      <c r="V708" s="43"/>
      <c r="W708" s="43"/>
      <c r="X708" s="43"/>
      <c r="Y708" s="43"/>
      <c r="Z708" s="43"/>
      <c r="AA708" s="43">
        <v>4.9000000000000002E-2</v>
      </c>
      <c r="AB708" s="43">
        <v>6.5000000000000002E-2</v>
      </c>
      <c r="AC708" s="43"/>
      <c r="AD708" s="43"/>
      <c r="AE708" s="43"/>
      <c r="AF708" s="43"/>
      <c r="AG708" s="43"/>
      <c r="AH708" s="43"/>
      <c r="AI708" s="43"/>
      <c r="AJ708" s="43">
        <v>7.0000000000000007E-2</v>
      </c>
      <c r="AK708" s="43">
        <v>0.1915</v>
      </c>
      <c r="AL708" s="43"/>
      <c r="AM708" s="43">
        <v>0.28449999999999998</v>
      </c>
      <c r="AN708" s="43"/>
      <c r="AO708" s="43">
        <v>0.4</v>
      </c>
      <c r="AP708" s="43">
        <v>0.66720000000000002</v>
      </c>
      <c r="AQ708" s="43"/>
      <c r="AR708" s="43"/>
      <c r="AS708" s="43"/>
      <c r="AT708" s="43">
        <v>0.77700000000000002</v>
      </c>
      <c r="AU708" s="43"/>
      <c r="AV708" s="43"/>
      <c r="AW708" s="43"/>
      <c r="AX708" s="43">
        <v>0.97289999999999999</v>
      </c>
      <c r="AY708" s="43"/>
      <c r="AZ708" s="43"/>
      <c r="BA708" s="43">
        <v>1.6424000000000001</v>
      </c>
      <c r="BB708" s="43"/>
      <c r="BC708" s="43">
        <v>1.4838</v>
      </c>
      <c r="BD708" s="43">
        <v>1.4402999999999999</v>
      </c>
      <c r="BE708" s="43"/>
      <c r="BF708" s="43"/>
      <c r="BG708" s="43"/>
      <c r="BH708" s="43">
        <v>1.8863000000000001</v>
      </c>
      <c r="BI708" s="43">
        <v>3.1381000000000001</v>
      </c>
      <c r="BJ708" s="43">
        <v>1.0379</v>
      </c>
      <c r="BK708" s="43"/>
      <c r="BL708" s="43"/>
      <c r="BM708" s="43"/>
      <c r="BN708" s="43">
        <f t="shared" si="19"/>
        <v>1.0379</v>
      </c>
      <c r="BO708" s="43">
        <f t="shared" si="20"/>
        <v>2016</v>
      </c>
    </row>
    <row r="709" spans="2:67" x14ac:dyDescent="0.75">
      <c r="B709" s="43" t="s">
        <v>466</v>
      </c>
      <c r="C709" s="43" t="s">
        <v>467</v>
      </c>
      <c r="D709" s="43" t="s">
        <v>758</v>
      </c>
      <c r="E709" s="43" t="s">
        <v>757</v>
      </c>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v>0.68343453377920638</v>
      </c>
      <c r="AK709" s="43"/>
      <c r="AL709" s="43"/>
      <c r="AM709" s="43"/>
      <c r="AN709" s="43"/>
      <c r="AO709" s="43"/>
      <c r="AP709" s="43"/>
      <c r="AQ709" s="43"/>
      <c r="AR709" s="43"/>
      <c r="AS709" s="43"/>
      <c r="AT709" s="43">
        <v>1.2504479845910703</v>
      </c>
      <c r="AU709" s="43"/>
      <c r="AV709" s="43"/>
      <c r="AW709" s="43"/>
      <c r="AX709" s="43"/>
      <c r="AY709" s="43"/>
      <c r="AZ709" s="43"/>
      <c r="BA709" s="43"/>
      <c r="BB709" s="43"/>
      <c r="BC709" s="43"/>
      <c r="BD709" s="43"/>
      <c r="BE709" s="43"/>
      <c r="BF709" s="43"/>
      <c r="BG709" s="43"/>
      <c r="BH709" s="43"/>
      <c r="BI709" s="43">
        <v>1.2594005996531696</v>
      </c>
      <c r="BJ709" s="43"/>
      <c r="BK709" s="43"/>
      <c r="BL709" s="43"/>
      <c r="BM709" s="43"/>
      <c r="BN709" s="43">
        <f t="shared" si="19"/>
        <v>1.2594005996531696</v>
      </c>
      <c r="BO709" s="43">
        <f t="shared" si="20"/>
        <v>2015</v>
      </c>
    </row>
    <row r="710" spans="2:67" x14ac:dyDescent="0.75">
      <c r="B710" s="43" t="s">
        <v>463</v>
      </c>
      <c r="C710" s="43" t="s">
        <v>90</v>
      </c>
      <c r="D710" s="43" t="s">
        <v>758</v>
      </c>
      <c r="E710" s="43" t="s">
        <v>757</v>
      </c>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v>1</v>
      </c>
      <c r="AK710" s="43">
        <v>1.1000000000000001</v>
      </c>
      <c r="AL710" s="43">
        <v>1.3</v>
      </c>
      <c r="AM710" s="43">
        <v>1.4</v>
      </c>
      <c r="AN710" s="43">
        <v>1.5</v>
      </c>
      <c r="AO710" s="43">
        <v>1.6</v>
      </c>
      <c r="AP710" s="43">
        <v>1.6</v>
      </c>
      <c r="AQ710" s="43">
        <v>1.4</v>
      </c>
      <c r="AR710" s="43">
        <v>1.2</v>
      </c>
      <c r="AS710" s="43">
        <v>1.7</v>
      </c>
      <c r="AT710" s="43">
        <v>1.9258999999999999</v>
      </c>
      <c r="AU710" s="43">
        <v>1.5</v>
      </c>
      <c r="AV710" s="43">
        <v>1.5</v>
      </c>
      <c r="AW710" s="43">
        <v>1.5</v>
      </c>
      <c r="AX710" s="43">
        <v>2.8929999999999998</v>
      </c>
      <c r="AY710" s="43">
        <v>1.7490000000000001</v>
      </c>
      <c r="AZ710" s="43">
        <v>1.8640000000000001</v>
      </c>
      <c r="BA710" s="43">
        <v>1.8879999999999999</v>
      </c>
      <c r="BB710" s="43">
        <v>1.925</v>
      </c>
      <c r="BC710" s="43">
        <v>1.9590000000000001</v>
      </c>
      <c r="BD710" s="43">
        <v>2.1747000000000001</v>
      </c>
      <c r="BE710" s="43">
        <v>2.0405000000000002</v>
      </c>
      <c r="BF710" s="43">
        <v>2.0497000000000001</v>
      </c>
      <c r="BG710" s="43">
        <v>2.0914999999999999</v>
      </c>
      <c r="BH710" s="43">
        <v>2.1383000000000001</v>
      </c>
      <c r="BI710" s="43">
        <v>2.2513000000000001</v>
      </c>
      <c r="BJ710" s="43">
        <v>2.2477999999999998</v>
      </c>
      <c r="BK710" s="43"/>
      <c r="BL710" s="43"/>
      <c r="BM710" s="43"/>
      <c r="BN710" s="43">
        <f t="shared" si="19"/>
        <v>2.2477999999999998</v>
      </c>
      <c r="BO710" s="43">
        <f t="shared" si="20"/>
        <v>2016</v>
      </c>
    </row>
    <row r="711" spans="2:67" x14ac:dyDescent="0.75">
      <c r="B711" s="43" t="s">
        <v>462</v>
      </c>
      <c r="C711" s="43" t="s">
        <v>91</v>
      </c>
      <c r="D711" s="43" t="s">
        <v>758</v>
      </c>
      <c r="E711" s="43" t="s">
        <v>757</v>
      </c>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v>0.42199999999999999</v>
      </c>
      <c r="AQ711" s="43"/>
      <c r="AR711" s="43"/>
      <c r="AS711" s="43"/>
      <c r="AT711" s="43">
        <v>0.47099999999999997</v>
      </c>
      <c r="AU711" s="43"/>
      <c r="AV711" s="43"/>
      <c r="AW711" s="43"/>
      <c r="AX711" s="43"/>
      <c r="AY711" s="43"/>
      <c r="AZ711" s="43"/>
      <c r="BA711" s="43">
        <v>0.59499999999999997</v>
      </c>
      <c r="BB711" s="43">
        <v>0.45600000000000002</v>
      </c>
      <c r="BC711" s="43"/>
      <c r="BD711" s="43">
        <v>0.61070000000000002</v>
      </c>
      <c r="BE711" s="43">
        <v>0.62860000000000005</v>
      </c>
      <c r="BF711" s="43">
        <v>0.45540000000000003</v>
      </c>
      <c r="BG711" s="43"/>
      <c r="BH711" s="43"/>
      <c r="BI711" s="43"/>
      <c r="BJ711" s="43"/>
      <c r="BK711" s="43"/>
      <c r="BL711" s="43"/>
      <c r="BM711" s="43"/>
      <c r="BN711" s="43">
        <f t="shared" si="19"/>
        <v>0.45540000000000003</v>
      </c>
      <c r="BO711" s="43">
        <f t="shared" si="20"/>
        <v>2012</v>
      </c>
    </row>
    <row r="712" spans="2:67" x14ac:dyDescent="0.75">
      <c r="B712" s="43" t="s">
        <v>472</v>
      </c>
      <c r="C712" s="43" t="s">
        <v>473</v>
      </c>
      <c r="D712" s="43" t="s">
        <v>758</v>
      </c>
      <c r="E712" s="43" t="s">
        <v>757</v>
      </c>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v>1.1261610542668827</v>
      </c>
      <c r="AK712" s="43"/>
      <c r="AL712" s="43"/>
      <c r="AM712" s="43"/>
      <c r="AN712" s="43"/>
      <c r="AO712" s="43"/>
      <c r="AP712" s="43"/>
      <c r="AQ712" s="43"/>
      <c r="AR712" s="43"/>
      <c r="AS712" s="43"/>
      <c r="AT712" s="43">
        <v>1.0825461104118281</v>
      </c>
      <c r="AU712" s="43"/>
      <c r="AV712" s="43"/>
      <c r="AW712" s="43"/>
      <c r="AX712" s="43"/>
      <c r="AY712" s="43"/>
      <c r="AZ712" s="43"/>
      <c r="BA712" s="43"/>
      <c r="BB712" s="43"/>
      <c r="BC712" s="43"/>
      <c r="BD712" s="43"/>
      <c r="BE712" s="43"/>
      <c r="BF712" s="43"/>
      <c r="BG712" s="43"/>
      <c r="BH712" s="43"/>
      <c r="BI712" s="43">
        <v>1.3224198732485886</v>
      </c>
      <c r="BJ712" s="43"/>
      <c r="BK712" s="43"/>
      <c r="BL712" s="43"/>
      <c r="BM712" s="43"/>
      <c r="BN712" s="43">
        <f t="shared" si="19"/>
        <v>1.3224198732485886</v>
      </c>
      <c r="BO712" s="43">
        <f t="shared" si="20"/>
        <v>2015</v>
      </c>
    </row>
    <row r="713" spans="2:67" x14ac:dyDescent="0.75">
      <c r="B713" s="43" t="s">
        <v>484</v>
      </c>
      <c r="C713" s="43" t="s">
        <v>485</v>
      </c>
      <c r="D713" s="43" t="s">
        <v>758</v>
      </c>
      <c r="E713" s="43" t="s">
        <v>757</v>
      </c>
      <c r="F713" s="43"/>
      <c r="G713" s="43"/>
      <c r="H713" s="43"/>
      <c r="I713" s="43"/>
      <c r="J713" s="43"/>
      <c r="K713" s="43"/>
      <c r="L713" s="43"/>
      <c r="M713" s="43"/>
      <c r="N713" s="43"/>
      <c r="O713" s="43"/>
      <c r="P713" s="43">
        <v>0.89</v>
      </c>
      <c r="Q713" s="43">
        <v>0.91900000000000004</v>
      </c>
      <c r="R713" s="43">
        <v>0.95299999999999996</v>
      </c>
      <c r="S713" s="43">
        <v>1.012</v>
      </c>
      <c r="T713" s="43">
        <v>1.0249999999999999</v>
      </c>
      <c r="U713" s="43">
        <v>1.121</v>
      </c>
      <c r="V713" s="43">
        <v>1.1140000000000001</v>
      </c>
      <c r="W713" s="43">
        <v>1.1579999999999999</v>
      </c>
      <c r="X713" s="43">
        <v>1.238</v>
      </c>
      <c r="Y713" s="43">
        <v>1.3109999999999999</v>
      </c>
      <c r="Z713" s="43">
        <v>1.3440000000000001</v>
      </c>
      <c r="AA713" s="43">
        <v>1.466</v>
      </c>
      <c r="AB713" s="43">
        <v>1.4950000000000001</v>
      </c>
      <c r="AC713" s="43">
        <v>1.679</v>
      </c>
      <c r="AD713" s="43">
        <v>1.671</v>
      </c>
      <c r="AE713" s="43">
        <v>1.8089999999999999</v>
      </c>
      <c r="AF713" s="43">
        <v>1.901</v>
      </c>
      <c r="AG713" s="43">
        <v>1.952</v>
      </c>
      <c r="AH713" s="43">
        <v>2.0329999999999999</v>
      </c>
      <c r="AI713" s="43">
        <v>2.14</v>
      </c>
      <c r="AJ713" s="43">
        <v>2.1680000000000001</v>
      </c>
      <c r="AK713" s="43">
        <v>2.3420000000000001</v>
      </c>
      <c r="AL713" s="43">
        <v>2.371</v>
      </c>
      <c r="AM713" s="43">
        <v>2.343</v>
      </c>
      <c r="AN713" s="43">
        <v>2.3149999999999999</v>
      </c>
      <c r="AO713" s="43">
        <v>2.2970000000000002</v>
      </c>
      <c r="AP713" s="43">
        <v>2.2509999999999999</v>
      </c>
      <c r="AQ713" s="43">
        <v>2.2490000000000001</v>
      </c>
      <c r="AR713" s="43">
        <v>2.246</v>
      </c>
      <c r="AS713" s="43">
        <v>2.2109999999999999</v>
      </c>
      <c r="AT713" s="43">
        <v>2.2010000000000001</v>
      </c>
      <c r="AU713" s="43">
        <v>2.1909999999999998</v>
      </c>
      <c r="AV713" s="43"/>
      <c r="AW713" s="43"/>
      <c r="AX713" s="43"/>
      <c r="AY713" s="43"/>
      <c r="AZ713" s="43">
        <v>2.5459999999999998</v>
      </c>
      <c r="BA713" s="43"/>
      <c r="BB713" s="43">
        <v>2.6269999999999998</v>
      </c>
      <c r="BC713" s="43">
        <v>2.5924</v>
      </c>
      <c r="BD713" s="43">
        <v>2.6758999999999999</v>
      </c>
      <c r="BE713" s="43">
        <v>2.7258</v>
      </c>
      <c r="BF713" s="43">
        <v>2.7747999999999999</v>
      </c>
      <c r="BG713" s="43">
        <v>2.7961999999999998</v>
      </c>
      <c r="BH713" s="43"/>
      <c r="BI713" s="43">
        <v>2.8736000000000002</v>
      </c>
      <c r="BJ713" s="43"/>
      <c r="BK713" s="43"/>
      <c r="BL713" s="43"/>
      <c r="BM713" s="43"/>
      <c r="BN713" s="43">
        <f t="shared" si="19"/>
        <v>2.8736000000000002</v>
      </c>
      <c r="BO713" s="43">
        <f t="shared" si="20"/>
        <v>2015</v>
      </c>
    </row>
    <row r="714" spans="2:67" x14ac:dyDescent="0.75">
      <c r="B714" s="43" t="s">
        <v>204</v>
      </c>
      <c r="C714" s="43" t="s">
        <v>92</v>
      </c>
      <c r="D714" s="43" t="s">
        <v>758</v>
      </c>
      <c r="E714" s="43" t="s">
        <v>757</v>
      </c>
      <c r="F714" s="43">
        <v>1.4E-2</v>
      </c>
      <c r="G714" s="43"/>
      <c r="H714" s="43"/>
      <c r="I714" s="43"/>
      <c r="J714" s="43"/>
      <c r="K714" s="43">
        <v>1.9E-2</v>
      </c>
      <c r="L714" s="43"/>
      <c r="M714" s="43"/>
      <c r="N714" s="43"/>
      <c r="O714" s="43"/>
      <c r="P714" s="43">
        <v>2.3E-2</v>
      </c>
      <c r="Q714" s="43"/>
      <c r="R714" s="43"/>
      <c r="S714" s="43"/>
      <c r="T714" s="43"/>
      <c r="U714" s="43">
        <v>2.3E-2</v>
      </c>
      <c r="V714" s="43"/>
      <c r="W714" s="43"/>
      <c r="X714" s="43"/>
      <c r="Y714" s="43"/>
      <c r="Z714" s="43">
        <v>3.9E-2</v>
      </c>
      <c r="AA714" s="43">
        <v>3.7999999999999999E-2</v>
      </c>
      <c r="AB714" s="43"/>
      <c r="AC714" s="43"/>
      <c r="AD714" s="43"/>
      <c r="AE714" s="43">
        <v>3.9E-2</v>
      </c>
      <c r="AF714" s="43"/>
      <c r="AG714" s="43">
        <v>4.2999999999999997E-2</v>
      </c>
      <c r="AH714" s="43">
        <v>5.3999999999999999E-2</v>
      </c>
      <c r="AI714" s="43"/>
      <c r="AJ714" s="43">
        <v>5.0999999999999997E-2</v>
      </c>
      <c r="AK714" s="43"/>
      <c r="AL714" s="43"/>
      <c r="AM714" s="43"/>
      <c r="AN714" s="43">
        <v>4.7E-2</v>
      </c>
      <c r="AO714" s="43">
        <v>4.2999999999999997E-2</v>
      </c>
      <c r="AP714" s="43">
        <v>6.3E-2</v>
      </c>
      <c r="AQ714" s="43"/>
      <c r="AR714" s="43"/>
      <c r="AS714" s="43"/>
      <c r="AT714" s="43">
        <v>4.3999999999999997E-2</v>
      </c>
      <c r="AU714" s="43"/>
      <c r="AV714" s="43"/>
      <c r="AW714" s="43"/>
      <c r="AX714" s="43">
        <v>8.5000000000000006E-2</v>
      </c>
      <c r="AY714" s="43"/>
      <c r="AZ714" s="43"/>
      <c r="BA714" s="43">
        <v>7.7499999999999999E-2</v>
      </c>
      <c r="BB714" s="43">
        <v>4.9000000000000002E-2</v>
      </c>
      <c r="BC714" s="43">
        <v>9.2200000000000004E-2</v>
      </c>
      <c r="BD714" s="43">
        <v>0.1019</v>
      </c>
      <c r="BE714" s="43">
        <v>0.10349999999999999</v>
      </c>
      <c r="BF714" s="43">
        <v>0.1069</v>
      </c>
      <c r="BG714" s="43"/>
      <c r="BH714" s="43"/>
      <c r="BI714" s="43"/>
      <c r="BJ714" s="43">
        <v>0.13930000000000001</v>
      </c>
      <c r="BK714" s="43"/>
      <c r="BL714" s="43"/>
      <c r="BM714" s="43"/>
      <c r="BN714" s="43">
        <f t="shared" si="19"/>
        <v>0.13930000000000001</v>
      </c>
      <c r="BO714" s="43">
        <f t="shared" si="20"/>
        <v>2016</v>
      </c>
    </row>
    <row r="715" spans="2:67" x14ac:dyDescent="0.75">
      <c r="B715" s="43" t="s">
        <v>461</v>
      </c>
      <c r="C715" s="43" t="s">
        <v>93</v>
      </c>
      <c r="D715" s="43" t="s">
        <v>758</v>
      </c>
      <c r="E715" s="43" t="s">
        <v>757</v>
      </c>
      <c r="F715" s="43">
        <v>0.89100000000000001</v>
      </c>
      <c r="G715" s="43"/>
      <c r="H715" s="43"/>
      <c r="I715" s="43"/>
      <c r="J715" s="43"/>
      <c r="K715" s="43"/>
      <c r="L715" s="43"/>
      <c r="M715" s="43"/>
      <c r="N715" s="43"/>
      <c r="O715" s="43"/>
      <c r="P715" s="43">
        <v>1.0720000000000001</v>
      </c>
      <c r="Q715" s="43">
        <v>1.026</v>
      </c>
      <c r="R715" s="43"/>
      <c r="S715" s="43"/>
      <c r="T715" s="43"/>
      <c r="U715" s="43">
        <v>1.276</v>
      </c>
      <c r="V715" s="43"/>
      <c r="W715" s="43"/>
      <c r="X715" s="43"/>
      <c r="Y715" s="43"/>
      <c r="Z715" s="43"/>
      <c r="AA715" s="43">
        <v>1.1719999999999999</v>
      </c>
      <c r="AB715" s="43">
        <v>1.266</v>
      </c>
      <c r="AC715" s="43"/>
      <c r="AD715" s="43">
        <v>1.38</v>
      </c>
      <c r="AE715" s="43"/>
      <c r="AF715" s="43"/>
      <c r="AG715" s="43">
        <v>2.032</v>
      </c>
      <c r="AH715" s="43">
        <v>2.0150000000000001</v>
      </c>
      <c r="AI715" s="43">
        <v>1.9730000000000001</v>
      </c>
      <c r="AJ715" s="43">
        <v>2.2589999999999999</v>
      </c>
      <c r="AK715" s="43">
        <v>2.4460000000000002</v>
      </c>
      <c r="AL715" s="43">
        <v>2.4220000000000002</v>
      </c>
      <c r="AM715" s="43">
        <v>2.4529999999999998</v>
      </c>
      <c r="AN715" s="43"/>
      <c r="AO715" s="43"/>
      <c r="AP715" s="43"/>
      <c r="AQ715" s="43">
        <v>2.4649999999999999</v>
      </c>
      <c r="AR715" s="43">
        <v>2.6070000000000002</v>
      </c>
      <c r="AS715" s="43">
        <v>2.5910000000000002</v>
      </c>
      <c r="AT715" s="43">
        <v>2.6539999999999999</v>
      </c>
      <c r="AU715" s="43">
        <v>2.9260000000000002</v>
      </c>
      <c r="AV715" s="43"/>
      <c r="AW715" s="43">
        <v>3.1829999999999998</v>
      </c>
      <c r="AX715" s="43"/>
      <c r="AY715" s="43"/>
      <c r="AZ715" s="43">
        <v>3.88</v>
      </c>
      <c r="BA715" s="43">
        <v>3.351</v>
      </c>
      <c r="BB715" s="43"/>
      <c r="BC715" s="43">
        <v>3.073</v>
      </c>
      <c r="BD715" s="43">
        <v>3.0737999999999999</v>
      </c>
      <c r="BE715" s="43">
        <v>3.1524999999999999</v>
      </c>
      <c r="BF715" s="43">
        <v>3.2818000000000001</v>
      </c>
      <c r="BG715" s="43">
        <v>3.4641000000000002</v>
      </c>
      <c r="BH715" s="43">
        <v>3.6795</v>
      </c>
      <c r="BI715" s="43">
        <v>3.8260000000000001</v>
      </c>
      <c r="BJ715" s="43"/>
      <c r="BK715" s="43"/>
      <c r="BL715" s="43"/>
      <c r="BM715" s="43"/>
      <c r="BN715" s="43">
        <f t="shared" si="19"/>
        <v>3.8260000000000001</v>
      </c>
      <c r="BO715" s="43">
        <f t="shared" si="20"/>
        <v>2015</v>
      </c>
    </row>
    <row r="716" spans="2:67" x14ac:dyDescent="0.75">
      <c r="B716" s="43" t="s">
        <v>244</v>
      </c>
      <c r="C716" s="43" t="s">
        <v>94</v>
      </c>
      <c r="D716" s="43" t="s">
        <v>758</v>
      </c>
      <c r="E716" s="43" t="s">
        <v>757</v>
      </c>
      <c r="F716" s="43">
        <v>6.5000000000000002E-2</v>
      </c>
      <c r="G716" s="43"/>
      <c r="H716" s="43"/>
      <c r="I716" s="43"/>
      <c r="J716" s="43"/>
      <c r="K716" s="43">
        <v>8.5000000000000006E-2</v>
      </c>
      <c r="L716" s="43"/>
      <c r="M716" s="43"/>
      <c r="N716" s="43"/>
      <c r="O716" s="43"/>
      <c r="P716" s="43">
        <v>0.114</v>
      </c>
      <c r="Q716" s="43"/>
      <c r="R716" s="43"/>
      <c r="S716" s="43"/>
      <c r="T716" s="43"/>
      <c r="U716" s="43"/>
      <c r="V716" s="43"/>
      <c r="W716" s="43"/>
      <c r="X716" s="43"/>
      <c r="Y716" s="43"/>
      <c r="Z716" s="43"/>
      <c r="AA716" s="43">
        <v>0.20300000000000001</v>
      </c>
      <c r="AB716" s="43"/>
      <c r="AC716" s="43"/>
      <c r="AD716" s="43"/>
      <c r="AE716" s="43">
        <v>0.27</v>
      </c>
      <c r="AF716" s="43"/>
      <c r="AG716" s="43"/>
      <c r="AH716" s="43"/>
      <c r="AI716" s="43">
        <v>8.1000000000000003E-2</v>
      </c>
      <c r="AJ716" s="43">
        <v>7.8E-2</v>
      </c>
      <c r="AK716" s="43"/>
      <c r="AL716" s="43"/>
      <c r="AM716" s="43"/>
      <c r="AN716" s="43"/>
      <c r="AO716" s="43">
        <v>0.29299999999999998</v>
      </c>
      <c r="AP716" s="43"/>
      <c r="AQ716" s="43"/>
      <c r="AR716" s="43"/>
      <c r="AS716" s="43">
        <v>0.29699999999999999</v>
      </c>
      <c r="AT716" s="43">
        <v>0.30199999999999999</v>
      </c>
      <c r="AU716" s="43"/>
      <c r="AV716" s="43"/>
      <c r="AW716" s="43"/>
      <c r="AX716" s="43">
        <v>0.37009999999999998</v>
      </c>
      <c r="AY716" s="43">
        <v>0.38329999999999997</v>
      </c>
      <c r="AZ716" s="43">
        <v>0.41970000000000002</v>
      </c>
      <c r="BA716" s="43">
        <v>0.44330000000000003</v>
      </c>
      <c r="BB716" s="43">
        <v>0.47920000000000001</v>
      </c>
      <c r="BC716" s="43">
        <v>0.49270000000000003</v>
      </c>
      <c r="BD716" s="43">
        <v>0.52710000000000001</v>
      </c>
      <c r="BE716" s="43">
        <v>0.5554</v>
      </c>
      <c r="BF716" s="43">
        <v>0.58509999999999995</v>
      </c>
      <c r="BG716" s="43"/>
      <c r="BH716" s="43"/>
      <c r="BI716" s="43"/>
      <c r="BJ716" s="43">
        <v>0.62139999999999995</v>
      </c>
      <c r="BK716" s="43">
        <v>0.86399999999999999</v>
      </c>
      <c r="BL716" s="43"/>
      <c r="BM716" s="43"/>
      <c r="BN716" s="43">
        <f t="shared" si="19"/>
        <v>0.86399999999999999</v>
      </c>
      <c r="BO716" s="43">
        <f t="shared" si="20"/>
        <v>2017</v>
      </c>
    </row>
    <row r="717" spans="2:67" x14ac:dyDescent="0.75">
      <c r="B717" s="43" t="s">
        <v>468</v>
      </c>
      <c r="C717" s="43" t="s">
        <v>469</v>
      </c>
      <c r="D717" s="43" t="s">
        <v>758</v>
      </c>
      <c r="E717" s="43" t="s">
        <v>757</v>
      </c>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v>0.57490006051476839</v>
      </c>
      <c r="AK717" s="43"/>
      <c r="AL717" s="43"/>
      <c r="AM717" s="43"/>
      <c r="AN717" s="43"/>
      <c r="AO717" s="43"/>
      <c r="AP717" s="43"/>
      <c r="AQ717" s="43"/>
      <c r="AR717" s="43"/>
      <c r="AS717" s="43"/>
      <c r="AT717" s="43">
        <v>1.2214687489627283</v>
      </c>
      <c r="AU717" s="43"/>
      <c r="AV717" s="43"/>
      <c r="AW717" s="43"/>
      <c r="AX717" s="43"/>
      <c r="AY717" s="43"/>
      <c r="AZ717" s="43"/>
      <c r="BA717" s="43"/>
      <c r="BB717" s="43"/>
      <c r="BC717" s="43"/>
      <c r="BD717" s="43"/>
      <c r="BE717" s="43"/>
      <c r="BF717" s="43"/>
      <c r="BG717" s="43"/>
      <c r="BH717" s="43"/>
      <c r="BI717" s="43">
        <v>1.0694376664304048</v>
      </c>
      <c r="BJ717" s="43"/>
      <c r="BK717" s="43"/>
      <c r="BL717" s="43"/>
      <c r="BM717" s="43"/>
      <c r="BN717" s="43">
        <f t="shared" si="19"/>
        <v>1.0694376664304048</v>
      </c>
      <c r="BO717" s="43">
        <f t="shared" si="20"/>
        <v>2015</v>
      </c>
    </row>
    <row r="718" spans="2:67" x14ac:dyDescent="0.75">
      <c r="B718" s="43" t="s">
        <v>476</v>
      </c>
      <c r="C718" s="43" t="s">
        <v>95</v>
      </c>
      <c r="D718" s="43" t="s">
        <v>758</v>
      </c>
      <c r="E718" s="43" t="s">
        <v>757</v>
      </c>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v>2.0299999999999998</v>
      </c>
      <c r="BA718" s="43">
        <v>1.986</v>
      </c>
      <c r="BB718" s="43"/>
      <c r="BC718" s="43">
        <v>2.0870000000000002</v>
      </c>
      <c r="BD718" s="43">
        <v>2.0310999999999999</v>
      </c>
      <c r="BE718" s="43">
        <v>2</v>
      </c>
      <c r="BF718" s="43">
        <v>2.0226999999999999</v>
      </c>
      <c r="BG718" s="43">
        <v>2.1335999999999999</v>
      </c>
      <c r="BH718" s="43">
        <v>2.1793999999999998</v>
      </c>
      <c r="BI718" s="43">
        <v>2.3336999999999999</v>
      </c>
      <c r="BJ718" s="43"/>
      <c r="BK718" s="43"/>
      <c r="BL718" s="43"/>
      <c r="BM718" s="43"/>
      <c r="BN718" s="43">
        <f t="shared" si="19"/>
        <v>2.3336999999999999</v>
      </c>
      <c r="BO718" s="43">
        <f t="shared" si="20"/>
        <v>2015</v>
      </c>
    </row>
    <row r="719" spans="2:67" x14ac:dyDescent="0.75">
      <c r="B719" s="43" t="s">
        <v>250</v>
      </c>
      <c r="C719" s="43" t="s">
        <v>96</v>
      </c>
      <c r="D719" s="43" t="s">
        <v>758</v>
      </c>
      <c r="E719" s="43" t="s">
        <v>757</v>
      </c>
      <c r="F719" s="43">
        <v>0.91</v>
      </c>
      <c r="G719" s="43"/>
      <c r="H719" s="43"/>
      <c r="I719" s="43"/>
      <c r="J719" s="43"/>
      <c r="K719" s="43">
        <v>1.3779999999999999</v>
      </c>
      <c r="L719" s="43"/>
      <c r="M719" s="43"/>
      <c r="N719" s="43"/>
      <c r="O719" s="43"/>
      <c r="P719" s="43">
        <v>1.7290000000000001</v>
      </c>
      <c r="Q719" s="43"/>
      <c r="R719" s="43"/>
      <c r="S719" s="43"/>
      <c r="T719" s="43"/>
      <c r="U719" s="43"/>
      <c r="V719" s="43"/>
      <c r="W719" s="43"/>
      <c r="X719" s="43"/>
      <c r="Y719" s="43"/>
      <c r="Z719" s="43"/>
      <c r="AA719" s="43"/>
      <c r="AB719" s="43"/>
      <c r="AC719" s="43"/>
      <c r="AD719" s="43"/>
      <c r="AE719" s="43"/>
      <c r="AF719" s="43"/>
      <c r="AG719" s="43"/>
      <c r="AH719" s="43"/>
      <c r="AI719" s="43"/>
      <c r="AJ719" s="43">
        <v>2.5379999999999998</v>
      </c>
      <c r="AK719" s="43">
        <v>2.6949999999999998</v>
      </c>
      <c r="AL719" s="43">
        <v>2.6179999999999999</v>
      </c>
      <c r="AM719" s="43"/>
      <c r="AN719" s="43"/>
      <c r="AO719" s="43"/>
      <c r="AP719" s="43"/>
      <c r="AQ719" s="43"/>
      <c r="AR719" s="43">
        <v>2.4329999999999998</v>
      </c>
      <c r="AS719" s="43">
        <v>2.54</v>
      </c>
      <c r="AT719" s="43"/>
      <c r="AU719" s="43"/>
      <c r="AV719" s="43">
        <v>2.7547999999999999</v>
      </c>
      <c r="AW719" s="43"/>
      <c r="AX719" s="43"/>
      <c r="AY719" s="43"/>
      <c r="AZ719" s="43"/>
      <c r="BA719" s="43"/>
      <c r="BB719" s="43">
        <v>2.8856999999999999</v>
      </c>
      <c r="BC719" s="43">
        <v>2.6758999999999999</v>
      </c>
      <c r="BD719" s="43">
        <v>2.7637</v>
      </c>
      <c r="BE719" s="43">
        <v>2.8763000000000001</v>
      </c>
      <c r="BF719" s="43">
        <v>3.0548999999999999</v>
      </c>
      <c r="BG719" s="43">
        <v>3.1059000000000001</v>
      </c>
      <c r="BH719" s="43">
        <v>3.1806999999999999</v>
      </c>
      <c r="BI719" s="43">
        <v>3.2425999999999999</v>
      </c>
      <c r="BJ719" s="43">
        <v>2.8866000000000001</v>
      </c>
      <c r="BK719" s="43"/>
      <c r="BL719" s="43"/>
      <c r="BM719" s="43"/>
      <c r="BN719" s="43">
        <f t="shared" si="19"/>
        <v>2.8866000000000001</v>
      </c>
      <c r="BO719" s="43">
        <f t="shared" si="20"/>
        <v>2016</v>
      </c>
    </row>
    <row r="720" spans="2:67" x14ac:dyDescent="0.75">
      <c r="B720" s="43" t="s">
        <v>486</v>
      </c>
      <c r="C720" s="43" t="s">
        <v>487</v>
      </c>
      <c r="D720" s="43" t="s">
        <v>758</v>
      </c>
      <c r="E720" s="43" t="s">
        <v>757</v>
      </c>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v>0.44500000000000001</v>
      </c>
      <c r="AT720" s="43"/>
      <c r="AU720" s="43"/>
      <c r="AV720" s="43"/>
      <c r="AW720" s="43"/>
      <c r="AX720" s="43"/>
      <c r="AY720" s="43"/>
      <c r="AZ720" s="43"/>
      <c r="BA720" s="43"/>
      <c r="BB720" s="43"/>
      <c r="BC720" s="43"/>
      <c r="BD720" s="43"/>
      <c r="BE720" s="43"/>
      <c r="BF720" s="43"/>
      <c r="BG720" s="43"/>
      <c r="BH720" s="43"/>
      <c r="BI720" s="43"/>
      <c r="BJ720" s="43"/>
      <c r="BK720" s="43"/>
      <c r="BL720" s="43"/>
      <c r="BM720" s="43"/>
      <c r="BN720" s="43">
        <f t="shared" si="19"/>
        <v>0.44500000000000001</v>
      </c>
      <c r="BO720" s="43">
        <f t="shared" si="20"/>
        <v>1999</v>
      </c>
    </row>
    <row r="721" spans="2:67" x14ac:dyDescent="0.75">
      <c r="B721" s="43" t="s">
        <v>207</v>
      </c>
      <c r="C721" s="43" t="s">
        <v>97</v>
      </c>
      <c r="D721" s="43" t="s">
        <v>758</v>
      </c>
      <c r="E721" s="43" t="s">
        <v>757</v>
      </c>
      <c r="F721" s="43">
        <v>4.2999999999999997E-2</v>
      </c>
      <c r="G721" s="43"/>
      <c r="H721" s="43"/>
      <c r="I721" s="43"/>
      <c r="J721" s="43"/>
      <c r="K721" s="43">
        <v>5.6000000000000001E-2</v>
      </c>
      <c r="L721" s="43"/>
      <c r="M721" s="43"/>
      <c r="N721" s="43"/>
      <c r="O721" s="43"/>
      <c r="P721" s="43">
        <v>5.2999999999999999E-2</v>
      </c>
      <c r="Q721" s="43"/>
      <c r="R721" s="43"/>
      <c r="S721" s="43"/>
      <c r="T721" s="43"/>
      <c r="U721" s="43"/>
      <c r="V721" s="43"/>
      <c r="W721" s="43"/>
      <c r="X721" s="43"/>
      <c r="Y721" s="43"/>
      <c r="Z721" s="43">
        <v>2.5000000000000001E-2</v>
      </c>
      <c r="AA721" s="43">
        <v>2.7E-2</v>
      </c>
      <c r="AB721" s="43">
        <v>2.5999999999999999E-2</v>
      </c>
      <c r="AC721" s="43"/>
      <c r="AD721" s="43"/>
      <c r="AE721" s="43">
        <v>2.1000000000000001E-2</v>
      </c>
      <c r="AF721" s="43"/>
      <c r="AG721" s="43"/>
      <c r="AH721" s="43"/>
      <c r="AI721" s="43">
        <v>2.8000000000000001E-2</v>
      </c>
      <c r="AJ721" s="43">
        <v>1.2E-2</v>
      </c>
      <c r="AK721" s="43"/>
      <c r="AL721" s="43"/>
      <c r="AM721" s="43"/>
      <c r="AN721" s="43"/>
      <c r="AO721" s="43"/>
      <c r="AP721" s="43"/>
      <c r="AQ721" s="43"/>
      <c r="AR721" s="43"/>
      <c r="AS721" s="43"/>
      <c r="AT721" s="43">
        <v>2.4E-2</v>
      </c>
      <c r="AU721" s="43"/>
      <c r="AV721" s="43"/>
      <c r="AW721" s="43"/>
      <c r="AX721" s="43">
        <v>2.53E-2</v>
      </c>
      <c r="AY721" s="43"/>
      <c r="AZ721" s="43">
        <v>2.5399999999999999E-2</v>
      </c>
      <c r="BA721" s="43"/>
      <c r="BB721" s="43">
        <v>2.5999999999999999E-2</v>
      </c>
      <c r="BC721" s="43">
        <v>4.4299999999999999E-2</v>
      </c>
      <c r="BD721" s="43">
        <v>4.7300000000000002E-2</v>
      </c>
      <c r="BE721" s="43">
        <v>5.0799999999999998E-2</v>
      </c>
      <c r="BF721" s="43">
        <v>5.2900000000000003E-2</v>
      </c>
      <c r="BG721" s="43">
        <v>5.4899999999999997E-2</v>
      </c>
      <c r="BH721" s="43"/>
      <c r="BI721" s="43"/>
      <c r="BJ721" s="43"/>
      <c r="BK721" s="43">
        <v>7.3499999999999996E-2</v>
      </c>
      <c r="BL721" s="43"/>
      <c r="BM721" s="43"/>
      <c r="BN721" s="43">
        <f t="shared" si="19"/>
        <v>7.3499999999999996E-2</v>
      </c>
      <c r="BO721" s="43">
        <f t="shared" si="20"/>
        <v>2017</v>
      </c>
    </row>
    <row r="722" spans="2:67" x14ac:dyDescent="0.75">
      <c r="B722" s="43" t="s">
        <v>205</v>
      </c>
      <c r="C722" s="43" t="s">
        <v>98</v>
      </c>
      <c r="D722" s="43" t="s">
        <v>758</v>
      </c>
      <c r="E722" s="43" t="s">
        <v>757</v>
      </c>
      <c r="F722" s="43">
        <v>2.4E-2</v>
      </c>
      <c r="G722" s="43"/>
      <c r="H722" s="43"/>
      <c r="I722" s="43"/>
      <c r="J722" s="43"/>
      <c r="K722" s="43">
        <v>2.7E-2</v>
      </c>
      <c r="L722" s="43"/>
      <c r="M722" s="43"/>
      <c r="N722" s="43"/>
      <c r="O722" s="43"/>
      <c r="P722" s="43">
        <v>5.6000000000000001E-2</v>
      </c>
      <c r="Q722" s="43"/>
      <c r="R722" s="43"/>
      <c r="S722" s="43"/>
      <c r="T722" s="43"/>
      <c r="U722" s="43">
        <v>5.5E-2</v>
      </c>
      <c r="V722" s="43"/>
      <c r="W722" s="43">
        <v>6.9000000000000006E-2</v>
      </c>
      <c r="X722" s="43"/>
      <c r="Y722" s="43"/>
      <c r="Z722" s="43"/>
      <c r="AA722" s="43"/>
      <c r="AB722" s="43"/>
      <c r="AC722" s="43"/>
      <c r="AD722" s="43">
        <v>8.3000000000000004E-2</v>
      </c>
      <c r="AE722" s="43">
        <v>0.113</v>
      </c>
      <c r="AF722" s="43"/>
      <c r="AG722" s="43"/>
      <c r="AH722" s="43"/>
      <c r="AI722" s="43"/>
      <c r="AJ722" s="43">
        <v>6.3E-2</v>
      </c>
      <c r="AK722" s="43"/>
      <c r="AL722" s="43"/>
      <c r="AM722" s="43">
        <v>6.3E-2</v>
      </c>
      <c r="AN722" s="43"/>
      <c r="AO722" s="43">
        <v>0.13800000000000001</v>
      </c>
      <c r="AP722" s="43"/>
      <c r="AQ722" s="43"/>
      <c r="AR722" s="43"/>
      <c r="AS722" s="43"/>
      <c r="AT722" s="43"/>
      <c r="AU722" s="43"/>
      <c r="AV722" s="43"/>
      <c r="AW722" s="43"/>
      <c r="AX722" s="43">
        <v>0.10290000000000001</v>
      </c>
      <c r="AY722" s="43"/>
      <c r="AZ722" s="43"/>
      <c r="BA722" s="43"/>
      <c r="BB722" s="43"/>
      <c r="BC722" s="43">
        <v>0.12690000000000001</v>
      </c>
      <c r="BD722" s="43">
        <v>0.1515</v>
      </c>
      <c r="BE722" s="43"/>
      <c r="BF722" s="43"/>
      <c r="BG722" s="43">
        <v>6.8000000000000005E-2</v>
      </c>
      <c r="BH722" s="43">
        <v>0.15310000000000001</v>
      </c>
      <c r="BI722" s="43">
        <v>0.16550000000000001</v>
      </c>
      <c r="BJ722" s="43"/>
      <c r="BK722" s="43">
        <v>0.17899999999999999</v>
      </c>
      <c r="BL722" s="43"/>
      <c r="BM722" s="43"/>
      <c r="BN722" s="43">
        <f t="shared" si="19"/>
        <v>0.17899999999999999</v>
      </c>
      <c r="BO722" s="43">
        <f t="shared" si="20"/>
        <v>2017</v>
      </c>
    </row>
    <row r="723" spans="2:67" x14ac:dyDescent="0.75">
      <c r="B723" s="43" t="s">
        <v>206</v>
      </c>
      <c r="C723" s="43" t="s">
        <v>99</v>
      </c>
      <c r="D723" s="43" t="s">
        <v>758</v>
      </c>
      <c r="E723" s="43" t="s">
        <v>757</v>
      </c>
      <c r="F723" s="43">
        <v>0.215</v>
      </c>
      <c r="G723" s="43"/>
      <c r="H723" s="43"/>
      <c r="I723" s="43"/>
      <c r="J723" s="43"/>
      <c r="K723" s="43">
        <v>0.255</v>
      </c>
      <c r="L723" s="43"/>
      <c r="M723" s="43"/>
      <c r="N723" s="43"/>
      <c r="O723" s="43"/>
      <c r="P723" s="43">
        <v>0.24</v>
      </c>
      <c r="Q723" s="43"/>
      <c r="R723" s="43"/>
      <c r="S723" s="43"/>
      <c r="T723" s="43"/>
      <c r="U723" s="43">
        <v>0.23499999999999999</v>
      </c>
      <c r="V723" s="43"/>
      <c r="W723" s="43"/>
      <c r="X723" s="43"/>
      <c r="Y723" s="43"/>
      <c r="Z723" s="43">
        <v>0.52100000000000002</v>
      </c>
      <c r="AA723" s="43">
        <v>0.55200000000000005</v>
      </c>
      <c r="AB723" s="43"/>
      <c r="AC723" s="43"/>
      <c r="AD723" s="43"/>
      <c r="AE723" s="43">
        <v>0.52900000000000003</v>
      </c>
      <c r="AF723" s="43"/>
      <c r="AG723" s="43"/>
      <c r="AH723" s="43"/>
      <c r="AI723" s="43">
        <v>0.85799999999999998</v>
      </c>
      <c r="AJ723" s="43">
        <v>0.81100000000000005</v>
      </c>
      <c r="AK723" s="43">
        <v>0.83499999999999996</v>
      </c>
      <c r="AL723" s="43">
        <v>0.84699999999999998</v>
      </c>
      <c r="AM723" s="43">
        <v>0.84399999999999997</v>
      </c>
      <c r="AN723" s="43">
        <v>0.84499999999999997</v>
      </c>
      <c r="AO723" s="43">
        <v>0.85</v>
      </c>
      <c r="AP723" s="43"/>
      <c r="AQ723" s="43"/>
      <c r="AR723" s="43"/>
      <c r="AS723" s="43"/>
      <c r="AT723" s="43"/>
      <c r="AU723" s="43"/>
      <c r="AV723" s="43"/>
      <c r="AW723" s="43"/>
      <c r="AX723" s="43">
        <v>1.0718000000000001</v>
      </c>
      <c r="AY723" s="43"/>
      <c r="AZ723" s="43"/>
      <c r="BA723" s="43">
        <v>1.1549</v>
      </c>
      <c r="BB723" s="43">
        <v>1.17</v>
      </c>
      <c r="BC723" s="43">
        <v>1.1857</v>
      </c>
      <c r="BD723" s="43">
        <v>1.2019</v>
      </c>
      <c r="BE723" s="43">
        <v>1.4468000000000001</v>
      </c>
      <c r="BF723" s="43">
        <v>1.3738999999999999</v>
      </c>
      <c r="BG723" s="43">
        <v>1.6298999999999999</v>
      </c>
      <c r="BH723" s="43">
        <v>1.9320999999999999</v>
      </c>
      <c r="BI723" s="43">
        <v>2.0246</v>
      </c>
      <c r="BJ723" s="43"/>
      <c r="BK723" s="43"/>
      <c r="BL723" s="43"/>
      <c r="BM723" s="43"/>
      <c r="BN723" s="43">
        <f t="shared" si="19"/>
        <v>2.0246</v>
      </c>
      <c r="BO723" s="43">
        <f t="shared" si="20"/>
        <v>2015</v>
      </c>
    </row>
    <row r="724" spans="2:67" x14ac:dyDescent="0.75">
      <c r="B724" s="43" t="s">
        <v>203</v>
      </c>
      <c r="C724" s="43" t="s">
        <v>100</v>
      </c>
      <c r="D724" s="43" t="s">
        <v>758</v>
      </c>
      <c r="E724" s="43" t="s">
        <v>757</v>
      </c>
      <c r="F724" s="43">
        <v>2.7E-2</v>
      </c>
      <c r="G724" s="43"/>
      <c r="H724" s="43"/>
      <c r="I724" s="43"/>
      <c r="J724" s="43"/>
      <c r="K724" s="43">
        <v>2.1000000000000001E-2</v>
      </c>
      <c r="L724" s="43"/>
      <c r="M724" s="43"/>
      <c r="N724" s="43"/>
      <c r="O724" s="43"/>
      <c r="P724" s="43">
        <v>1.2999999999999999E-2</v>
      </c>
      <c r="Q724" s="43"/>
      <c r="R724" s="43"/>
      <c r="S724" s="43"/>
      <c r="T724" s="43"/>
      <c r="U724" s="43"/>
      <c r="V724" s="43"/>
      <c r="W724" s="43"/>
      <c r="X724" s="43"/>
      <c r="Y724" s="43"/>
      <c r="Z724" s="43"/>
      <c r="AA724" s="43">
        <v>1.9E-2</v>
      </c>
      <c r="AB724" s="43"/>
      <c r="AC724" s="43"/>
      <c r="AD724" s="43">
        <v>8.6999999999999994E-2</v>
      </c>
      <c r="AE724" s="43"/>
      <c r="AF724" s="43"/>
      <c r="AG724" s="43"/>
      <c r="AH724" s="43"/>
      <c r="AI724" s="43">
        <v>2.3E-2</v>
      </c>
      <c r="AJ724" s="43">
        <v>2.1999999999999999E-2</v>
      </c>
      <c r="AK724" s="43"/>
      <c r="AL724" s="43"/>
      <c r="AM724" s="43">
        <v>2.8000000000000001E-2</v>
      </c>
      <c r="AN724" s="43"/>
      <c r="AO724" s="43"/>
      <c r="AP724" s="43"/>
      <c r="AQ724" s="43"/>
      <c r="AR724" s="43"/>
      <c r="AS724" s="43"/>
      <c r="AT724" s="43"/>
      <c r="AU724" s="43"/>
      <c r="AV724" s="43"/>
      <c r="AW724" s="43">
        <v>1.0999999999999999E-2</v>
      </c>
      <c r="AX724" s="43">
        <v>2.1000000000000001E-2</v>
      </c>
      <c r="AY724" s="43"/>
      <c r="AZ724" s="43"/>
      <c r="BA724" s="43"/>
      <c r="BB724" s="43">
        <v>1.7999999999999999E-2</v>
      </c>
      <c r="BC724" s="43">
        <v>1.7999999999999999E-2</v>
      </c>
      <c r="BD724" s="43">
        <v>1.9E-2</v>
      </c>
      <c r="BE724" s="43"/>
      <c r="BF724" s="43"/>
      <c r="BG724" s="43"/>
      <c r="BH724" s="43"/>
      <c r="BI724" s="43"/>
      <c r="BJ724" s="43">
        <v>1.5699999999999999E-2</v>
      </c>
      <c r="BK724" s="43"/>
      <c r="BL724" s="43"/>
      <c r="BM724" s="43"/>
      <c r="BN724" s="43">
        <f t="shared" si="19"/>
        <v>1.5699999999999999E-2</v>
      </c>
      <c r="BO724" s="43">
        <f t="shared" si="20"/>
        <v>2016</v>
      </c>
    </row>
    <row r="725" spans="2:67" x14ac:dyDescent="0.75">
      <c r="B725" s="43" t="s">
        <v>460</v>
      </c>
      <c r="C725" s="43" t="s">
        <v>101</v>
      </c>
      <c r="D725" s="43" t="s">
        <v>758</v>
      </c>
      <c r="E725" s="43" t="s">
        <v>757</v>
      </c>
      <c r="F725" s="43">
        <v>0.14299999999999999</v>
      </c>
      <c r="G725" s="43"/>
      <c r="H725" s="43"/>
      <c r="I725" s="43"/>
      <c r="J725" s="43"/>
      <c r="K725" s="43">
        <v>0.161</v>
      </c>
      <c r="L725" s="43"/>
      <c r="M725" s="43"/>
      <c r="N725" s="43"/>
      <c r="O725" s="43"/>
      <c r="P725" s="43">
        <v>0.23200000000000001</v>
      </c>
      <c r="Q725" s="43"/>
      <c r="R725" s="43"/>
      <c r="S725" s="43"/>
      <c r="T725" s="43"/>
      <c r="U725" s="43">
        <v>0.23400000000000001</v>
      </c>
      <c r="V725" s="43"/>
      <c r="W725" s="43"/>
      <c r="X725" s="43"/>
      <c r="Y725" s="43"/>
      <c r="Z725" s="43">
        <v>0.255</v>
      </c>
      <c r="AA725" s="43">
        <v>0.255</v>
      </c>
      <c r="AB725" s="43"/>
      <c r="AC725" s="43"/>
      <c r="AD725" s="43"/>
      <c r="AE725" s="43">
        <v>0.315</v>
      </c>
      <c r="AF725" s="43">
        <v>0.33500000000000002</v>
      </c>
      <c r="AG725" s="43">
        <v>0.34799999999999998</v>
      </c>
      <c r="AH725" s="43">
        <v>0.36699999999999999</v>
      </c>
      <c r="AI725" s="43">
        <v>0.374</v>
      </c>
      <c r="AJ725" s="43">
        <v>0.39200000000000002</v>
      </c>
      <c r="AK725" s="43">
        <v>0.39300000000000002</v>
      </c>
      <c r="AL725" s="43">
        <v>0.41099999999999998</v>
      </c>
      <c r="AM725" s="43">
        <v>0.43099999999999999</v>
      </c>
      <c r="AN725" s="43">
        <v>0.44900000000000001</v>
      </c>
      <c r="AO725" s="43">
        <v>0.47799999999999998</v>
      </c>
      <c r="AP725" s="43">
        <v>0.496</v>
      </c>
      <c r="AQ725" s="43">
        <v>0.65800000000000003</v>
      </c>
      <c r="AR725" s="43"/>
      <c r="AS725" s="43">
        <v>0.68300000000000005</v>
      </c>
      <c r="AT725" s="43">
        <v>0.69640000000000002</v>
      </c>
      <c r="AU725" s="43"/>
      <c r="AV725" s="43">
        <v>0.70330000000000004</v>
      </c>
      <c r="AW725" s="43"/>
      <c r="AX725" s="43"/>
      <c r="AY725" s="43"/>
      <c r="AZ725" s="43"/>
      <c r="BA725" s="43"/>
      <c r="BB725" s="43">
        <v>0.92589999999999995</v>
      </c>
      <c r="BC725" s="43"/>
      <c r="BD725" s="43">
        <v>1.1731</v>
      </c>
      <c r="BE725" s="43">
        <v>1.2784</v>
      </c>
      <c r="BF725" s="43">
        <v>1.3272999999999999</v>
      </c>
      <c r="BG725" s="43"/>
      <c r="BH725" s="43"/>
      <c r="BI725" s="43">
        <v>1.5132000000000001</v>
      </c>
      <c r="BJ725" s="43"/>
      <c r="BK725" s="43"/>
      <c r="BL725" s="43"/>
      <c r="BM725" s="43"/>
      <c r="BN725" s="43">
        <f t="shared" si="19"/>
        <v>1.5132000000000001</v>
      </c>
      <c r="BO725" s="43">
        <f t="shared" si="20"/>
        <v>2015</v>
      </c>
    </row>
    <row r="726" spans="2:67" x14ac:dyDescent="0.75">
      <c r="B726" s="43" t="s">
        <v>482</v>
      </c>
      <c r="C726" s="43" t="s">
        <v>483</v>
      </c>
      <c r="D726" s="43" t="s">
        <v>758</v>
      </c>
      <c r="E726" s="43" t="s">
        <v>757</v>
      </c>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v>1.8299564294121926</v>
      </c>
      <c r="AK726" s="43"/>
      <c r="AL726" s="43"/>
      <c r="AM726" s="43"/>
      <c r="AN726" s="43"/>
      <c r="AO726" s="43"/>
      <c r="AP726" s="43"/>
      <c r="AQ726" s="43"/>
      <c r="AR726" s="43"/>
      <c r="AS726" s="43"/>
      <c r="AT726" s="43">
        <v>2.5225892637530483</v>
      </c>
      <c r="AU726" s="43"/>
      <c r="AV726" s="43"/>
      <c r="AW726" s="43"/>
      <c r="AX726" s="43"/>
      <c r="AY726" s="43"/>
      <c r="AZ726" s="43"/>
      <c r="BA726" s="43"/>
      <c r="BB726" s="43"/>
      <c r="BC726" s="43"/>
      <c r="BD726" s="43"/>
      <c r="BE726" s="43"/>
      <c r="BF726" s="43"/>
      <c r="BG726" s="43"/>
      <c r="BH726" s="43"/>
      <c r="BI726" s="43">
        <v>2.5963425209695612</v>
      </c>
      <c r="BJ726" s="43"/>
      <c r="BK726" s="43"/>
      <c r="BL726" s="43"/>
      <c r="BM726" s="43"/>
      <c r="BN726" s="43">
        <f t="shared" si="19"/>
        <v>2.5963425209695612</v>
      </c>
      <c r="BO726" s="43">
        <f t="shared" si="20"/>
        <v>2015</v>
      </c>
    </row>
    <row r="727" spans="2:67" x14ac:dyDescent="0.75">
      <c r="B727" s="43" t="s">
        <v>208</v>
      </c>
      <c r="C727" s="43" t="s">
        <v>102</v>
      </c>
      <c r="D727" s="43" t="s">
        <v>758</v>
      </c>
      <c r="E727" s="43" t="s">
        <v>757</v>
      </c>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v>0.23100000000000001</v>
      </c>
      <c r="AL727" s="43">
        <v>0.23200000000000001</v>
      </c>
      <c r="AM727" s="43"/>
      <c r="AN727" s="43"/>
      <c r="AO727" s="43"/>
      <c r="AP727" s="43"/>
      <c r="AQ727" s="43">
        <v>0.29499999999999998</v>
      </c>
      <c r="AR727" s="43"/>
      <c r="AS727" s="43"/>
      <c r="AT727" s="43"/>
      <c r="AU727" s="43"/>
      <c r="AV727" s="43"/>
      <c r="AW727" s="43"/>
      <c r="AX727" s="43">
        <v>0.29759999999999998</v>
      </c>
      <c r="AY727" s="43"/>
      <c r="AZ727" s="43"/>
      <c r="BA727" s="43">
        <v>0.37209999999999999</v>
      </c>
      <c r="BB727" s="43"/>
      <c r="BC727" s="43"/>
      <c r="BD727" s="43">
        <v>0.374</v>
      </c>
      <c r="BE727" s="43"/>
      <c r="BF727" s="43"/>
      <c r="BG727" s="43"/>
      <c r="BH727" s="43"/>
      <c r="BI727" s="43"/>
      <c r="BJ727" s="43"/>
      <c r="BK727" s="43"/>
      <c r="BL727" s="43"/>
      <c r="BM727" s="43"/>
      <c r="BN727" s="43">
        <f t="shared" si="19"/>
        <v>0.374</v>
      </c>
      <c r="BO727" s="43">
        <f t="shared" si="20"/>
        <v>2010</v>
      </c>
    </row>
    <row r="728" spans="2:67" x14ac:dyDescent="0.75">
      <c r="B728" s="43" t="s">
        <v>479</v>
      </c>
      <c r="C728" s="43" t="s">
        <v>480</v>
      </c>
      <c r="D728" s="43" t="s">
        <v>758</v>
      </c>
      <c r="E728" s="43" t="s">
        <v>757</v>
      </c>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v>0.65300000000000002</v>
      </c>
      <c r="AD728" s="43"/>
      <c r="AE728" s="43"/>
      <c r="AF728" s="43"/>
      <c r="AG728" s="43"/>
      <c r="AH728" s="43"/>
      <c r="AI728" s="43"/>
      <c r="AJ728" s="43"/>
      <c r="AK728" s="43"/>
      <c r="AL728" s="43"/>
      <c r="AM728" s="43"/>
      <c r="AN728" s="43"/>
      <c r="AO728" s="43"/>
      <c r="AP728" s="43"/>
      <c r="AQ728" s="43"/>
      <c r="AR728" s="43"/>
      <c r="AS728" s="43">
        <v>1.982</v>
      </c>
      <c r="AT728" s="43"/>
      <c r="AU728" s="43"/>
      <c r="AV728" s="43"/>
      <c r="AW728" s="43"/>
      <c r="AX728" s="43"/>
      <c r="AY728" s="43"/>
      <c r="AZ728" s="43"/>
      <c r="BA728" s="43"/>
      <c r="BB728" s="43"/>
      <c r="BC728" s="43"/>
      <c r="BD728" s="43"/>
      <c r="BE728" s="43"/>
      <c r="BF728" s="43"/>
      <c r="BG728" s="43"/>
      <c r="BH728" s="43"/>
      <c r="BI728" s="43"/>
      <c r="BJ728" s="43"/>
      <c r="BK728" s="43"/>
      <c r="BL728" s="43"/>
      <c r="BM728" s="43"/>
      <c r="BN728" s="43">
        <f t="shared" si="19"/>
        <v>1.982</v>
      </c>
      <c r="BO728" s="43">
        <f t="shared" si="20"/>
        <v>1999</v>
      </c>
    </row>
    <row r="729" spans="2:67" x14ac:dyDescent="0.75">
      <c r="B729" s="43" t="s">
        <v>209</v>
      </c>
      <c r="C729" s="43" t="s">
        <v>103</v>
      </c>
      <c r="D729" s="43" t="s">
        <v>758</v>
      </c>
      <c r="E729" s="43" t="s">
        <v>757</v>
      </c>
      <c r="F729" s="43">
        <v>1.0999999999999999E-2</v>
      </c>
      <c r="G729" s="43"/>
      <c r="H729" s="43"/>
      <c r="I729" s="43"/>
      <c r="J729" s="43"/>
      <c r="K729" s="43">
        <v>1.6E-2</v>
      </c>
      <c r="L729" s="43"/>
      <c r="M729" s="43"/>
      <c r="N729" s="43"/>
      <c r="O729" s="43"/>
      <c r="P729" s="43">
        <v>1.7000000000000001E-2</v>
      </c>
      <c r="Q729" s="43"/>
      <c r="R729" s="43"/>
      <c r="S729" s="43"/>
      <c r="T729" s="43"/>
      <c r="U729" s="43">
        <v>1.6E-2</v>
      </c>
      <c r="V729" s="43"/>
      <c r="W729" s="43"/>
      <c r="X729" s="43"/>
      <c r="Y729" s="43"/>
      <c r="Z729" s="43"/>
      <c r="AA729" s="43"/>
      <c r="AB729" s="43"/>
      <c r="AC729" s="43"/>
      <c r="AD729" s="43">
        <v>2.5000000000000001E-2</v>
      </c>
      <c r="AE729" s="43"/>
      <c r="AF729" s="43"/>
      <c r="AG729" s="43"/>
      <c r="AH729" s="43"/>
      <c r="AI729" s="43"/>
      <c r="AJ729" s="43">
        <v>1.7999999999999999E-2</v>
      </c>
      <c r="AK729" s="43"/>
      <c r="AL729" s="43">
        <v>2.7E-2</v>
      </c>
      <c r="AM729" s="43"/>
      <c r="AN729" s="43">
        <v>2.3E-2</v>
      </c>
      <c r="AO729" s="43"/>
      <c r="AP729" s="43">
        <v>2.4E-2</v>
      </c>
      <c r="AQ729" s="43">
        <v>3.5000000000000003E-2</v>
      </c>
      <c r="AR729" s="43">
        <v>3.3000000000000002E-2</v>
      </c>
      <c r="AS729" s="43"/>
      <c r="AT729" s="43"/>
      <c r="AU729" s="43"/>
      <c r="AV729" s="43">
        <v>3.3000000000000002E-2</v>
      </c>
      <c r="AW729" s="43"/>
      <c r="AX729" s="43">
        <v>2.2499999999999999E-2</v>
      </c>
      <c r="AY729" s="43"/>
      <c r="AZ729" s="43"/>
      <c r="BA729" s="43"/>
      <c r="BB729" s="43">
        <v>1.89E-2</v>
      </c>
      <c r="BC729" s="43">
        <v>2.7799999999999998E-2</v>
      </c>
      <c r="BD729" s="43">
        <v>1.9E-2</v>
      </c>
      <c r="BE729" s="43"/>
      <c r="BF729" s="43"/>
      <c r="BG729" s="43">
        <v>5.1299999999999998E-2</v>
      </c>
      <c r="BH729" s="43">
        <v>0.05</v>
      </c>
      <c r="BI729" s="43"/>
      <c r="BJ729" s="43"/>
      <c r="BK729" s="43"/>
      <c r="BL729" s="43"/>
      <c r="BM729" s="43"/>
      <c r="BN729" s="43">
        <f t="shared" si="19"/>
        <v>0.05</v>
      </c>
      <c r="BO729" s="43">
        <f t="shared" si="20"/>
        <v>2014</v>
      </c>
    </row>
    <row r="730" spans="2:67" x14ac:dyDescent="0.75">
      <c r="B730" s="43" t="s">
        <v>177</v>
      </c>
      <c r="C730" s="43" t="s">
        <v>104</v>
      </c>
      <c r="D730" s="43" t="s">
        <v>758</v>
      </c>
      <c r="E730" s="43" t="s">
        <v>757</v>
      </c>
      <c r="F730" s="43">
        <v>1.7000000000000001E-2</v>
      </c>
      <c r="G730" s="43"/>
      <c r="H730" s="43"/>
      <c r="I730" s="43"/>
      <c r="J730" s="43"/>
      <c r="K730" s="43">
        <v>4.2999999999999997E-2</v>
      </c>
      <c r="L730" s="43"/>
      <c r="M730" s="43"/>
      <c r="N730" s="43"/>
      <c r="O730" s="43"/>
      <c r="P730" s="43">
        <v>0.05</v>
      </c>
      <c r="Q730" s="43"/>
      <c r="R730" s="43"/>
      <c r="S730" s="43"/>
      <c r="T730" s="43"/>
      <c r="U730" s="43">
        <v>4.9000000000000002E-2</v>
      </c>
      <c r="V730" s="43"/>
      <c r="W730" s="43"/>
      <c r="X730" s="43"/>
      <c r="Y730" s="43"/>
      <c r="Z730" s="43">
        <v>0.113</v>
      </c>
      <c r="AA730" s="43"/>
      <c r="AB730" s="43">
        <v>0.14899999999999999</v>
      </c>
      <c r="AC730" s="43"/>
      <c r="AD730" s="43"/>
      <c r="AE730" s="43">
        <v>0.192</v>
      </c>
      <c r="AF730" s="43">
        <v>0.187</v>
      </c>
      <c r="AG730" s="43"/>
      <c r="AH730" s="43"/>
      <c r="AI730" s="43">
        <v>0.192</v>
      </c>
      <c r="AJ730" s="43"/>
      <c r="AK730" s="43"/>
      <c r="AL730" s="43">
        <v>0.185</v>
      </c>
      <c r="AM730" s="43">
        <v>0.192</v>
      </c>
      <c r="AN730" s="43"/>
      <c r="AO730" s="43"/>
      <c r="AP730" s="43"/>
      <c r="AQ730" s="43"/>
      <c r="AR730" s="43"/>
      <c r="AS730" s="43"/>
      <c r="AT730" s="43">
        <v>0.26900000000000002</v>
      </c>
      <c r="AU730" s="43"/>
      <c r="AV730" s="43"/>
      <c r="AW730" s="43">
        <v>0.2646</v>
      </c>
      <c r="AX730" s="43"/>
      <c r="AY730" s="43">
        <v>0.28220000000000001</v>
      </c>
      <c r="AZ730" s="43">
        <v>0.34789999999999999</v>
      </c>
      <c r="BA730" s="43">
        <v>0.37819999999999998</v>
      </c>
      <c r="BB730" s="43">
        <v>0.376</v>
      </c>
      <c r="BC730" s="43">
        <v>0.378</v>
      </c>
      <c r="BD730" s="43">
        <v>0.18360000000000001</v>
      </c>
      <c r="BE730" s="43"/>
      <c r="BF730" s="43"/>
      <c r="BG730" s="43">
        <v>0.38269999999999998</v>
      </c>
      <c r="BH730" s="43"/>
      <c r="BI730" s="43"/>
      <c r="BJ730" s="43"/>
      <c r="BK730" s="43"/>
      <c r="BL730" s="43"/>
      <c r="BM730" s="43"/>
      <c r="BN730" s="43">
        <f t="shared" si="19"/>
        <v>0.38269999999999998</v>
      </c>
      <c r="BO730" s="43">
        <f t="shared" si="20"/>
        <v>2013</v>
      </c>
    </row>
    <row r="731" spans="2:67" x14ac:dyDescent="0.75">
      <c r="B731" s="43" t="s">
        <v>227</v>
      </c>
      <c r="C731" s="43" t="s">
        <v>105</v>
      </c>
      <c r="D731" s="43" t="s">
        <v>758</v>
      </c>
      <c r="E731" s="43" t="s">
        <v>757</v>
      </c>
      <c r="F731" s="43">
        <v>0.34</v>
      </c>
      <c r="G731" s="43"/>
      <c r="H731" s="43"/>
      <c r="I731" s="43"/>
      <c r="J731" s="43"/>
      <c r="K731" s="43">
        <v>0.378</v>
      </c>
      <c r="L731" s="43"/>
      <c r="M731" s="43"/>
      <c r="N731" s="43"/>
      <c r="O731" s="43"/>
      <c r="P731" s="43">
        <v>0.45300000000000001</v>
      </c>
      <c r="Q731" s="43"/>
      <c r="R731" s="43"/>
      <c r="S731" s="43"/>
      <c r="T731" s="43"/>
      <c r="U731" s="43">
        <v>0.46</v>
      </c>
      <c r="V731" s="43"/>
      <c r="W731" s="43"/>
      <c r="X731" s="43"/>
      <c r="Y731" s="43"/>
      <c r="Z731" s="43">
        <v>0.41599999999999998</v>
      </c>
      <c r="AA731" s="43">
        <v>0.42599999999999999</v>
      </c>
      <c r="AB731" s="43"/>
      <c r="AC731" s="43"/>
      <c r="AD731" s="43">
        <v>0.63700000000000001</v>
      </c>
      <c r="AE731" s="43"/>
      <c r="AF731" s="43"/>
      <c r="AG731" s="43"/>
      <c r="AH731" s="43">
        <v>0.47099999999999997</v>
      </c>
      <c r="AI731" s="43"/>
      <c r="AJ731" s="43">
        <v>0.65700000000000003</v>
      </c>
      <c r="AK731" s="43"/>
      <c r="AL731" s="43"/>
      <c r="AM731" s="43"/>
      <c r="AN731" s="43"/>
      <c r="AO731" s="43">
        <v>0.82</v>
      </c>
      <c r="AP731" s="43"/>
      <c r="AQ731" s="43">
        <v>0.85599999999999998</v>
      </c>
      <c r="AR731" s="43"/>
      <c r="AS731" s="43"/>
      <c r="AT731" s="43"/>
      <c r="AU731" s="43"/>
      <c r="AV731" s="43"/>
      <c r="AW731" s="43">
        <v>0.39019999999999999</v>
      </c>
      <c r="AX731" s="43"/>
      <c r="AY731" s="43">
        <v>0.50509999999999999</v>
      </c>
      <c r="AZ731" s="43">
        <v>0.49809999999999999</v>
      </c>
      <c r="BA731" s="43">
        <v>0.53290000000000004</v>
      </c>
      <c r="BB731" s="43">
        <v>0.65710000000000002</v>
      </c>
      <c r="BC731" s="43">
        <v>0.71289999999999998</v>
      </c>
      <c r="BD731" s="43">
        <v>0.73880000000000001</v>
      </c>
      <c r="BE731" s="43">
        <v>0.82699999999999996</v>
      </c>
      <c r="BF731" s="43">
        <v>0.87590000000000001</v>
      </c>
      <c r="BG731" s="43">
        <v>0.91579999999999995</v>
      </c>
      <c r="BH731" s="43">
        <v>0.91369999999999996</v>
      </c>
      <c r="BI731" s="43"/>
      <c r="BJ731" s="43"/>
      <c r="BK731" s="43"/>
      <c r="BL731" s="43">
        <v>1.0056</v>
      </c>
      <c r="BM731" s="43"/>
      <c r="BN731" s="43">
        <f t="shared" si="19"/>
        <v>1.0056</v>
      </c>
      <c r="BO731" s="43">
        <f t="shared" si="20"/>
        <v>2018</v>
      </c>
    </row>
    <row r="732" spans="2:67" x14ac:dyDescent="0.75">
      <c r="B732" s="43" t="s">
        <v>478</v>
      </c>
      <c r="C732" s="43" t="s">
        <v>106</v>
      </c>
      <c r="D732" s="43" t="s">
        <v>758</v>
      </c>
      <c r="E732" s="43" t="s">
        <v>757</v>
      </c>
      <c r="F732" s="43">
        <v>1.1000000000000001</v>
      </c>
      <c r="G732" s="43">
        <v>1.1000000000000001</v>
      </c>
      <c r="H732" s="43">
        <v>1.1000000000000001</v>
      </c>
      <c r="I732" s="43">
        <v>1.1000000000000001</v>
      </c>
      <c r="J732" s="43">
        <v>1.1000000000000001</v>
      </c>
      <c r="K732" s="43">
        <v>1.2</v>
      </c>
      <c r="L732" s="43">
        <v>1.2</v>
      </c>
      <c r="M732" s="43">
        <v>1.2</v>
      </c>
      <c r="N732" s="43">
        <v>1.2</v>
      </c>
      <c r="O732" s="43">
        <v>1.2</v>
      </c>
      <c r="P732" s="43">
        <v>1.2</v>
      </c>
      <c r="Q732" s="43">
        <v>1.3</v>
      </c>
      <c r="R732" s="43">
        <v>1.4</v>
      </c>
      <c r="S732" s="43">
        <v>1.4</v>
      </c>
      <c r="T732" s="43">
        <v>1.5</v>
      </c>
      <c r="U732" s="43">
        <v>1.6</v>
      </c>
      <c r="V732" s="43">
        <v>1.7</v>
      </c>
      <c r="W732" s="43">
        <v>1.7</v>
      </c>
      <c r="X732" s="43">
        <v>1.8</v>
      </c>
      <c r="Y732" s="43">
        <v>1.8</v>
      </c>
      <c r="Z732" s="43">
        <v>1.9</v>
      </c>
      <c r="AA732" s="43">
        <v>2</v>
      </c>
      <c r="AB732" s="43">
        <v>2</v>
      </c>
      <c r="AC732" s="43">
        <v>2.1</v>
      </c>
      <c r="AD732" s="43">
        <v>2.2000000000000002</v>
      </c>
      <c r="AE732" s="43">
        <v>2.2000000000000002</v>
      </c>
      <c r="AF732" s="43">
        <v>2.2999999999999998</v>
      </c>
      <c r="AG732" s="43">
        <v>2.4</v>
      </c>
      <c r="AH732" s="43">
        <v>2.4</v>
      </c>
      <c r="AI732" s="43">
        <v>2.4</v>
      </c>
      <c r="AJ732" s="43">
        <v>2.5</v>
      </c>
      <c r="AK732" s="43">
        <v>2.6</v>
      </c>
      <c r="AL732" s="43"/>
      <c r="AM732" s="43"/>
      <c r="AN732" s="43"/>
      <c r="AO732" s="43"/>
      <c r="AP732" s="43"/>
      <c r="AQ732" s="43"/>
      <c r="AR732" s="43">
        <v>2.9</v>
      </c>
      <c r="AS732" s="43">
        <v>3.1</v>
      </c>
      <c r="AT732" s="43">
        <v>3.2</v>
      </c>
      <c r="AU732" s="43">
        <v>3.3</v>
      </c>
      <c r="AV732" s="43">
        <v>3.1</v>
      </c>
      <c r="AW732" s="43">
        <v>3.149</v>
      </c>
      <c r="AX732" s="43"/>
      <c r="AY732" s="43">
        <v>3.71</v>
      </c>
      <c r="AZ732" s="43"/>
      <c r="BA732" s="43">
        <v>3.9209999999999998</v>
      </c>
      <c r="BB732" s="43"/>
      <c r="BC732" s="43"/>
      <c r="BD732" s="43">
        <v>2.9516</v>
      </c>
      <c r="BE732" s="43">
        <v>3.1244999999999998</v>
      </c>
      <c r="BF732" s="43">
        <v>3.2467999999999999</v>
      </c>
      <c r="BG732" s="43">
        <v>3.3065000000000002</v>
      </c>
      <c r="BH732" s="43">
        <v>3.42</v>
      </c>
      <c r="BI732" s="43">
        <v>3.4874999999999998</v>
      </c>
      <c r="BJ732" s="43">
        <v>3.5066999999999999</v>
      </c>
      <c r="BK732" s="43"/>
      <c r="BL732" s="43"/>
      <c r="BM732" s="43"/>
      <c r="BN732" s="43">
        <f t="shared" si="19"/>
        <v>3.5066999999999999</v>
      </c>
      <c r="BO732" s="43">
        <f t="shared" si="20"/>
        <v>2016</v>
      </c>
    </row>
    <row r="733" spans="2:67" x14ac:dyDescent="0.75">
      <c r="B733" s="43" t="s">
        <v>488</v>
      </c>
      <c r="C733" s="43" t="s">
        <v>107</v>
      </c>
      <c r="D733" s="43" t="s">
        <v>758</v>
      </c>
      <c r="E733" s="43" t="s">
        <v>757</v>
      </c>
      <c r="F733" s="43">
        <v>1.2</v>
      </c>
      <c r="G733" s="43"/>
      <c r="H733" s="43">
        <v>1.2</v>
      </c>
      <c r="I733" s="43">
        <v>1.1000000000000001</v>
      </c>
      <c r="J733" s="43">
        <v>1.2</v>
      </c>
      <c r="K733" s="43">
        <v>1.3</v>
      </c>
      <c r="L733" s="43">
        <v>1.3</v>
      </c>
      <c r="M733" s="43">
        <v>1.3</v>
      </c>
      <c r="N733" s="43">
        <v>1.4</v>
      </c>
      <c r="O733" s="43">
        <v>1.4</v>
      </c>
      <c r="P733" s="43">
        <v>1.4</v>
      </c>
      <c r="Q733" s="43">
        <v>1.5</v>
      </c>
      <c r="R733" s="43">
        <v>1.5</v>
      </c>
      <c r="S733" s="43">
        <v>1.6</v>
      </c>
      <c r="T733" s="43">
        <v>1.7</v>
      </c>
      <c r="U733" s="43">
        <v>1.7</v>
      </c>
      <c r="V733" s="43">
        <v>1.8</v>
      </c>
      <c r="W733" s="43">
        <v>1.9</v>
      </c>
      <c r="X733" s="43">
        <v>1.9</v>
      </c>
      <c r="Y733" s="43">
        <v>1.9</v>
      </c>
      <c r="Z733" s="43">
        <v>2</v>
      </c>
      <c r="AA733" s="43">
        <v>2</v>
      </c>
      <c r="AB733" s="43">
        <v>2.1</v>
      </c>
      <c r="AC733" s="43">
        <v>2.1</v>
      </c>
      <c r="AD733" s="43">
        <v>2.2000000000000002</v>
      </c>
      <c r="AE733" s="43">
        <v>2.2000000000000002</v>
      </c>
      <c r="AF733" s="43">
        <v>2.2999999999999998</v>
      </c>
      <c r="AG733" s="43">
        <v>2.5</v>
      </c>
      <c r="AH733" s="43"/>
      <c r="AI733" s="43"/>
      <c r="AJ733" s="43"/>
      <c r="AK733" s="43">
        <v>2.6</v>
      </c>
      <c r="AL733" s="43">
        <v>2.6</v>
      </c>
      <c r="AM733" s="43">
        <v>2.6</v>
      </c>
      <c r="AN733" s="43">
        <v>2.7</v>
      </c>
      <c r="AO733" s="43">
        <v>2.8</v>
      </c>
      <c r="AP733" s="43">
        <v>2.8</v>
      </c>
      <c r="AQ733" s="43">
        <v>2.5</v>
      </c>
      <c r="AR733" s="43">
        <v>2.7</v>
      </c>
      <c r="AS733" s="43">
        <v>2.8</v>
      </c>
      <c r="AT733" s="43">
        <v>2.9</v>
      </c>
      <c r="AU733" s="43">
        <v>3</v>
      </c>
      <c r="AV733" s="43">
        <v>3.1</v>
      </c>
      <c r="AW733" s="43">
        <v>3.1</v>
      </c>
      <c r="AX733" s="43"/>
      <c r="AY733" s="43"/>
      <c r="AZ733" s="43">
        <v>3.77</v>
      </c>
      <c r="BA733" s="43">
        <v>3.8889999999999998</v>
      </c>
      <c r="BB733" s="43">
        <v>4.0759999999999996</v>
      </c>
      <c r="BC733" s="43">
        <v>4.056</v>
      </c>
      <c r="BD733" s="43">
        <v>4.1166999999999998</v>
      </c>
      <c r="BE733" s="43">
        <v>4.1927000000000003</v>
      </c>
      <c r="BF733" s="43">
        <v>4.2374000000000001</v>
      </c>
      <c r="BG733" s="43">
        <v>4.3083999999999998</v>
      </c>
      <c r="BH733" s="43">
        <v>4.4265999999999996</v>
      </c>
      <c r="BI733" s="43">
        <v>4.3940000000000001</v>
      </c>
      <c r="BJ733" s="43">
        <v>4.4947999999999997</v>
      </c>
      <c r="BK733" s="43">
        <v>4.6336000000000004</v>
      </c>
      <c r="BL733" s="43"/>
      <c r="BM733" s="43"/>
      <c r="BN733" s="43">
        <f t="shared" si="19"/>
        <v>4.6336000000000004</v>
      </c>
      <c r="BO733" s="43">
        <f t="shared" si="20"/>
        <v>2017</v>
      </c>
    </row>
    <row r="734" spans="2:67" x14ac:dyDescent="0.75">
      <c r="B734" s="43" t="s">
        <v>179</v>
      </c>
      <c r="C734" s="43" t="s">
        <v>108</v>
      </c>
      <c r="D734" s="43" t="s">
        <v>758</v>
      </c>
      <c r="E734" s="43" t="s">
        <v>757</v>
      </c>
      <c r="F734" s="43">
        <v>1.2999999999999999E-2</v>
      </c>
      <c r="G734" s="43"/>
      <c r="H734" s="43"/>
      <c r="I734" s="43"/>
      <c r="J734" s="43"/>
      <c r="K734" s="43">
        <v>2.1000000000000001E-2</v>
      </c>
      <c r="L734" s="43"/>
      <c r="M734" s="43"/>
      <c r="N734" s="43"/>
      <c r="O734" s="43"/>
      <c r="P734" s="43">
        <v>1.9E-2</v>
      </c>
      <c r="Q734" s="43"/>
      <c r="R734" s="43"/>
      <c r="S734" s="43"/>
      <c r="T734" s="43"/>
      <c r="U734" s="43">
        <v>1.9E-2</v>
      </c>
      <c r="V734" s="43"/>
      <c r="W734" s="43"/>
      <c r="X734" s="43"/>
      <c r="Y734" s="43"/>
      <c r="Z734" s="43">
        <v>3.4000000000000002E-2</v>
      </c>
      <c r="AA734" s="43"/>
      <c r="AB734" s="43"/>
      <c r="AC734" s="43"/>
      <c r="AD734" s="43">
        <v>3.1E-2</v>
      </c>
      <c r="AE734" s="43">
        <v>3.4000000000000002E-2</v>
      </c>
      <c r="AF734" s="43"/>
      <c r="AG734" s="43">
        <v>5.0999999999999997E-2</v>
      </c>
      <c r="AH734" s="43">
        <v>5.0999999999999997E-2</v>
      </c>
      <c r="AI734" s="43">
        <v>5.3999999999999999E-2</v>
      </c>
      <c r="AJ734" s="43">
        <v>5.0999999999999997E-2</v>
      </c>
      <c r="AK734" s="43">
        <v>6.2E-2</v>
      </c>
      <c r="AL734" s="43">
        <v>7.5999999999999998E-2</v>
      </c>
      <c r="AM734" s="43">
        <v>7.3999999999999996E-2</v>
      </c>
      <c r="AN734" s="43"/>
      <c r="AO734" s="43">
        <v>0.04</v>
      </c>
      <c r="AP734" s="43">
        <v>0.04</v>
      </c>
      <c r="AQ734" s="43">
        <v>0.04</v>
      </c>
      <c r="AR734" s="43">
        <v>0.04</v>
      </c>
      <c r="AS734" s="43"/>
      <c r="AT734" s="43"/>
      <c r="AU734" s="43">
        <v>5.1999999999999998E-2</v>
      </c>
      <c r="AV734" s="43"/>
      <c r="AW734" s="43"/>
      <c r="AX734" s="43">
        <v>0.2127</v>
      </c>
      <c r="AY734" s="43"/>
      <c r="AZ734" s="43"/>
      <c r="BA734" s="43"/>
      <c r="BB734" s="43"/>
      <c r="BC734" s="43"/>
      <c r="BD734" s="43"/>
      <c r="BE734" s="43"/>
      <c r="BF734" s="43">
        <v>0.50360000000000005</v>
      </c>
      <c r="BG734" s="43">
        <v>0.54249999999999998</v>
      </c>
      <c r="BH734" s="43">
        <v>0.59509999999999996</v>
      </c>
      <c r="BI734" s="43"/>
      <c r="BJ734" s="43"/>
      <c r="BK734" s="43">
        <v>0.65069999999999995</v>
      </c>
      <c r="BL734" s="43"/>
      <c r="BM734" s="43"/>
      <c r="BN734" s="43">
        <f t="shared" si="19"/>
        <v>0.65069999999999995</v>
      </c>
      <c r="BO734" s="43">
        <f t="shared" si="20"/>
        <v>2017</v>
      </c>
    </row>
    <row r="735" spans="2:67" x14ac:dyDescent="0.75">
      <c r="B735" s="43" t="s">
        <v>251</v>
      </c>
      <c r="C735" s="43" t="s">
        <v>109</v>
      </c>
      <c r="D735" s="43" t="s">
        <v>758</v>
      </c>
      <c r="E735" s="43" t="s">
        <v>757</v>
      </c>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v>1.6</v>
      </c>
      <c r="AP735" s="43"/>
      <c r="AQ735" s="43"/>
      <c r="AR735" s="43"/>
      <c r="AS735" s="43"/>
      <c r="AT735" s="43"/>
      <c r="AU735" s="43"/>
      <c r="AV735" s="43"/>
      <c r="AW735" s="43"/>
      <c r="AX735" s="43">
        <v>0.99009999999999998</v>
      </c>
      <c r="AY735" s="43"/>
      <c r="AZ735" s="43"/>
      <c r="BA735" s="43"/>
      <c r="BB735" s="43">
        <v>1.0101</v>
      </c>
      <c r="BC735" s="43">
        <v>1.0101</v>
      </c>
      <c r="BD735" s="43">
        <v>1.1000000000000001</v>
      </c>
      <c r="BE735" s="43">
        <v>1.3725000000000001</v>
      </c>
      <c r="BF735" s="43"/>
      <c r="BG735" s="43"/>
      <c r="BH735" s="43"/>
      <c r="BI735" s="43">
        <v>1.2388999999999999</v>
      </c>
      <c r="BJ735" s="43"/>
      <c r="BK735" s="43"/>
      <c r="BL735" s="43"/>
      <c r="BM735" s="43"/>
      <c r="BN735" s="43">
        <f t="shared" si="19"/>
        <v>1.2388999999999999</v>
      </c>
      <c r="BO735" s="43">
        <f t="shared" si="20"/>
        <v>2015</v>
      </c>
    </row>
    <row r="736" spans="2:67" x14ac:dyDescent="0.75">
      <c r="B736" s="43" t="s">
        <v>481</v>
      </c>
      <c r="C736" s="43" t="s">
        <v>110</v>
      </c>
      <c r="D736" s="43" t="s">
        <v>758</v>
      </c>
      <c r="E736" s="43" t="s">
        <v>757</v>
      </c>
      <c r="F736" s="43"/>
      <c r="G736" s="43">
        <v>1.1000000000000001</v>
      </c>
      <c r="H736" s="43"/>
      <c r="I736" s="43"/>
      <c r="J736" s="43"/>
      <c r="K736" s="43"/>
      <c r="L736" s="43">
        <v>1.1000000000000001</v>
      </c>
      <c r="M736" s="43"/>
      <c r="N736" s="43"/>
      <c r="O736" s="43"/>
      <c r="P736" s="43"/>
      <c r="Q736" s="43">
        <v>1.1000000000000001</v>
      </c>
      <c r="R736" s="43"/>
      <c r="S736" s="43">
        <v>1.2</v>
      </c>
      <c r="T736" s="43"/>
      <c r="U736" s="43"/>
      <c r="V736" s="43">
        <v>1.3</v>
      </c>
      <c r="W736" s="43">
        <v>1.4</v>
      </c>
      <c r="X736" s="43">
        <v>1.4</v>
      </c>
      <c r="Y736" s="43">
        <v>1.5</v>
      </c>
      <c r="Z736" s="43">
        <v>1.6</v>
      </c>
      <c r="AA736" s="43">
        <v>1.6</v>
      </c>
      <c r="AB736" s="43">
        <v>1.6</v>
      </c>
      <c r="AC736" s="43">
        <v>1.7</v>
      </c>
      <c r="AD736" s="43">
        <v>1.7</v>
      </c>
      <c r="AE736" s="43">
        <v>1.7</v>
      </c>
      <c r="AF736" s="43">
        <v>1.8</v>
      </c>
      <c r="AG736" s="43">
        <v>1.8</v>
      </c>
      <c r="AH736" s="43">
        <v>1.9</v>
      </c>
      <c r="AI736" s="43">
        <v>1.9</v>
      </c>
      <c r="AJ736" s="43">
        <v>1.9</v>
      </c>
      <c r="AK736" s="43">
        <v>1.9</v>
      </c>
      <c r="AL736" s="43">
        <v>1.9</v>
      </c>
      <c r="AM736" s="43">
        <v>1.9</v>
      </c>
      <c r="AN736" s="43">
        <v>2</v>
      </c>
      <c r="AO736" s="43">
        <v>2</v>
      </c>
      <c r="AP736" s="43">
        <v>2</v>
      </c>
      <c r="AQ736" s="43">
        <v>2.2000000000000002</v>
      </c>
      <c r="AR736" s="43">
        <v>2.2000000000000002</v>
      </c>
      <c r="AS736" s="43">
        <v>2.2000000000000002</v>
      </c>
      <c r="AT736" s="43"/>
      <c r="AU736" s="43">
        <v>2.3098999999999998</v>
      </c>
      <c r="AV736" s="43">
        <v>2.0665</v>
      </c>
      <c r="AW736" s="43">
        <v>2.2000000000000002</v>
      </c>
      <c r="AX736" s="43"/>
      <c r="AY736" s="43"/>
      <c r="AZ736" s="43"/>
      <c r="BA736" s="43">
        <v>2.3048999999999999</v>
      </c>
      <c r="BB736" s="43">
        <v>2.5470000000000002</v>
      </c>
      <c r="BC736" s="43">
        <v>2.6789999999999998</v>
      </c>
      <c r="BD736" s="43">
        <v>2.6114000000000002</v>
      </c>
      <c r="BE736" s="43">
        <v>2.6331000000000002</v>
      </c>
      <c r="BF736" s="43">
        <v>2.6787999999999998</v>
      </c>
      <c r="BG736" s="43">
        <v>2.7856000000000001</v>
      </c>
      <c r="BH736" s="43">
        <v>2.8073000000000001</v>
      </c>
      <c r="BI736" s="43">
        <v>3.0003000000000002</v>
      </c>
      <c r="BJ736" s="43">
        <v>3.0251999999999999</v>
      </c>
      <c r="BK736" s="43"/>
      <c r="BL736" s="43"/>
      <c r="BM736" s="43"/>
      <c r="BN736" s="43">
        <f t="shared" si="19"/>
        <v>3.0251999999999999</v>
      </c>
      <c r="BO736" s="43">
        <f t="shared" si="20"/>
        <v>2016</v>
      </c>
    </row>
    <row r="737" spans="2:67" x14ac:dyDescent="0.75">
      <c r="B737" s="43" t="s">
        <v>491</v>
      </c>
      <c r="C737" s="43" t="s">
        <v>492</v>
      </c>
      <c r="D737" s="43" t="s">
        <v>758</v>
      </c>
      <c r="E737" s="43" t="s">
        <v>757</v>
      </c>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v>1.9982643388057317</v>
      </c>
      <c r="AK737" s="43"/>
      <c r="AL737" s="43"/>
      <c r="AM737" s="43"/>
      <c r="AN737" s="43"/>
      <c r="AO737" s="43"/>
      <c r="AP737" s="43"/>
      <c r="AQ737" s="43"/>
      <c r="AR737" s="43"/>
      <c r="AS737" s="43"/>
      <c r="AT737" s="43">
        <v>2.5399982459486417</v>
      </c>
      <c r="AU737" s="43"/>
      <c r="AV737" s="43"/>
      <c r="AW737" s="43"/>
      <c r="AX737" s="43"/>
      <c r="AY737" s="43"/>
      <c r="AZ737" s="43"/>
      <c r="BA737" s="43"/>
      <c r="BB737" s="43"/>
      <c r="BC737" s="43"/>
      <c r="BD737" s="43"/>
      <c r="BE737" s="43"/>
      <c r="BF737" s="43"/>
      <c r="BG737" s="43"/>
      <c r="BH737" s="43"/>
      <c r="BI737" s="43">
        <v>2.8919392858942818</v>
      </c>
      <c r="BJ737" s="43"/>
      <c r="BK737" s="43"/>
      <c r="BL737" s="43"/>
      <c r="BM737" s="43"/>
      <c r="BN737" s="43">
        <f t="shared" si="19"/>
        <v>2.8919392858942818</v>
      </c>
      <c r="BO737" s="43">
        <f t="shared" si="20"/>
        <v>2015</v>
      </c>
    </row>
    <row r="738" spans="2:67" x14ac:dyDescent="0.75">
      <c r="B738" s="43" t="s">
        <v>493</v>
      </c>
      <c r="C738" s="43" t="s">
        <v>111</v>
      </c>
      <c r="D738" s="43" t="s">
        <v>758</v>
      </c>
      <c r="E738" s="43" t="s">
        <v>757</v>
      </c>
      <c r="F738" s="43">
        <v>0.03</v>
      </c>
      <c r="G738" s="43"/>
      <c r="H738" s="43"/>
      <c r="I738" s="43"/>
      <c r="J738" s="43"/>
      <c r="K738" s="43">
        <v>3.7999999999999999E-2</v>
      </c>
      <c r="L738" s="43"/>
      <c r="M738" s="43"/>
      <c r="N738" s="43"/>
      <c r="O738" s="43"/>
      <c r="P738" s="43"/>
      <c r="Q738" s="43"/>
      <c r="R738" s="43"/>
      <c r="S738" s="43"/>
      <c r="T738" s="43"/>
      <c r="U738" s="43"/>
      <c r="V738" s="43"/>
      <c r="W738" s="43"/>
      <c r="X738" s="43"/>
      <c r="Y738" s="43"/>
      <c r="Z738" s="43"/>
      <c r="AA738" s="43"/>
      <c r="AB738" s="43">
        <v>0.54900000000000004</v>
      </c>
      <c r="AC738" s="43"/>
      <c r="AD738" s="43"/>
      <c r="AE738" s="43"/>
      <c r="AF738" s="43"/>
      <c r="AG738" s="43">
        <v>0.83399999999999996</v>
      </c>
      <c r="AH738" s="43"/>
      <c r="AI738" s="43">
        <v>0.88300000000000001</v>
      </c>
      <c r="AJ738" s="43">
        <v>0.79520000000000002</v>
      </c>
      <c r="AK738" s="43"/>
      <c r="AL738" s="43"/>
      <c r="AM738" s="43">
        <v>0.88400000000000001</v>
      </c>
      <c r="AN738" s="43"/>
      <c r="AO738" s="43">
        <v>1.1236999999999999</v>
      </c>
      <c r="AP738" s="43"/>
      <c r="AQ738" s="43">
        <v>0.85389999999999999</v>
      </c>
      <c r="AR738" s="43">
        <v>0.93210000000000004</v>
      </c>
      <c r="AS738" s="43">
        <v>0.96409999999999996</v>
      </c>
      <c r="AT738" s="43">
        <v>1.4365000000000001</v>
      </c>
      <c r="AU738" s="43"/>
      <c r="AV738" s="43">
        <v>1.2569999999999999</v>
      </c>
      <c r="AW738" s="43"/>
      <c r="AX738" s="43">
        <v>1.5833999999999999</v>
      </c>
      <c r="AY738" s="43">
        <v>1.6653</v>
      </c>
      <c r="AZ738" s="43">
        <v>1.7726999999999999</v>
      </c>
      <c r="BA738" s="43">
        <v>1.8431999999999999</v>
      </c>
      <c r="BB738" s="43">
        <v>1.8826000000000001</v>
      </c>
      <c r="BC738" s="43">
        <v>1.9296</v>
      </c>
      <c r="BD738" s="43">
        <v>1.9273</v>
      </c>
      <c r="BE738" s="43">
        <v>1.9547000000000001</v>
      </c>
      <c r="BF738" s="43">
        <v>2.0363000000000002</v>
      </c>
      <c r="BG738" s="43">
        <v>2.0674000000000001</v>
      </c>
      <c r="BH738" s="43">
        <v>2.1840999999999999</v>
      </c>
      <c r="BI738" s="43">
        <v>2.1225000000000001</v>
      </c>
      <c r="BJ738" s="43">
        <v>2.0184000000000002</v>
      </c>
      <c r="BK738" s="43">
        <v>1.9697</v>
      </c>
      <c r="BL738" s="43"/>
      <c r="BM738" s="43"/>
      <c r="BN738" s="43">
        <f t="shared" si="19"/>
        <v>1.9697</v>
      </c>
      <c r="BO738" s="43">
        <f t="shared" si="20"/>
        <v>2017</v>
      </c>
    </row>
    <row r="739" spans="2:67" x14ac:dyDescent="0.75">
      <c r="B739" s="43" t="s">
        <v>494</v>
      </c>
      <c r="C739" s="43" t="s">
        <v>495</v>
      </c>
      <c r="D739" s="43" t="s">
        <v>758</v>
      </c>
      <c r="E739" s="43" t="s">
        <v>757</v>
      </c>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v>0.86668950835113323</v>
      </c>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v>0.765803865988685</v>
      </c>
      <c r="BJ739" s="43"/>
      <c r="BK739" s="43"/>
      <c r="BL739" s="43"/>
      <c r="BM739" s="43"/>
      <c r="BN739" s="43">
        <f t="shared" si="19"/>
        <v>0.765803865988685</v>
      </c>
      <c r="BO739" s="43">
        <f t="shared" si="20"/>
        <v>2015</v>
      </c>
    </row>
    <row r="740" spans="2:67" x14ac:dyDescent="0.75">
      <c r="B740" s="43" t="s">
        <v>176</v>
      </c>
      <c r="C740" s="43" t="s">
        <v>112</v>
      </c>
      <c r="D740" s="43" t="s">
        <v>758</v>
      </c>
      <c r="E740" s="43" t="s">
        <v>757</v>
      </c>
      <c r="F740" s="43">
        <v>0.185</v>
      </c>
      <c r="G740" s="43"/>
      <c r="H740" s="43"/>
      <c r="I740" s="43"/>
      <c r="J740" s="43"/>
      <c r="K740" s="43"/>
      <c r="L740" s="43"/>
      <c r="M740" s="43"/>
      <c r="N740" s="43"/>
      <c r="O740" s="43"/>
      <c r="P740" s="43">
        <v>0.23200000000000001</v>
      </c>
      <c r="Q740" s="43"/>
      <c r="R740" s="43"/>
      <c r="S740" s="43"/>
      <c r="T740" s="43"/>
      <c r="U740" s="43">
        <v>0.23300000000000001</v>
      </c>
      <c r="V740" s="43"/>
      <c r="W740" s="43"/>
      <c r="X740" s="43"/>
      <c r="Y740" s="43"/>
      <c r="Z740" s="43">
        <v>0.28499999999999998</v>
      </c>
      <c r="AA740" s="43">
        <v>0.34399999999999997</v>
      </c>
      <c r="AB740" s="43">
        <v>0.34200000000000003</v>
      </c>
      <c r="AC740" s="43"/>
      <c r="AD740" s="43"/>
      <c r="AE740" s="43"/>
      <c r="AF740" s="43">
        <v>0.35099999999999998</v>
      </c>
      <c r="AG740" s="43"/>
      <c r="AH740" s="43"/>
      <c r="AI740" s="43"/>
      <c r="AJ740" s="43">
        <v>0.46200000000000002</v>
      </c>
      <c r="AK740" s="43">
        <v>0.48</v>
      </c>
      <c r="AL740" s="43">
        <v>0.52790000000000004</v>
      </c>
      <c r="AM740" s="43">
        <v>0.53959999999999997</v>
      </c>
      <c r="AN740" s="43">
        <v>0.55269999999999997</v>
      </c>
      <c r="AO740" s="43">
        <v>0.56740000000000002</v>
      </c>
      <c r="AP740" s="43">
        <v>0.58940000000000003</v>
      </c>
      <c r="AQ740" s="43">
        <v>0.6079</v>
      </c>
      <c r="AR740" s="43">
        <v>0.62519999999999998</v>
      </c>
      <c r="AS740" s="43">
        <v>0.64329999999999998</v>
      </c>
      <c r="AT740" s="43">
        <v>0.66290000000000004</v>
      </c>
      <c r="AU740" s="43">
        <v>0.67969999999999997</v>
      </c>
      <c r="AV740" s="43"/>
      <c r="AW740" s="43"/>
      <c r="AX740" s="43">
        <v>0.77129999999999999</v>
      </c>
      <c r="AY740" s="43">
        <v>0.82089999999999996</v>
      </c>
      <c r="AZ740" s="43"/>
      <c r="BA740" s="43">
        <v>0.79749999999999999</v>
      </c>
      <c r="BB740" s="43">
        <v>0.81869999999999998</v>
      </c>
      <c r="BC740" s="43">
        <v>0.83540000000000003</v>
      </c>
      <c r="BD740" s="43">
        <v>0.84960000000000002</v>
      </c>
      <c r="BE740" s="43">
        <v>0.87480000000000002</v>
      </c>
      <c r="BF740" s="43"/>
      <c r="BG740" s="43"/>
      <c r="BH740" s="43">
        <v>0.80600000000000005</v>
      </c>
      <c r="BI740" s="43">
        <v>0.97529999999999994</v>
      </c>
      <c r="BJ740" s="43"/>
      <c r="BK740" s="43"/>
      <c r="BL740" s="43"/>
      <c r="BM740" s="43"/>
      <c r="BN740" s="43">
        <f t="shared" si="19"/>
        <v>0.97529999999999994</v>
      </c>
      <c r="BO740" s="43">
        <f t="shared" si="20"/>
        <v>2015</v>
      </c>
    </row>
    <row r="741" spans="2:67" x14ac:dyDescent="0.75">
      <c r="B741" s="43" t="s">
        <v>500</v>
      </c>
      <c r="C741" s="43" t="s">
        <v>113</v>
      </c>
      <c r="D741" s="43" t="s">
        <v>758</v>
      </c>
      <c r="E741" s="43" t="s">
        <v>757</v>
      </c>
      <c r="F741" s="43">
        <v>0.35599999999999998</v>
      </c>
      <c r="G741" s="43"/>
      <c r="H741" s="43"/>
      <c r="I741" s="43"/>
      <c r="J741" s="43"/>
      <c r="K741" s="43">
        <v>0.47799999999999998</v>
      </c>
      <c r="L741" s="43"/>
      <c r="M741" s="43"/>
      <c r="N741" s="43"/>
      <c r="O741" s="43"/>
      <c r="P741" s="43">
        <v>0.61299999999999999</v>
      </c>
      <c r="Q741" s="43"/>
      <c r="R741" s="43"/>
      <c r="S741" s="43"/>
      <c r="T741" s="43"/>
      <c r="U741" s="43">
        <v>0.59699999999999998</v>
      </c>
      <c r="V741" s="43"/>
      <c r="W741" s="43"/>
      <c r="X741" s="43"/>
      <c r="Y741" s="43"/>
      <c r="Z741" s="43"/>
      <c r="AA741" s="43">
        <v>0.99299999999999999</v>
      </c>
      <c r="AB741" s="43"/>
      <c r="AC741" s="43"/>
      <c r="AD741" s="43">
        <v>1.0209999999999999</v>
      </c>
      <c r="AE741" s="43">
        <v>1.006</v>
      </c>
      <c r="AF741" s="43"/>
      <c r="AG741" s="43"/>
      <c r="AH741" s="43">
        <v>1.7929999999999999</v>
      </c>
      <c r="AI741" s="43"/>
      <c r="AJ741" s="43">
        <v>1.1129</v>
      </c>
      <c r="AK741" s="43">
        <v>1.1220000000000001</v>
      </c>
      <c r="AL741" s="43">
        <v>1.1439999999999999</v>
      </c>
      <c r="AM741" s="43">
        <v>1.1777</v>
      </c>
      <c r="AN741" s="43">
        <v>1.1254999999999999</v>
      </c>
      <c r="AO741" s="43">
        <v>1.1666000000000001</v>
      </c>
      <c r="AP741" s="43">
        <v>1.2055</v>
      </c>
      <c r="AQ741" s="43">
        <v>1.2033</v>
      </c>
      <c r="AR741" s="43">
        <v>1.1932</v>
      </c>
      <c r="AS741" s="43">
        <v>1.2324999999999999</v>
      </c>
      <c r="AT741" s="43">
        <v>1.502</v>
      </c>
      <c r="AU741" s="43">
        <v>1.2438</v>
      </c>
      <c r="AV741" s="43">
        <v>1.3346</v>
      </c>
      <c r="AW741" s="43">
        <v>1.3402000000000001</v>
      </c>
      <c r="AX741" s="43">
        <v>1.3216000000000001</v>
      </c>
      <c r="AY741" s="43">
        <v>1.3474999999999999</v>
      </c>
      <c r="AZ741" s="43">
        <v>1.3488</v>
      </c>
      <c r="BA741" s="43">
        <v>1.3031999999999999</v>
      </c>
      <c r="BB741" s="43">
        <v>1.3807</v>
      </c>
      <c r="BC741" s="43">
        <v>1.3091999999999999</v>
      </c>
      <c r="BD741" s="43">
        <v>1.4056</v>
      </c>
      <c r="BE741" s="43">
        <v>1.4971000000000001</v>
      </c>
      <c r="BF741" s="43">
        <v>1.5969</v>
      </c>
      <c r="BG741" s="43">
        <v>1.5808</v>
      </c>
      <c r="BH741" s="43"/>
      <c r="BI741" s="43"/>
      <c r="BJ741" s="43">
        <v>1.5699000000000001</v>
      </c>
      <c r="BK741" s="43"/>
      <c r="BL741" s="43"/>
      <c r="BM741" s="43"/>
      <c r="BN741" s="43">
        <f t="shared" si="19"/>
        <v>1.5699000000000001</v>
      </c>
      <c r="BO741" s="43">
        <f t="shared" si="20"/>
        <v>2016</v>
      </c>
    </row>
    <row r="742" spans="2:67" x14ac:dyDescent="0.75">
      <c r="B742" s="43" t="s">
        <v>501</v>
      </c>
      <c r="C742" s="43" t="s">
        <v>114</v>
      </c>
      <c r="D742" s="43" t="s">
        <v>758</v>
      </c>
      <c r="E742" s="43" t="s">
        <v>757</v>
      </c>
      <c r="F742" s="43">
        <v>0.51</v>
      </c>
      <c r="G742" s="43"/>
      <c r="H742" s="43"/>
      <c r="I742" s="43"/>
      <c r="J742" s="43"/>
      <c r="K742" s="43">
        <v>0.60499999999999998</v>
      </c>
      <c r="L742" s="43"/>
      <c r="M742" s="43"/>
      <c r="N742" s="43"/>
      <c r="O742" s="43"/>
      <c r="P742" s="43">
        <v>0.52100000000000002</v>
      </c>
      <c r="Q742" s="43"/>
      <c r="R742" s="43"/>
      <c r="S742" s="43"/>
      <c r="T742" s="43"/>
      <c r="U742" s="43">
        <v>0.52600000000000002</v>
      </c>
      <c r="V742" s="43"/>
      <c r="W742" s="43"/>
      <c r="X742" s="43"/>
      <c r="Y742" s="43">
        <v>0.69199999999999995</v>
      </c>
      <c r="Z742" s="43">
        <v>0.71599999999999997</v>
      </c>
      <c r="AA742" s="43">
        <v>0.76</v>
      </c>
      <c r="AB742" s="43">
        <v>0.84599999999999997</v>
      </c>
      <c r="AC742" s="43">
        <v>0.90200000000000002</v>
      </c>
      <c r="AD742" s="43">
        <v>0.90800000000000003</v>
      </c>
      <c r="AE742" s="43">
        <v>0.92900000000000005</v>
      </c>
      <c r="AF742" s="43">
        <v>0.98399999999999999</v>
      </c>
      <c r="AG742" s="43">
        <v>0.98299999999999998</v>
      </c>
      <c r="AH742" s="43">
        <v>0.96499999999999997</v>
      </c>
      <c r="AI742" s="43">
        <v>1.0349999999999999</v>
      </c>
      <c r="AJ742" s="43">
        <v>1.0640000000000001</v>
      </c>
      <c r="AK742" s="43"/>
      <c r="AL742" s="43">
        <v>1.03</v>
      </c>
      <c r="AM742" s="43"/>
      <c r="AN742" s="43"/>
      <c r="AO742" s="43">
        <v>0.98</v>
      </c>
      <c r="AP742" s="43"/>
      <c r="AQ742" s="43">
        <v>0.93200000000000005</v>
      </c>
      <c r="AR742" s="43"/>
      <c r="AS742" s="43">
        <v>1.1657999999999999</v>
      </c>
      <c r="AT742" s="43"/>
      <c r="AU742" s="43"/>
      <c r="AV742" s="43"/>
      <c r="AW742" s="43"/>
      <c r="AX742" s="43"/>
      <c r="AY742" s="43"/>
      <c r="AZ742" s="43"/>
      <c r="BA742" s="43">
        <v>1.6672</v>
      </c>
      <c r="BB742" s="43"/>
      <c r="BC742" s="43">
        <v>0.94040000000000001</v>
      </c>
      <c r="BD742" s="43">
        <v>0.92</v>
      </c>
      <c r="BE742" s="43"/>
      <c r="BF742" s="43">
        <v>1.1164000000000001</v>
      </c>
      <c r="BG742" s="43"/>
      <c r="BH742" s="43"/>
      <c r="BI742" s="43"/>
      <c r="BJ742" s="43">
        <v>1.27</v>
      </c>
      <c r="BK742" s="43"/>
      <c r="BL742" s="43"/>
      <c r="BM742" s="43"/>
      <c r="BN742" s="43">
        <f t="shared" si="19"/>
        <v>1.27</v>
      </c>
      <c r="BO742" s="43">
        <f t="shared" si="20"/>
        <v>2016</v>
      </c>
    </row>
    <row r="743" spans="2:67" x14ac:dyDescent="0.75">
      <c r="B743" s="43" t="s">
        <v>253</v>
      </c>
      <c r="C743" s="43" t="s">
        <v>115</v>
      </c>
      <c r="D743" s="43" t="s">
        <v>758</v>
      </c>
      <c r="E743" s="43" t="s">
        <v>757</v>
      </c>
      <c r="F743" s="43">
        <v>0.14599999999999999</v>
      </c>
      <c r="G743" s="43"/>
      <c r="H743" s="43"/>
      <c r="I743" s="43"/>
      <c r="J743" s="43"/>
      <c r="K743" s="43"/>
      <c r="L743" s="43"/>
      <c r="M743" s="43"/>
      <c r="N743" s="43"/>
      <c r="O743" s="43"/>
      <c r="P743" s="43">
        <v>0.111</v>
      </c>
      <c r="Q743" s="43"/>
      <c r="R743" s="43"/>
      <c r="S743" s="43"/>
      <c r="T743" s="43"/>
      <c r="U743" s="43">
        <v>0.113</v>
      </c>
      <c r="V743" s="43"/>
      <c r="W743" s="43"/>
      <c r="X743" s="43"/>
      <c r="Y743" s="43"/>
      <c r="Z743" s="43">
        <v>0.128</v>
      </c>
      <c r="AA743" s="43">
        <v>0.15</v>
      </c>
      <c r="AB743" s="43"/>
      <c r="AC743" s="43"/>
      <c r="AD743" s="43">
        <v>0.154</v>
      </c>
      <c r="AE743" s="43">
        <v>0.154</v>
      </c>
      <c r="AF743" s="43"/>
      <c r="AG743" s="43"/>
      <c r="AH743" s="43"/>
      <c r="AI743" s="43">
        <v>0.124</v>
      </c>
      <c r="AJ743" s="43">
        <v>0.11899999999999999</v>
      </c>
      <c r="AK743" s="43"/>
      <c r="AL743" s="43">
        <v>0.108</v>
      </c>
      <c r="AM743" s="43"/>
      <c r="AN743" s="43"/>
      <c r="AO743" s="43"/>
      <c r="AP743" s="43">
        <v>1.23</v>
      </c>
      <c r="AQ743" s="43">
        <v>1.24</v>
      </c>
      <c r="AR743" s="43"/>
      <c r="AS743" s="43"/>
      <c r="AT743" s="43">
        <v>1.2184999999999999</v>
      </c>
      <c r="AU743" s="43">
        <v>1.2202</v>
      </c>
      <c r="AV743" s="43">
        <v>1.1109</v>
      </c>
      <c r="AW743" s="43">
        <v>1.2259</v>
      </c>
      <c r="AX743" s="43">
        <v>1.1085</v>
      </c>
      <c r="AY743" s="43">
        <v>1.2296</v>
      </c>
      <c r="AZ743" s="43">
        <v>1.2372000000000001</v>
      </c>
      <c r="BA743" s="43">
        <v>1.2457</v>
      </c>
      <c r="BB743" s="43">
        <v>1.2579</v>
      </c>
      <c r="BC743" s="43">
        <v>1.2658</v>
      </c>
      <c r="BD743" s="43">
        <v>1.2749999999999999</v>
      </c>
      <c r="BE743" s="43"/>
      <c r="BF743" s="43"/>
      <c r="BG743" s="43"/>
      <c r="BH743" s="43"/>
      <c r="BI743" s="43"/>
      <c r="BJ743" s="43"/>
      <c r="BK743" s="43"/>
      <c r="BL743" s="43"/>
      <c r="BM743" s="43"/>
      <c r="BN743" s="43">
        <f t="shared" si="19"/>
        <v>1.2749999999999999</v>
      </c>
      <c r="BO743" s="43">
        <f t="shared" si="20"/>
        <v>2010</v>
      </c>
    </row>
    <row r="744" spans="2:67" x14ac:dyDescent="0.75">
      <c r="B744" s="43" t="s">
        <v>498</v>
      </c>
      <c r="C744" s="43" t="s">
        <v>499</v>
      </c>
      <c r="D744" s="43" t="s">
        <v>758</v>
      </c>
      <c r="E744" s="43" t="s">
        <v>757</v>
      </c>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v>1.4054</v>
      </c>
      <c r="AS744" s="43"/>
      <c r="AT744" s="43">
        <v>1.58</v>
      </c>
      <c r="AU744" s="43"/>
      <c r="AV744" s="43"/>
      <c r="AW744" s="43"/>
      <c r="AX744" s="43"/>
      <c r="AY744" s="43"/>
      <c r="AZ744" s="43">
        <v>1.3</v>
      </c>
      <c r="BA744" s="43"/>
      <c r="BB744" s="43"/>
      <c r="BC744" s="43">
        <v>1.4286000000000001</v>
      </c>
      <c r="BD744" s="43">
        <v>1.4146000000000001</v>
      </c>
      <c r="BE744" s="43"/>
      <c r="BF744" s="43"/>
      <c r="BG744" s="43"/>
      <c r="BH744" s="43">
        <v>1.1848000000000001</v>
      </c>
      <c r="BI744" s="43"/>
      <c r="BJ744" s="43"/>
      <c r="BK744" s="43"/>
      <c r="BL744" s="43"/>
      <c r="BM744" s="43"/>
      <c r="BN744" s="43">
        <f t="shared" si="19"/>
        <v>1.1848000000000001</v>
      </c>
      <c r="BO744" s="43">
        <f t="shared" si="20"/>
        <v>2014</v>
      </c>
    </row>
    <row r="745" spans="2:67" x14ac:dyDescent="0.75">
      <c r="B745" s="43" t="s">
        <v>252</v>
      </c>
      <c r="C745" s="43" t="s">
        <v>116</v>
      </c>
      <c r="D745" s="43" t="s">
        <v>758</v>
      </c>
      <c r="E745" s="43" t="s">
        <v>757</v>
      </c>
      <c r="F745" s="43"/>
      <c r="G745" s="43"/>
      <c r="H745" s="43"/>
      <c r="I745" s="43"/>
      <c r="J745" s="43"/>
      <c r="K745" s="43">
        <v>7.9000000000000001E-2</v>
      </c>
      <c r="L745" s="43"/>
      <c r="M745" s="43"/>
      <c r="N745" s="43"/>
      <c r="O745" s="43"/>
      <c r="P745" s="43">
        <v>8.5999999999999993E-2</v>
      </c>
      <c r="Q745" s="43"/>
      <c r="R745" s="43"/>
      <c r="S745" s="43">
        <v>5.6000000000000001E-2</v>
      </c>
      <c r="T745" s="43"/>
      <c r="U745" s="43">
        <v>8.5000000000000006E-2</v>
      </c>
      <c r="V745" s="43"/>
      <c r="W745" s="43"/>
      <c r="X745" s="43"/>
      <c r="Y745" s="43"/>
      <c r="Z745" s="43">
        <v>6.2E-2</v>
      </c>
      <c r="AA745" s="43">
        <v>6.2E-2</v>
      </c>
      <c r="AB745" s="43"/>
      <c r="AC745" s="43"/>
      <c r="AD745" s="43"/>
      <c r="AE745" s="43">
        <v>0.16200000000000001</v>
      </c>
      <c r="AF745" s="43"/>
      <c r="AG745" s="43"/>
      <c r="AH745" s="43"/>
      <c r="AI745" s="43"/>
      <c r="AJ745" s="43">
        <v>7.2999999999999995E-2</v>
      </c>
      <c r="AK745" s="43"/>
      <c r="AL745" s="43"/>
      <c r="AM745" s="43"/>
      <c r="AN745" s="43"/>
      <c r="AO745" s="43"/>
      <c r="AP745" s="43"/>
      <c r="AQ745" s="43"/>
      <c r="AR745" s="43">
        <v>7.2999999999999995E-2</v>
      </c>
      <c r="AS745" s="43"/>
      <c r="AT745" s="43">
        <v>4.9399999999999999E-2</v>
      </c>
      <c r="AU745" s="43"/>
      <c r="AV745" s="43"/>
      <c r="AW745" s="43"/>
      <c r="AX745" s="43"/>
      <c r="AY745" s="43"/>
      <c r="AZ745" s="43"/>
      <c r="BA745" s="43"/>
      <c r="BB745" s="43">
        <v>4.9099999999999998E-2</v>
      </c>
      <c r="BC745" s="43"/>
      <c r="BD745" s="43">
        <v>5.2900000000000003E-2</v>
      </c>
      <c r="BE745" s="43"/>
      <c r="BF745" s="43"/>
      <c r="BG745" s="43"/>
      <c r="BH745" s="43"/>
      <c r="BI745" s="43"/>
      <c r="BJ745" s="43"/>
      <c r="BK745" s="43"/>
      <c r="BL745" s="43"/>
      <c r="BM745" s="43"/>
      <c r="BN745" s="43">
        <f t="shared" si="19"/>
        <v>5.2900000000000003E-2</v>
      </c>
      <c r="BO745" s="43">
        <f t="shared" si="20"/>
        <v>2010</v>
      </c>
    </row>
    <row r="746" spans="2:67" x14ac:dyDescent="0.75">
      <c r="B746" s="43" t="s">
        <v>502</v>
      </c>
      <c r="C746" s="43" t="s">
        <v>117</v>
      </c>
      <c r="D746" s="43" t="s">
        <v>758</v>
      </c>
      <c r="E746" s="43" t="s">
        <v>757</v>
      </c>
      <c r="F746" s="43">
        <v>1</v>
      </c>
      <c r="G746" s="43">
        <v>1</v>
      </c>
      <c r="H746" s="43">
        <v>1.1000000000000001</v>
      </c>
      <c r="I746" s="43">
        <v>1.1000000000000001</v>
      </c>
      <c r="J746" s="43">
        <v>1.2</v>
      </c>
      <c r="K746" s="43">
        <v>1.2</v>
      </c>
      <c r="L746" s="43">
        <v>1.3</v>
      </c>
      <c r="M746" s="43">
        <v>1.3</v>
      </c>
      <c r="N746" s="43">
        <v>1.4</v>
      </c>
      <c r="O746" s="43">
        <v>1.4</v>
      </c>
      <c r="P746" s="43">
        <v>1.4</v>
      </c>
      <c r="Q746" s="43">
        <v>1.5</v>
      </c>
      <c r="R746" s="43">
        <v>1.5</v>
      </c>
      <c r="S746" s="43">
        <v>1.5</v>
      </c>
      <c r="T746" s="43">
        <v>1.6</v>
      </c>
      <c r="U746" s="43">
        <v>1.6</v>
      </c>
      <c r="V746" s="43">
        <v>1.6</v>
      </c>
      <c r="W746" s="43">
        <v>1.7</v>
      </c>
      <c r="X746" s="43">
        <v>1.7</v>
      </c>
      <c r="Y746" s="43">
        <v>1.7</v>
      </c>
      <c r="Z746" s="43">
        <v>1.8</v>
      </c>
      <c r="AA746" s="43">
        <v>1.8</v>
      </c>
      <c r="AB746" s="43">
        <v>1.8</v>
      </c>
      <c r="AC746" s="43">
        <v>1.9</v>
      </c>
      <c r="AD746" s="43">
        <v>1.9</v>
      </c>
      <c r="AE746" s="43">
        <v>2</v>
      </c>
      <c r="AF746" s="43">
        <v>2</v>
      </c>
      <c r="AG746" s="43">
        <v>2.1</v>
      </c>
      <c r="AH746" s="43">
        <v>2.1</v>
      </c>
      <c r="AI746" s="43">
        <v>2.1</v>
      </c>
      <c r="AJ746" s="43">
        <v>2.1</v>
      </c>
      <c r="AK746" s="43">
        <v>2.2000000000000002</v>
      </c>
      <c r="AL746" s="43">
        <v>2.2000000000000002</v>
      </c>
      <c r="AM746" s="43">
        <v>2.2000000000000002</v>
      </c>
      <c r="AN746" s="43">
        <v>2.2999999999999998</v>
      </c>
      <c r="AO746" s="43">
        <v>2.2999999999999998</v>
      </c>
      <c r="AP746" s="43">
        <v>2.4</v>
      </c>
      <c r="AQ746" s="43">
        <v>2.4</v>
      </c>
      <c r="AR746" s="43">
        <v>2.2999999999999998</v>
      </c>
      <c r="AS746" s="43">
        <v>2.2999999999999998</v>
      </c>
      <c r="AT746" s="43">
        <v>2.2000000000000002</v>
      </c>
      <c r="AU746" s="43">
        <v>2.2999999999999998</v>
      </c>
      <c r="AV746" s="43">
        <v>2.2999999999999998</v>
      </c>
      <c r="AW746" s="43">
        <v>2.4689999999999999</v>
      </c>
      <c r="AX746" s="43"/>
      <c r="AY746" s="43">
        <v>1.97</v>
      </c>
      <c r="AZ746" s="43">
        <v>2.012</v>
      </c>
      <c r="BA746" s="43"/>
      <c r="BB746" s="43">
        <v>2.1440000000000001</v>
      </c>
      <c r="BC746" s="43"/>
      <c r="BD746" s="43">
        <v>2.1709999999999998</v>
      </c>
      <c r="BE746" s="43">
        <v>2.1978</v>
      </c>
      <c r="BF746" s="43">
        <v>2.2189999999999999</v>
      </c>
      <c r="BG746" s="43">
        <v>2.2252000000000001</v>
      </c>
      <c r="BH746" s="43">
        <v>2.2898999999999998</v>
      </c>
      <c r="BI746" s="43">
        <v>2.3111999999999999</v>
      </c>
      <c r="BJ746" s="43">
        <v>2.3997999999999999</v>
      </c>
      <c r="BK746" s="43"/>
      <c r="BL746" s="43"/>
      <c r="BM746" s="43"/>
      <c r="BN746" s="43">
        <f t="shared" si="19"/>
        <v>2.3997999999999999</v>
      </c>
      <c r="BO746" s="43">
        <f t="shared" si="20"/>
        <v>2016</v>
      </c>
    </row>
    <row r="747" spans="2:67" x14ac:dyDescent="0.75">
      <c r="B747" s="43" t="s">
        <v>506</v>
      </c>
      <c r="C747" s="43" t="s">
        <v>507</v>
      </c>
      <c r="D747" s="43" t="s">
        <v>758</v>
      </c>
      <c r="E747" s="43" t="s">
        <v>757</v>
      </c>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v>0.12578525756842826</v>
      </c>
      <c r="AK747" s="43"/>
      <c r="AL747" s="43"/>
      <c r="AM747" s="43"/>
      <c r="AN747" s="43"/>
      <c r="AO747" s="43"/>
      <c r="AP747" s="43"/>
      <c r="AQ747" s="43"/>
      <c r="AR747" s="43"/>
      <c r="AS747" s="43"/>
      <c r="AT747" s="43">
        <v>0.1740127451433342</v>
      </c>
      <c r="AU747" s="43"/>
      <c r="AV747" s="43"/>
      <c r="AW747" s="43"/>
      <c r="AX747" s="43"/>
      <c r="AY747" s="43"/>
      <c r="AZ747" s="43"/>
      <c r="BA747" s="43"/>
      <c r="BB747" s="43"/>
      <c r="BC747" s="43"/>
      <c r="BD747" s="43"/>
      <c r="BE747" s="43"/>
      <c r="BF747" s="43"/>
      <c r="BG747" s="43"/>
      <c r="BH747" s="43"/>
      <c r="BI747" s="43">
        <v>0.21840284487090372</v>
      </c>
      <c r="BJ747" s="43"/>
      <c r="BK747" s="43"/>
      <c r="BL747" s="43"/>
      <c r="BM747" s="43"/>
      <c r="BN747" s="43">
        <f t="shared" si="19"/>
        <v>0.21840284487090372</v>
      </c>
      <c r="BO747" s="43">
        <f t="shared" si="20"/>
        <v>2015</v>
      </c>
    </row>
    <row r="748" spans="2:67" x14ac:dyDescent="0.75">
      <c r="B748" s="43" t="s">
        <v>508</v>
      </c>
      <c r="C748" s="43" t="s">
        <v>509</v>
      </c>
      <c r="D748" s="43" t="s">
        <v>758</v>
      </c>
      <c r="E748" s="43" t="s">
        <v>757</v>
      </c>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v>1.75</v>
      </c>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f t="shared" si="19"/>
        <v>1.75</v>
      </c>
      <c r="BO748" s="43">
        <f t="shared" si="20"/>
        <v>1995</v>
      </c>
    </row>
    <row r="749" spans="2:67" x14ac:dyDescent="0.75">
      <c r="B749" s="43" t="s">
        <v>429</v>
      </c>
      <c r="C749" s="43" t="s">
        <v>158</v>
      </c>
      <c r="D749" s="43" t="s">
        <v>758</v>
      </c>
      <c r="E749" s="43" t="s">
        <v>757</v>
      </c>
      <c r="F749" s="43"/>
      <c r="G749" s="43"/>
      <c r="H749" s="43"/>
      <c r="I749" s="43"/>
      <c r="J749" s="43"/>
      <c r="K749" s="43"/>
      <c r="L749" s="43"/>
      <c r="M749" s="43"/>
      <c r="N749" s="43"/>
      <c r="O749" s="43"/>
      <c r="P749" s="43"/>
      <c r="Q749" s="43"/>
      <c r="R749" s="43"/>
      <c r="S749" s="43"/>
      <c r="T749" s="43"/>
      <c r="U749" s="43"/>
      <c r="V749" s="43"/>
      <c r="W749" s="43"/>
      <c r="X749" s="43"/>
      <c r="Y749" s="43"/>
      <c r="Z749" s="43"/>
      <c r="AA749" s="43"/>
      <c r="AB749" s="43">
        <v>2.5489999999999999</v>
      </c>
      <c r="AC749" s="43">
        <v>2.5110000000000001</v>
      </c>
      <c r="AD749" s="43"/>
      <c r="AE749" s="43"/>
      <c r="AF749" s="43"/>
      <c r="AG749" s="43"/>
      <c r="AH749" s="43"/>
      <c r="AI749" s="43"/>
      <c r="AJ749" s="43"/>
      <c r="AK749" s="43"/>
      <c r="AL749" s="43"/>
      <c r="AM749" s="43"/>
      <c r="AN749" s="43"/>
      <c r="AO749" s="43">
        <v>2.97</v>
      </c>
      <c r="AP749" s="43"/>
      <c r="AQ749" s="43"/>
      <c r="AR749" s="43"/>
      <c r="AS749" s="43"/>
      <c r="AT749" s="43"/>
      <c r="AU749" s="43"/>
      <c r="AV749" s="43"/>
      <c r="AW749" s="43">
        <v>3.1690999999999998</v>
      </c>
      <c r="AX749" s="43"/>
      <c r="AY749" s="43"/>
      <c r="AZ749" s="43"/>
      <c r="BA749" s="43"/>
      <c r="BB749" s="43">
        <v>3.2846000000000002</v>
      </c>
      <c r="BC749" s="43"/>
      <c r="BD749" s="43"/>
      <c r="BE749" s="43">
        <v>2.7770000000000001</v>
      </c>
      <c r="BF749" s="43">
        <v>3.4388999999999998</v>
      </c>
      <c r="BG749" s="43"/>
      <c r="BH749" s="43">
        <v>3.4973000000000001</v>
      </c>
      <c r="BI749" s="43"/>
      <c r="BJ749" s="43">
        <v>3.6922000000000001</v>
      </c>
      <c r="BK749" s="43">
        <v>3.6745000000000001</v>
      </c>
      <c r="BL749" s="43"/>
      <c r="BM749" s="43"/>
      <c r="BN749" s="43">
        <f t="shared" si="19"/>
        <v>3.6745000000000001</v>
      </c>
      <c r="BO749" s="43">
        <f t="shared" si="20"/>
        <v>2017</v>
      </c>
    </row>
    <row r="750" spans="2:67" x14ac:dyDescent="0.75">
      <c r="B750" s="43" t="s">
        <v>503</v>
      </c>
      <c r="C750" s="43" t="s">
        <v>118</v>
      </c>
      <c r="D750" s="43" t="s">
        <v>758</v>
      </c>
      <c r="E750" s="43" t="s">
        <v>757</v>
      </c>
      <c r="F750" s="43">
        <v>0.8</v>
      </c>
      <c r="G750" s="43">
        <v>0.8</v>
      </c>
      <c r="H750" s="43">
        <v>0.9</v>
      </c>
      <c r="I750" s="43">
        <v>0.8</v>
      </c>
      <c r="J750" s="43">
        <v>0.8</v>
      </c>
      <c r="K750" s="43">
        <v>0.9</v>
      </c>
      <c r="L750" s="43">
        <v>0.9</v>
      </c>
      <c r="M750" s="43">
        <v>0.9</v>
      </c>
      <c r="N750" s="43">
        <v>1</v>
      </c>
      <c r="O750" s="43">
        <v>0.9</v>
      </c>
      <c r="P750" s="43">
        <v>0.9</v>
      </c>
      <c r="Q750" s="43">
        <v>1</v>
      </c>
      <c r="R750" s="43">
        <v>1</v>
      </c>
      <c r="S750" s="43">
        <v>1.1000000000000001</v>
      </c>
      <c r="T750" s="43">
        <v>1.2</v>
      </c>
      <c r="U750" s="43">
        <v>1.2</v>
      </c>
      <c r="V750" s="43">
        <v>1.3</v>
      </c>
      <c r="W750" s="43">
        <v>1.5</v>
      </c>
      <c r="X750" s="43">
        <v>1.7</v>
      </c>
      <c r="Y750" s="43">
        <v>1.9</v>
      </c>
      <c r="Z750" s="43">
        <v>2</v>
      </c>
      <c r="AA750" s="43">
        <v>2.1</v>
      </c>
      <c r="AB750" s="43">
        <v>2.2000000000000002</v>
      </c>
      <c r="AC750" s="43">
        <v>2.2999999999999998</v>
      </c>
      <c r="AD750" s="43">
        <v>2.4</v>
      </c>
      <c r="AE750" s="43">
        <v>2.5</v>
      </c>
      <c r="AF750" s="43">
        <v>2.6</v>
      </c>
      <c r="AG750" s="43">
        <v>2.6</v>
      </c>
      <c r="AH750" s="43">
        <v>2.7</v>
      </c>
      <c r="AI750" s="43">
        <v>2.8</v>
      </c>
      <c r="AJ750" s="43">
        <v>2.8</v>
      </c>
      <c r="AK750" s="43">
        <v>2.8</v>
      </c>
      <c r="AL750" s="43">
        <v>2.9</v>
      </c>
      <c r="AM750" s="43">
        <v>2.9</v>
      </c>
      <c r="AN750" s="43">
        <v>2.9</v>
      </c>
      <c r="AO750" s="43">
        <v>2.9</v>
      </c>
      <c r="AP750" s="43">
        <v>3</v>
      </c>
      <c r="AQ750" s="43">
        <v>3</v>
      </c>
      <c r="AR750" s="43">
        <v>3.1</v>
      </c>
      <c r="AS750" s="43">
        <v>3.1</v>
      </c>
      <c r="AT750" s="43">
        <v>3.2</v>
      </c>
      <c r="AU750" s="43">
        <v>3.2</v>
      </c>
      <c r="AV750" s="43">
        <v>3.2317</v>
      </c>
      <c r="AW750" s="43">
        <v>3.2839999999999998</v>
      </c>
      <c r="AX750" s="43">
        <v>3.3445999999999998</v>
      </c>
      <c r="AY750" s="43">
        <v>3.4203000000000001</v>
      </c>
      <c r="AZ750" s="43">
        <v>3.4834000000000001</v>
      </c>
      <c r="BA750" s="43">
        <v>3.5657000000000001</v>
      </c>
      <c r="BB750" s="43">
        <v>3.6549</v>
      </c>
      <c r="BC750" s="43">
        <v>3.7610000000000001</v>
      </c>
      <c r="BD750" s="43">
        <v>3.8180999999999998</v>
      </c>
      <c r="BE750" s="43">
        <v>3.9579</v>
      </c>
      <c r="BF750" s="43">
        <v>4.0751999999999997</v>
      </c>
      <c r="BG750" s="43">
        <v>4.2321999999999997</v>
      </c>
      <c r="BH750" s="43">
        <v>4.3963999999999999</v>
      </c>
      <c r="BI750" s="43"/>
      <c r="BJ750" s="43">
        <v>3.3355999999999999</v>
      </c>
      <c r="BK750" s="43"/>
      <c r="BL750" s="43"/>
      <c r="BM750" s="43"/>
      <c r="BN750" s="43">
        <f t="shared" ref="BN750:BN813" si="21">IFERROR(LOOKUP(2,1/(ISNUMBER(G750:BM750)),G750:BM750),"No reported value")</f>
        <v>3.3355999999999999</v>
      </c>
      <c r="BO750" s="43">
        <f t="shared" ref="BO750:BO813" si="22">IFERROR(INDEX($G$557:$BM$557,1,MATCH($BN750,$G750:$BM750,0)),"No reported value")</f>
        <v>2016</v>
      </c>
    </row>
    <row r="751" spans="2:67" x14ac:dyDescent="0.75">
      <c r="B751" s="43" t="s">
        <v>228</v>
      </c>
      <c r="C751" s="43" t="s">
        <v>119</v>
      </c>
      <c r="D751" s="43" t="s">
        <v>758</v>
      </c>
      <c r="E751" s="43" t="s">
        <v>757</v>
      </c>
      <c r="F751" s="43">
        <v>0.53400000000000003</v>
      </c>
      <c r="G751" s="43"/>
      <c r="H751" s="43"/>
      <c r="I751" s="43"/>
      <c r="J751" s="43"/>
      <c r="K751" s="43">
        <v>0.53300000000000003</v>
      </c>
      <c r="L751" s="43"/>
      <c r="M751" s="43"/>
      <c r="N751" s="43"/>
      <c r="O751" s="43"/>
      <c r="P751" s="43">
        <v>0.435</v>
      </c>
      <c r="Q751" s="43"/>
      <c r="R751" s="43"/>
      <c r="S751" s="43"/>
      <c r="T751" s="43"/>
      <c r="U751" s="43">
        <v>0.439</v>
      </c>
      <c r="V751" s="43"/>
      <c r="W751" s="43"/>
      <c r="X751" s="43"/>
      <c r="Y751" s="43">
        <v>0.56299999999999994</v>
      </c>
      <c r="Z751" s="43"/>
      <c r="AA751" s="43">
        <v>0.57899999999999996</v>
      </c>
      <c r="AB751" s="43"/>
      <c r="AC751" s="43"/>
      <c r="AD751" s="43">
        <v>0.70099999999999996</v>
      </c>
      <c r="AE751" s="43">
        <v>0.67500000000000004</v>
      </c>
      <c r="AF751" s="43"/>
      <c r="AG751" s="43"/>
      <c r="AH751" s="43">
        <v>0.64</v>
      </c>
      <c r="AI751" s="43"/>
      <c r="AJ751" s="43">
        <v>0.65</v>
      </c>
      <c r="AK751" s="43">
        <v>0.81299999999999994</v>
      </c>
      <c r="AL751" s="43"/>
      <c r="AM751" s="43"/>
      <c r="AN751" s="43">
        <v>0.28000000000000003</v>
      </c>
      <c r="AO751" s="43">
        <v>0.73</v>
      </c>
      <c r="AP751" s="43"/>
      <c r="AQ751" s="43">
        <v>1.0980000000000001</v>
      </c>
      <c r="AR751" s="43"/>
      <c r="AS751" s="43"/>
      <c r="AT751" s="43">
        <v>1.17</v>
      </c>
      <c r="AU751" s="43"/>
      <c r="AV751" s="43">
        <v>1.1536999999999999</v>
      </c>
      <c r="AW751" s="43"/>
      <c r="AX751" s="43"/>
      <c r="AY751" s="43"/>
      <c r="AZ751" s="43"/>
      <c r="BA751" s="43"/>
      <c r="BB751" s="43"/>
      <c r="BC751" s="43"/>
      <c r="BD751" s="43"/>
      <c r="BE751" s="43"/>
      <c r="BF751" s="43">
        <v>1.2859</v>
      </c>
      <c r="BG751" s="43"/>
      <c r="BH751" s="43"/>
      <c r="BI751" s="43"/>
      <c r="BJ751" s="43"/>
      <c r="BK751" s="43">
        <v>0.2399</v>
      </c>
      <c r="BL751" s="43">
        <v>1.3660000000000001</v>
      </c>
      <c r="BM751" s="43"/>
      <c r="BN751" s="43">
        <f t="shared" si="21"/>
        <v>1.3660000000000001</v>
      </c>
      <c r="BO751" s="43">
        <f t="shared" si="22"/>
        <v>2018</v>
      </c>
    </row>
    <row r="752" spans="2:67" x14ac:dyDescent="0.75">
      <c r="B752" s="43" t="s">
        <v>568</v>
      </c>
      <c r="C752" s="43" t="s">
        <v>569</v>
      </c>
      <c r="D752" s="43" t="s">
        <v>758</v>
      </c>
      <c r="E752" s="43" t="s">
        <v>757</v>
      </c>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v>0.5</v>
      </c>
      <c r="AS752" s="43"/>
      <c r="AT752" s="43"/>
      <c r="AU752" s="43">
        <v>0.83699999999999997</v>
      </c>
      <c r="AV752" s="43"/>
      <c r="AW752" s="43"/>
      <c r="AX752" s="43"/>
      <c r="AY752" s="43"/>
      <c r="AZ752" s="43"/>
      <c r="BA752" s="43"/>
      <c r="BB752" s="43"/>
      <c r="BC752" s="43"/>
      <c r="BD752" s="43"/>
      <c r="BE752" s="43"/>
      <c r="BF752" s="43"/>
      <c r="BG752" s="43"/>
      <c r="BH752" s="43"/>
      <c r="BI752" s="43"/>
      <c r="BJ752" s="43"/>
      <c r="BK752" s="43"/>
      <c r="BL752" s="43"/>
      <c r="BM752" s="43"/>
      <c r="BN752" s="43">
        <f t="shared" si="21"/>
        <v>0.83699999999999997</v>
      </c>
      <c r="BO752" s="43">
        <f t="shared" si="22"/>
        <v>2001</v>
      </c>
    </row>
    <row r="753" spans="2:67" x14ac:dyDescent="0.75">
      <c r="B753" s="43" t="s">
        <v>496</v>
      </c>
      <c r="C753" s="43" t="s">
        <v>497</v>
      </c>
      <c r="D753" s="43" t="s">
        <v>758</v>
      </c>
      <c r="E753" s="43" t="s">
        <v>757</v>
      </c>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v>0.27596149830882022</v>
      </c>
      <c r="AK753" s="43"/>
      <c r="AL753" s="43"/>
      <c r="AM753" s="43"/>
      <c r="AN753" s="43"/>
      <c r="AO753" s="43"/>
      <c r="AP753" s="43"/>
      <c r="AQ753" s="43"/>
      <c r="AR753" s="43"/>
      <c r="AS753" s="43"/>
      <c r="AT753" s="43">
        <v>0.36921475385188629</v>
      </c>
      <c r="AU753" s="43"/>
      <c r="AV753" s="43"/>
      <c r="AW753" s="43"/>
      <c r="AX753" s="43"/>
      <c r="AY753" s="43"/>
      <c r="AZ753" s="43"/>
      <c r="BA753" s="43"/>
      <c r="BB753" s="43"/>
      <c r="BC753" s="43"/>
      <c r="BD753" s="43"/>
      <c r="BE753" s="43"/>
      <c r="BF753" s="43"/>
      <c r="BG753" s="43"/>
      <c r="BH753" s="43"/>
      <c r="BI753" s="43">
        <v>0.47855072594996245</v>
      </c>
      <c r="BJ753" s="43"/>
      <c r="BK753" s="43"/>
      <c r="BL753" s="43"/>
      <c r="BM753" s="43"/>
      <c r="BN753" s="43">
        <f t="shared" si="21"/>
        <v>0.47855072594996245</v>
      </c>
      <c r="BO753" s="43">
        <f t="shared" si="22"/>
        <v>2015</v>
      </c>
    </row>
    <row r="754" spans="2:67" x14ac:dyDescent="0.75">
      <c r="B754" s="43" t="s">
        <v>504</v>
      </c>
      <c r="C754" s="43" t="s">
        <v>505</v>
      </c>
      <c r="D754" s="43" t="s">
        <v>758</v>
      </c>
      <c r="E754" s="43" t="s">
        <v>757</v>
      </c>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v>2.322679065371795</v>
      </c>
      <c r="AK754" s="43"/>
      <c r="AL754" s="43"/>
      <c r="AM754" s="43"/>
      <c r="AN754" s="43"/>
      <c r="AO754" s="43"/>
      <c r="AP754" s="43"/>
      <c r="AQ754" s="43"/>
      <c r="AR754" s="43"/>
      <c r="AS754" s="43"/>
      <c r="AT754" s="43">
        <v>2.7879533072155445</v>
      </c>
      <c r="AU754" s="43"/>
      <c r="AV754" s="43"/>
      <c r="AW754" s="43"/>
      <c r="AX754" s="43"/>
      <c r="AY754" s="43"/>
      <c r="AZ754" s="43"/>
      <c r="BA754" s="43"/>
      <c r="BB754" s="43"/>
      <c r="BC754" s="43"/>
      <c r="BD754" s="43"/>
      <c r="BE754" s="43"/>
      <c r="BF754" s="43"/>
      <c r="BG754" s="43"/>
      <c r="BH754" s="43"/>
      <c r="BI754" s="43">
        <v>3.1621791156419099</v>
      </c>
      <c r="BJ754" s="43"/>
      <c r="BK754" s="43"/>
      <c r="BL754" s="43"/>
      <c r="BM754" s="43"/>
      <c r="BN754" s="43">
        <f t="shared" si="21"/>
        <v>3.1621791156419099</v>
      </c>
      <c r="BO754" s="43">
        <f t="shared" si="22"/>
        <v>2015</v>
      </c>
    </row>
    <row r="755" spans="2:67" x14ac:dyDescent="0.75">
      <c r="B755" s="43" t="s">
        <v>397</v>
      </c>
      <c r="C755" s="43" t="s">
        <v>398</v>
      </c>
      <c r="D755" s="43" t="s">
        <v>758</v>
      </c>
      <c r="E755" s="43" t="s">
        <v>757</v>
      </c>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v>1.252</v>
      </c>
      <c r="AF755" s="43"/>
      <c r="AG755" s="43"/>
      <c r="AH755" s="43"/>
      <c r="AI755" s="43"/>
      <c r="AJ755" s="43"/>
      <c r="AK755" s="43"/>
      <c r="AL755" s="43"/>
      <c r="AM755" s="43"/>
      <c r="AN755" s="43"/>
      <c r="AO755" s="43"/>
      <c r="AP755" s="43"/>
      <c r="AQ755" s="43"/>
      <c r="AR755" s="43"/>
      <c r="AS755" s="43"/>
      <c r="AT755" s="43">
        <v>1.6970000000000001</v>
      </c>
      <c r="AU755" s="43"/>
      <c r="AV755" s="43"/>
      <c r="AW755" s="43"/>
      <c r="AX755" s="43"/>
      <c r="AY755" s="43"/>
      <c r="AZ755" s="43"/>
      <c r="BA755" s="43"/>
      <c r="BB755" s="43"/>
      <c r="BC755" s="43"/>
      <c r="BD755" s="43"/>
      <c r="BE755" s="43"/>
      <c r="BF755" s="43"/>
      <c r="BG755" s="43"/>
      <c r="BH755" s="43"/>
      <c r="BI755" s="43"/>
      <c r="BJ755" s="43"/>
      <c r="BK755" s="43"/>
      <c r="BL755" s="43"/>
      <c r="BM755" s="43"/>
      <c r="BN755" s="43">
        <f t="shared" si="21"/>
        <v>1.6970000000000001</v>
      </c>
      <c r="BO755" s="43">
        <f t="shared" si="22"/>
        <v>2000</v>
      </c>
    </row>
    <row r="756" spans="2:67" x14ac:dyDescent="0.75">
      <c r="B756" s="43" t="s">
        <v>510</v>
      </c>
      <c r="C756" s="43" t="s">
        <v>120</v>
      </c>
      <c r="D756" s="43" t="s">
        <v>758</v>
      </c>
      <c r="E756" s="43" t="s">
        <v>757</v>
      </c>
      <c r="F756" s="43"/>
      <c r="G756" s="43"/>
      <c r="H756" s="43"/>
      <c r="I756" s="43"/>
      <c r="J756" s="43"/>
      <c r="K756" s="43"/>
      <c r="L756" s="43"/>
      <c r="M756" s="43"/>
      <c r="N756" s="43"/>
      <c r="O756" s="43"/>
      <c r="P756" s="43">
        <v>0.51300000000000001</v>
      </c>
      <c r="Q756" s="43"/>
      <c r="R756" s="43"/>
      <c r="S756" s="43"/>
      <c r="T756" s="43"/>
      <c r="U756" s="43"/>
      <c r="V756" s="43"/>
      <c r="W756" s="43"/>
      <c r="X756" s="43"/>
      <c r="Y756" s="43"/>
      <c r="Z756" s="43"/>
      <c r="AA756" s="43">
        <v>0.73799999999999999</v>
      </c>
      <c r="AB756" s="43"/>
      <c r="AC756" s="43"/>
      <c r="AD756" s="43"/>
      <c r="AE756" s="43"/>
      <c r="AF756" s="43">
        <v>1.6759999999999999</v>
      </c>
      <c r="AG756" s="43"/>
      <c r="AH756" s="43"/>
      <c r="AI756" s="43"/>
      <c r="AJ756" s="43">
        <v>1.5</v>
      </c>
      <c r="AK756" s="43"/>
      <c r="AL756" s="43"/>
      <c r="AM756" s="43"/>
      <c r="AN756" s="43"/>
      <c r="AO756" s="43"/>
      <c r="AP756" s="43">
        <v>1.26</v>
      </c>
      <c r="AQ756" s="43">
        <v>1.26</v>
      </c>
      <c r="AR756" s="43"/>
      <c r="AS756" s="43"/>
      <c r="AT756" s="43"/>
      <c r="AU756" s="43">
        <v>2.2170000000000001</v>
      </c>
      <c r="AV756" s="43"/>
      <c r="AW756" s="43"/>
      <c r="AX756" s="43"/>
      <c r="AY756" s="43">
        <v>2.4857999999999998</v>
      </c>
      <c r="AZ756" s="43">
        <v>2.2892000000000001</v>
      </c>
      <c r="BA756" s="43"/>
      <c r="BB756" s="43">
        <v>3.3182</v>
      </c>
      <c r="BC756" s="43">
        <v>3.2223000000000002</v>
      </c>
      <c r="BD756" s="43">
        <v>3.8877000000000002</v>
      </c>
      <c r="BE756" s="43"/>
      <c r="BF756" s="43"/>
      <c r="BG756" s="43"/>
      <c r="BH756" s="43">
        <v>1.7970999999999999</v>
      </c>
      <c r="BI756" s="43"/>
      <c r="BJ756" s="43">
        <v>2.7831000000000001</v>
      </c>
      <c r="BK756" s="43">
        <v>8.0000000000000004E-4</v>
      </c>
      <c r="BL756" s="43"/>
      <c r="BM756" s="43"/>
      <c r="BN756" s="43">
        <f t="shared" si="21"/>
        <v>8.0000000000000004E-4</v>
      </c>
      <c r="BO756" s="43">
        <f t="shared" si="22"/>
        <v>2017</v>
      </c>
    </row>
    <row r="757" spans="2:67" x14ac:dyDescent="0.75">
      <c r="B757" s="43" t="s">
        <v>511</v>
      </c>
      <c r="C757" s="43" t="s">
        <v>121</v>
      </c>
      <c r="D757" s="43" t="s">
        <v>758</v>
      </c>
      <c r="E757" s="43" t="s">
        <v>757</v>
      </c>
      <c r="F757" s="43">
        <v>1.2689999999999999</v>
      </c>
      <c r="G757" s="43"/>
      <c r="H757" s="43"/>
      <c r="I757" s="43"/>
      <c r="J757" s="43"/>
      <c r="K757" s="43">
        <v>1.3160000000000001</v>
      </c>
      <c r="L757" s="43"/>
      <c r="M757" s="43"/>
      <c r="N757" s="43"/>
      <c r="O757" s="43"/>
      <c r="P757" s="43">
        <v>1.1850000000000001</v>
      </c>
      <c r="Q757" s="43">
        <v>1.208</v>
      </c>
      <c r="R757" s="43"/>
      <c r="S757" s="43">
        <v>1.242</v>
      </c>
      <c r="T757" s="43"/>
      <c r="U757" s="43">
        <v>1.3180000000000001</v>
      </c>
      <c r="V757" s="43">
        <v>1.3320000000000001</v>
      </c>
      <c r="W757" s="43">
        <v>1.355</v>
      </c>
      <c r="X757" s="43">
        <v>1.377</v>
      </c>
      <c r="Y757" s="43">
        <v>1.413</v>
      </c>
      <c r="Z757" s="43">
        <v>1.476</v>
      </c>
      <c r="AA757" s="43">
        <v>1.5409999999999999</v>
      </c>
      <c r="AB757" s="43">
        <v>1.635</v>
      </c>
      <c r="AC757" s="43">
        <v>1.972</v>
      </c>
      <c r="AD757" s="43">
        <v>1.724</v>
      </c>
      <c r="AE757" s="43">
        <v>1.762</v>
      </c>
      <c r="AF757" s="43">
        <v>1.7829999999999999</v>
      </c>
      <c r="AG757" s="43">
        <v>1.79</v>
      </c>
      <c r="AH757" s="43">
        <v>1.8049999999999999</v>
      </c>
      <c r="AI757" s="43">
        <v>1.8109999999999999</v>
      </c>
      <c r="AJ757" s="43">
        <v>1.802</v>
      </c>
      <c r="AK757" s="43">
        <v>1.8160000000000001</v>
      </c>
      <c r="AL757" s="43">
        <v>1.8660000000000001</v>
      </c>
      <c r="AM757" s="43">
        <v>1.77</v>
      </c>
      <c r="AN757" s="43">
        <v>1.7649999999999999</v>
      </c>
      <c r="AO757" s="43">
        <v>1.768</v>
      </c>
      <c r="AP757" s="43">
        <v>1.81</v>
      </c>
      <c r="AQ757" s="43">
        <v>1.7909999999999999</v>
      </c>
      <c r="AR757" s="43">
        <v>1.8360000000000001</v>
      </c>
      <c r="AS757" s="43">
        <v>1.909</v>
      </c>
      <c r="AT757" s="43">
        <v>1.889</v>
      </c>
      <c r="AU757" s="43">
        <v>1.887</v>
      </c>
      <c r="AV757" s="43">
        <v>1.9718</v>
      </c>
      <c r="AW757" s="43">
        <v>1.905</v>
      </c>
      <c r="AX757" s="43"/>
      <c r="AY757" s="43"/>
      <c r="AZ757" s="43">
        <v>1.917</v>
      </c>
      <c r="BA757" s="43"/>
      <c r="BB757" s="43"/>
      <c r="BC757" s="43"/>
      <c r="BD757" s="43">
        <v>2.4842</v>
      </c>
      <c r="BE757" s="43">
        <v>2.5207000000000002</v>
      </c>
      <c r="BF757" s="43">
        <v>2.5958999999999999</v>
      </c>
      <c r="BG757" s="43">
        <v>2.6324000000000001</v>
      </c>
      <c r="BH757" s="43"/>
      <c r="BI757" s="43"/>
      <c r="BJ757" s="43">
        <v>2.2585999999999999</v>
      </c>
      <c r="BK757" s="43"/>
      <c r="BL757" s="43"/>
      <c r="BM757" s="43"/>
      <c r="BN757" s="43">
        <f t="shared" si="21"/>
        <v>2.2585999999999999</v>
      </c>
      <c r="BO757" s="43">
        <f t="shared" si="22"/>
        <v>2016</v>
      </c>
    </row>
    <row r="758" spans="2:67" x14ac:dyDescent="0.75">
      <c r="B758" s="43" t="s">
        <v>512</v>
      </c>
      <c r="C758" s="43" t="s">
        <v>122</v>
      </c>
      <c r="D758" s="43" t="s">
        <v>758</v>
      </c>
      <c r="E758" s="43" t="s">
        <v>757</v>
      </c>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v>3.871</v>
      </c>
      <c r="AF758" s="43">
        <v>3.9390000000000001</v>
      </c>
      <c r="AG758" s="43">
        <v>4.0039999999999996</v>
      </c>
      <c r="AH758" s="43">
        <v>4.04</v>
      </c>
      <c r="AI758" s="43">
        <v>4.085</v>
      </c>
      <c r="AJ758" s="43">
        <v>4.07</v>
      </c>
      <c r="AK758" s="43">
        <v>4.0460000000000003</v>
      </c>
      <c r="AL758" s="43">
        <v>3.8719999999999999</v>
      </c>
      <c r="AM758" s="43">
        <v>3.972</v>
      </c>
      <c r="AN758" s="43">
        <v>3.835</v>
      </c>
      <c r="AO758" s="43">
        <v>3.859</v>
      </c>
      <c r="AP758" s="43">
        <v>4.0960000000000001</v>
      </c>
      <c r="AQ758" s="43">
        <v>4.1550000000000002</v>
      </c>
      <c r="AR758" s="43">
        <v>4.2089999999999996</v>
      </c>
      <c r="AS758" s="43">
        <v>4.194</v>
      </c>
      <c r="AT758" s="43"/>
      <c r="AU758" s="43">
        <v>4.1719999999999997</v>
      </c>
      <c r="AV758" s="43">
        <v>4</v>
      </c>
      <c r="AW758" s="43">
        <v>4.2519999999999998</v>
      </c>
      <c r="AX758" s="43">
        <v>4</v>
      </c>
      <c r="AY758" s="43">
        <v>4</v>
      </c>
      <c r="AZ758" s="43">
        <v>4.3090000000000002</v>
      </c>
      <c r="BA758" s="43"/>
      <c r="BB758" s="43"/>
      <c r="BC758" s="43"/>
      <c r="BD758" s="43">
        <v>2.3984000000000001</v>
      </c>
      <c r="BE758" s="43">
        <v>4.2426000000000004</v>
      </c>
      <c r="BF758" s="43">
        <v>4.0275999999999996</v>
      </c>
      <c r="BG758" s="43">
        <v>4.0152999999999999</v>
      </c>
      <c r="BH758" s="43">
        <v>4.1531000000000002</v>
      </c>
      <c r="BI758" s="43">
        <v>3.9632000000000001</v>
      </c>
      <c r="BJ758" s="43">
        <v>4.0138999999999996</v>
      </c>
      <c r="BK758" s="43"/>
      <c r="BL758" s="43"/>
      <c r="BM758" s="43"/>
      <c r="BN758" s="43">
        <f t="shared" si="21"/>
        <v>4.0138999999999996</v>
      </c>
      <c r="BO758" s="43">
        <f t="shared" si="22"/>
        <v>2016</v>
      </c>
    </row>
    <row r="759" spans="2:67" x14ac:dyDescent="0.75">
      <c r="B759" s="43" t="s">
        <v>210</v>
      </c>
      <c r="C759" s="43" t="s">
        <v>123</v>
      </c>
      <c r="D759" s="43" t="s">
        <v>758</v>
      </c>
      <c r="E759" s="43" t="s">
        <v>757</v>
      </c>
      <c r="F759" s="43">
        <v>8.0000000000000002E-3</v>
      </c>
      <c r="G759" s="43"/>
      <c r="H759" s="43"/>
      <c r="I759" s="43"/>
      <c r="J759" s="43"/>
      <c r="K759" s="43">
        <v>1.4E-2</v>
      </c>
      <c r="L759" s="43"/>
      <c r="M759" s="43"/>
      <c r="N759" s="43"/>
      <c r="O759" s="43"/>
      <c r="P759" s="43">
        <v>1.7000000000000001E-2</v>
      </c>
      <c r="Q759" s="43"/>
      <c r="R759" s="43"/>
      <c r="S759" s="43"/>
      <c r="T759" s="43"/>
      <c r="U759" s="43">
        <v>1.7000000000000001E-2</v>
      </c>
      <c r="V759" s="43"/>
      <c r="W759" s="43"/>
      <c r="X759" s="43"/>
      <c r="Y759" s="43"/>
      <c r="Z759" s="43">
        <v>3.2000000000000001E-2</v>
      </c>
      <c r="AA759" s="43">
        <v>3.1E-2</v>
      </c>
      <c r="AB759" s="43"/>
      <c r="AC759" s="43">
        <v>2.9000000000000001E-2</v>
      </c>
      <c r="AD759" s="43"/>
      <c r="AE759" s="43">
        <v>2.7E-2</v>
      </c>
      <c r="AF759" s="43"/>
      <c r="AG759" s="43"/>
      <c r="AH759" s="43"/>
      <c r="AI759" s="43">
        <v>0.04</v>
      </c>
      <c r="AJ759" s="43"/>
      <c r="AK759" s="43"/>
      <c r="AL759" s="43"/>
      <c r="AM759" s="43">
        <v>0.04</v>
      </c>
      <c r="AN759" s="43"/>
      <c r="AO759" s="43"/>
      <c r="AP759" s="43"/>
      <c r="AQ759" s="43"/>
      <c r="AR759" s="43"/>
      <c r="AS759" s="43"/>
      <c r="AT759" s="43"/>
      <c r="AU759" s="43"/>
      <c r="AV759" s="43">
        <v>1.9E-2</v>
      </c>
      <c r="AW759" s="43"/>
      <c r="AX759" s="43">
        <v>4.9000000000000002E-2</v>
      </c>
      <c r="AY759" s="43">
        <v>2.4E-2</v>
      </c>
      <c r="AZ759" s="43"/>
      <c r="BA759" s="43"/>
      <c r="BB759" s="43">
        <v>5.1999999999999998E-2</v>
      </c>
      <c r="BC759" s="43">
        <v>5.5E-2</v>
      </c>
      <c r="BD759" s="43">
        <v>5.5E-2</v>
      </c>
      <c r="BE759" s="43"/>
      <c r="BF759" s="43"/>
      <c r="BG759" s="43">
        <v>9.98E-2</v>
      </c>
      <c r="BH759" s="43">
        <v>0.124</v>
      </c>
      <c r="BI759" s="43">
        <v>0.14080000000000001</v>
      </c>
      <c r="BJ759" s="43">
        <v>0.14000000000000001</v>
      </c>
      <c r="BK759" s="43">
        <v>0.1346</v>
      </c>
      <c r="BL759" s="43"/>
      <c r="BM759" s="43"/>
      <c r="BN759" s="43">
        <f t="shared" si="21"/>
        <v>0.1346</v>
      </c>
      <c r="BO759" s="43">
        <f t="shared" si="22"/>
        <v>2017</v>
      </c>
    </row>
    <row r="760" spans="2:67" x14ac:dyDescent="0.75">
      <c r="B760" s="43" t="s">
        <v>524</v>
      </c>
      <c r="C760" s="43" t="s">
        <v>525</v>
      </c>
      <c r="D760" s="43" t="s">
        <v>758</v>
      </c>
      <c r="E760" s="43" t="s">
        <v>757</v>
      </c>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v>1.0082568083419561</v>
      </c>
      <c r="AK760" s="43"/>
      <c r="AL760" s="43"/>
      <c r="AM760" s="43"/>
      <c r="AN760" s="43"/>
      <c r="AO760" s="43"/>
      <c r="AP760" s="43"/>
      <c r="AQ760" s="43"/>
      <c r="AR760" s="43"/>
      <c r="AS760" s="43"/>
      <c r="AT760" s="43">
        <v>0.50056637364761247</v>
      </c>
      <c r="AU760" s="43"/>
      <c r="AV760" s="43"/>
      <c r="AW760" s="43"/>
      <c r="AX760" s="43"/>
      <c r="AY760" s="43"/>
      <c r="AZ760" s="43"/>
      <c r="BA760" s="43"/>
      <c r="BB760" s="43"/>
      <c r="BC760" s="43"/>
      <c r="BD760" s="43"/>
      <c r="BE760" s="43"/>
      <c r="BF760" s="43"/>
      <c r="BG760" s="43"/>
      <c r="BH760" s="43"/>
      <c r="BI760" s="43">
        <v>0.76812752286180397</v>
      </c>
      <c r="BJ760" s="43"/>
      <c r="BK760" s="43"/>
      <c r="BL760" s="43"/>
      <c r="BM760" s="43"/>
      <c r="BN760" s="43">
        <f t="shared" si="21"/>
        <v>0.76812752286180397</v>
      </c>
      <c r="BO760" s="43">
        <f t="shared" si="22"/>
        <v>2015</v>
      </c>
    </row>
    <row r="761" spans="2:67" x14ac:dyDescent="0.75">
      <c r="B761" s="43" t="s">
        <v>514</v>
      </c>
      <c r="C761" s="43" t="s">
        <v>124</v>
      </c>
      <c r="D761" s="43" t="s">
        <v>758</v>
      </c>
      <c r="E761" s="43" t="s">
        <v>757</v>
      </c>
      <c r="F761" s="43">
        <v>6.0999999999999999E-2</v>
      </c>
      <c r="G761" s="43"/>
      <c r="H761" s="43"/>
      <c r="I761" s="43"/>
      <c r="J761" s="43"/>
      <c r="K761" s="43">
        <v>0.106</v>
      </c>
      <c r="L761" s="43"/>
      <c r="M761" s="43"/>
      <c r="N761" s="43"/>
      <c r="O761" s="43"/>
      <c r="P761" s="43">
        <v>0.13400000000000001</v>
      </c>
      <c r="Q761" s="43"/>
      <c r="R761" s="43"/>
      <c r="S761" s="43"/>
      <c r="T761" s="43"/>
      <c r="U761" s="43"/>
      <c r="V761" s="43"/>
      <c r="W761" s="43"/>
      <c r="X761" s="43"/>
      <c r="Y761" s="43"/>
      <c r="Z761" s="43"/>
      <c r="AA761" s="43">
        <v>0.55000000000000004</v>
      </c>
      <c r="AB761" s="43"/>
      <c r="AC761" s="43"/>
      <c r="AD761" s="43"/>
      <c r="AE761" s="43"/>
      <c r="AF761" s="43">
        <v>1.3460000000000001</v>
      </c>
      <c r="AG761" s="43"/>
      <c r="AH761" s="43"/>
      <c r="AI761" s="43"/>
      <c r="AJ761" s="43">
        <v>1.4330000000000001</v>
      </c>
      <c r="AK761" s="43"/>
      <c r="AL761" s="43"/>
      <c r="AM761" s="43">
        <v>1.335</v>
      </c>
      <c r="AN761" s="43"/>
      <c r="AO761" s="43"/>
      <c r="AP761" s="43"/>
      <c r="AQ761" s="43">
        <v>1.66</v>
      </c>
      <c r="AR761" s="43"/>
      <c r="AS761" s="43"/>
      <c r="AT761" s="43">
        <v>0.72</v>
      </c>
      <c r="AU761" s="43">
        <v>0.67889999999999995</v>
      </c>
      <c r="AV761" s="43"/>
      <c r="AW761" s="43"/>
      <c r="AX761" s="43">
        <v>1.37</v>
      </c>
      <c r="AY761" s="43"/>
      <c r="AZ761" s="43"/>
      <c r="BA761" s="43">
        <v>1.6220000000000001</v>
      </c>
      <c r="BB761" s="43">
        <v>2.0583999999999998</v>
      </c>
      <c r="BC761" s="43">
        <v>2.0735999999999999</v>
      </c>
      <c r="BD761" s="43">
        <v>2.407</v>
      </c>
      <c r="BE761" s="43">
        <v>2.4632999999999998</v>
      </c>
      <c r="BF761" s="43">
        <v>2.4588000000000001</v>
      </c>
      <c r="BG761" s="43"/>
      <c r="BH761" s="43">
        <v>2.577</v>
      </c>
      <c r="BI761" s="43"/>
      <c r="BJ761" s="43">
        <v>2.39</v>
      </c>
      <c r="BK761" s="43"/>
      <c r="BL761" s="43"/>
      <c r="BM761" s="43"/>
      <c r="BN761" s="43">
        <f t="shared" si="21"/>
        <v>2.39</v>
      </c>
      <c r="BO761" s="43">
        <f t="shared" si="22"/>
        <v>2016</v>
      </c>
    </row>
    <row r="762" spans="2:67" x14ac:dyDescent="0.75">
      <c r="B762" s="43" t="s">
        <v>233</v>
      </c>
      <c r="C762" s="43" t="s">
        <v>125</v>
      </c>
      <c r="D762" s="43" t="s">
        <v>758</v>
      </c>
      <c r="E762" s="43" t="s">
        <v>757</v>
      </c>
      <c r="F762" s="43">
        <v>0.03</v>
      </c>
      <c r="G762" s="43"/>
      <c r="H762" s="43"/>
      <c r="I762" s="43"/>
      <c r="J762" s="43"/>
      <c r="K762" s="43">
        <v>4.1000000000000002E-2</v>
      </c>
      <c r="L762" s="43"/>
      <c r="M762" s="43"/>
      <c r="N762" s="43"/>
      <c r="O762" s="43"/>
      <c r="P762" s="43">
        <v>6.8000000000000005E-2</v>
      </c>
      <c r="Q762" s="43"/>
      <c r="R762" s="43"/>
      <c r="S762" s="43"/>
      <c r="T762" s="43"/>
      <c r="U762" s="43">
        <v>6.8000000000000005E-2</v>
      </c>
      <c r="V762" s="43"/>
      <c r="W762" s="43"/>
      <c r="X762" s="43"/>
      <c r="Y762" s="43"/>
      <c r="Z762" s="43">
        <v>0.11</v>
      </c>
      <c r="AA762" s="43">
        <v>0.10100000000000001</v>
      </c>
      <c r="AB762" s="43"/>
      <c r="AC762" s="43"/>
      <c r="AD762" s="43">
        <v>9.6000000000000002E-2</v>
      </c>
      <c r="AE762" s="43"/>
      <c r="AF762" s="43">
        <v>0.09</v>
      </c>
      <c r="AG762" s="43"/>
      <c r="AH762" s="43"/>
      <c r="AI762" s="43"/>
      <c r="AJ762" s="43"/>
      <c r="AK762" s="43"/>
      <c r="AL762" s="43"/>
      <c r="AM762" s="43"/>
      <c r="AN762" s="43">
        <v>0.105</v>
      </c>
      <c r="AO762" s="43"/>
      <c r="AP762" s="43">
        <v>0.09</v>
      </c>
      <c r="AQ762" s="43"/>
      <c r="AR762" s="43"/>
      <c r="AS762" s="43"/>
      <c r="AT762" s="43">
        <v>0.158</v>
      </c>
      <c r="AU762" s="43"/>
      <c r="AV762" s="43"/>
      <c r="AW762" s="43"/>
      <c r="AX762" s="43">
        <v>0.25019999999999998</v>
      </c>
      <c r="AY762" s="43"/>
      <c r="AZ762" s="43">
        <v>0.35060000000000002</v>
      </c>
      <c r="BA762" s="43">
        <v>0.35120000000000001</v>
      </c>
      <c r="BB762" s="43">
        <v>0.3281</v>
      </c>
      <c r="BC762" s="43"/>
      <c r="BD762" s="43">
        <v>0.28000000000000003</v>
      </c>
      <c r="BE762" s="43"/>
      <c r="BF762" s="43"/>
      <c r="BG762" s="43"/>
      <c r="BH762" s="43"/>
      <c r="BI762" s="43">
        <v>0.41</v>
      </c>
      <c r="BJ762" s="43"/>
      <c r="BK762" s="43"/>
      <c r="BL762" s="43"/>
      <c r="BM762" s="43"/>
      <c r="BN762" s="43">
        <f t="shared" si="21"/>
        <v>0.41</v>
      </c>
      <c r="BO762" s="43">
        <f t="shared" si="22"/>
        <v>2015</v>
      </c>
    </row>
    <row r="763" spans="2:67" x14ac:dyDescent="0.75">
      <c r="B763" s="43" t="s">
        <v>212</v>
      </c>
      <c r="C763" s="43" t="s">
        <v>126</v>
      </c>
      <c r="D763" s="43" t="s">
        <v>758</v>
      </c>
      <c r="E763" s="43" t="s">
        <v>757</v>
      </c>
      <c r="F763" s="43">
        <v>4.3999999999999997E-2</v>
      </c>
      <c r="G763" s="43"/>
      <c r="H763" s="43"/>
      <c r="I763" s="43"/>
      <c r="J763" s="43"/>
      <c r="K763" s="43">
        <v>5.0999999999999997E-2</v>
      </c>
      <c r="L763" s="43"/>
      <c r="M763" s="43"/>
      <c r="N763" s="43"/>
      <c r="O763" s="43"/>
      <c r="P763" s="43">
        <v>6.3E-2</v>
      </c>
      <c r="Q763" s="43"/>
      <c r="R763" s="43"/>
      <c r="S763" s="43"/>
      <c r="T763" s="43"/>
      <c r="U763" s="43">
        <v>6.0999999999999999E-2</v>
      </c>
      <c r="V763" s="43"/>
      <c r="W763" s="43"/>
      <c r="X763" s="43"/>
      <c r="Y763" s="43"/>
      <c r="Z763" s="43"/>
      <c r="AA763" s="43">
        <v>7.9000000000000001E-2</v>
      </c>
      <c r="AB763" s="43">
        <v>7.6999999999999999E-2</v>
      </c>
      <c r="AC763" s="43"/>
      <c r="AD763" s="43"/>
      <c r="AE763" s="43"/>
      <c r="AF763" s="43"/>
      <c r="AG763" s="43"/>
      <c r="AH763" s="43"/>
      <c r="AI763" s="43"/>
      <c r="AJ763" s="43">
        <v>5.5E-2</v>
      </c>
      <c r="AK763" s="43"/>
      <c r="AL763" s="43">
        <v>6.8000000000000005E-2</v>
      </c>
      <c r="AM763" s="43"/>
      <c r="AN763" s="43">
        <v>9.6000000000000002E-2</v>
      </c>
      <c r="AO763" s="43">
        <v>7.4999999999999997E-2</v>
      </c>
      <c r="AP763" s="43">
        <v>9.2999999999999999E-2</v>
      </c>
      <c r="AQ763" s="43">
        <v>9.2999999999999999E-2</v>
      </c>
      <c r="AR763" s="43">
        <v>9.5000000000000001E-2</v>
      </c>
      <c r="AS763" s="43"/>
      <c r="AT763" s="43"/>
      <c r="AU763" s="43"/>
      <c r="AV763" s="43"/>
      <c r="AW763" s="43"/>
      <c r="AX763" s="43">
        <v>5.4199999999999998E-2</v>
      </c>
      <c r="AY763" s="43"/>
      <c r="AZ763" s="43"/>
      <c r="BA763" s="43"/>
      <c r="BB763" s="43">
        <v>6.0699999999999997E-2</v>
      </c>
      <c r="BC763" s="43"/>
      <c r="BD763" s="43">
        <v>5.8999999999999997E-2</v>
      </c>
      <c r="BE763" s="43"/>
      <c r="BF763" s="43"/>
      <c r="BG763" s="43">
        <v>0.31030000000000002</v>
      </c>
      <c r="BH763" s="43"/>
      <c r="BI763" s="43">
        <v>0.20180000000000001</v>
      </c>
      <c r="BJ763" s="43">
        <v>6.9199999999999998E-2</v>
      </c>
      <c r="BK763" s="43"/>
      <c r="BL763" s="43"/>
      <c r="BM763" s="43"/>
      <c r="BN763" s="43">
        <f t="shared" si="21"/>
        <v>6.9199999999999998E-2</v>
      </c>
      <c r="BO763" s="43">
        <f t="shared" si="22"/>
        <v>2016</v>
      </c>
    </row>
    <row r="764" spans="2:67" x14ac:dyDescent="0.75">
      <c r="B764" s="43" t="s">
        <v>516</v>
      </c>
      <c r="C764" s="43" t="s">
        <v>127</v>
      </c>
      <c r="D764" s="43" t="s">
        <v>758</v>
      </c>
      <c r="E764" s="43" t="s">
        <v>757</v>
      </c>
      <c r="F764" s="43">
        <v>0.42</v>
      </c>
      <c r="G764" s="43"/>
      <c r="H764" s="43"/>
      <c r="I764" s="43"/>
      <c r="J764" s="43"/>
      <c r="K764" s="43">
        <v>0.52600000000000002</v>
      </c>
      <c r="L764" s="43"/>
      <c r="M764" s="43"/>
      <c r="N764" s="43"/>
      <c r="O764" s="43"/>
      <c r="P764" s="43">
        <v>0.65700000000000003</v>
      </c>
      <c r="Q764" s="43"/>
      <c r="R764" s="43"/>
      <c r="S764" s="43"/>
      <c r="T764" s="43"/>
      <c r="U764" s="43">
        <v>0.66700000000000004</v>
      </c>
      <c r="V764" s="43"/>
      <c r="W764" s="43"/>
      <c r="X764" s="43"/>
      <c r="Y764" s="43"/>
      <c r="Z764" s="43">
        <v>0.85099999999999998</v>
      </c>
      <c r="AA764" s="43">
        <v>0.877</v>
      </c>
      <c r="AB764" s="43"/>
      <c r="AC764" s="43"/>
      <c r="AD764" s="43"/>
      <c r="AE764" s="43">
        <v>0.998</v>
      </c>
      <c r="AF764" s="43">
        <v>0.72299999999999998</v>
      </c>
      <c r="AG764" s="43"/>
      <c r="AH764" s="43">
        <v>1.111</v>
      </c>
      <c r="AI764" s="43"/>
      <c r="AJ764" s="43">
        <v>1.266</v>
      </c>
      <c r="AK764" s="43">
        <v>1.32</v>
      </c>
      <c r="AL764" s="43">
        <v>1.3480000000000001</v>
      </c>
      <c r="AM764" s="43">
        <v>1.385</v>
      </c>
      <c r="AN764" s="43">
        <v>1.411</v>
      </c>
      <c r="AO764" s="43"/>
      <c r="AP764" s="43"/>
      <c r="AQ764" s="43"/>
      <c r="AR764" s="43">
        <v>1.627</v>
      </c>
      <c r="AS764" s="43">
        <v>1.3945000000000001</v>
      </c>
      <c r="AT764" s="43"/>
      <c r="AU764" s="43">
        <v>1.43</v>
      </c>
      <c r="AV764" s="43"/>
      <c r="AW764" s="43">
        <v>1.5014000000000001</v>
      </c>
      <c r="AX764" s="43">
        <v>1.4856</v>
      </c>
      <c r="AY764" s="43">
        <v>1.5025999999999999</v>
      </c>
      <c r="AZ764" s="43">
        <v>1.5028999999999999</v>
      </c>
      <c r="BA764" s="43">
        <v>1.5603</v>
      </c>
      <c r="BB764" s="43">
        <v>1.6163000000000001</v>
      </c>
      <c r="BC764" s="43">
        <v>1.6761999999999999</v>
      </c>
      <c r="BD764" s="43">
        <v>1.738</v>
      </c>
      <c r="BE764" s="43">
        <v>1.7523</v>
      </c>
      <c r="BF764" s="43">
        <v>1.83</v>
      </c>
      <c r="BG764" s="43">
        <v>1.9286000000000001</v>
      </c>
      <c r="BH764" s="43">
        <v>2.0409999999999999</v>
      </c>
      <c r="BI764" s="43"/>
      <c r="BJ764" s="43">
        <v>2.3062999999999998</v>
      </c>
      <c r="BK764" s="43"/>
      <c r="BL764" s="43"/>
      <c r="BM764" s="43"/>
      <c r="BN764" s="43">
        <f t="shared" si="21"/>
        <v>2.3062999999999998</v>
      </c>
      <c r="BO764" s="43">
        <f t="shared" si="22"/>
        <v>2016</v>
      </c>
    </row>
    <row r="765" spans="2:67" x14ac:dyDescent="0.75">
      <c r="B765" s="43" t="s">
        <v>255</v>
      </c>
      <c r="C765" s="43" t="s">
        <v>128</v>
      </c>
      <c r="D765" s="43" t="s">
        <v>758</v>
      </c>
      <c r="E765" s="43" t="s">
        <v>757</v>
      </c>
      <c r="F765" s="43">
        <v>0.186</v>
      </c>
      <c r="G765" s="43"/>
      <c r="H765" s="43"/>
      <c r="I765" s="43"/>
      <c r="J765" s="43"/>
      <c r="K765" s="43"/>
      <c r="L765" s="43"/>
      <c r="M765" s="43"/>
      <c r="N765" s="43"/>
      <c r="O765" s="43"/>
      <c r="P765" s="43">
        <v>0.20499999999999999</v>
      </c>
      <c r="Q765" s="43"/>
      <c r="R765" s="43"/>
      <c r="S765" s="43"/>
      <c r="T765" s="43"/>
      <c r="U765" s="43"/>
      <c r="V765" s="43"/>
      <c r="W765" s="43"/>
      <c r="X765" s="43"/>
      <c r="Y765" s="43"/>
      <c r="Z765" s="43"/>
      <c r="AA765" s="43"/>
      <c r="AB765" s="43"/>
      <c r="AC765" s="43"/>
      <c r="AD765" s="43"/>
      <c r="AE765" s="43"/>
      <c r="AF765" s="43">
        <v>0.13500000000000001</v>
      </c>
      <c r="AG765" s="43"/>
      <c r="AH765" s="43"/>
      <c r="AI765" s="43">
        <v>0.152</v>
      </c>
      <c r="AJ765" s="43"/>
      <c r="AK765" s="43"/>
      <c r="AL765" s="43">
        <v>0.157</v>
      </c>
      <c r="AM765" s="43"/>
      <c r="AN765" s="43"/>
      <c r="AO765" s="43">
        <v>0.14000000000000001</v>
      </c>
      <c r="AP765" s="43"/>
      <c r="AQ765" s="43"/>
      <c r="AR765" s="43"/>
      <c r="AS765" s="43">
        <v>0.13450000000000001</v>
      </c>
      <c r="AT765" s="43"/>
      <c r="AU765" s="43"/>
      <c r="AV765" s="43"/>
      <c r="AW765" s="43">
        <v>0.1343</v>
      </c>
      <c r="AX765" s="43"/>
      <c r="AY765" s="43">
        <v>0.18940000000000001</v>
      </c>
      <c r="AZ765" s="43"/>
      <c r="BA765" s="43"/>
      <c r="BB765" s="43">
        <v>0.1764</v>
      </c>
      <c r="BC765" s="43"/>
      <c r="BD765" s="43">
        <v>0.224</v>
      </c>
      <c r="BE765" s="43">
        <v>0.20200000000000001</v>
      </c>
      <c r="BF765" s="43">
        <v>0.15590000000000001</v>
      </c>
      <c r="BG765" s="43">
        <v>0.18990000000000001</v>
      </c>
      <c r="BH765" s="43"/>
      <c r="BI765" s="43"/>
      <c r="BJ765" s="43">
        <v>0.19989999999999999</v>
      </c>
      <c r="BK765" s="43"/>
      <c r="BL765" s="43"/>
      <c r="BM765" s="43"/>
      <c r="BN765" s="43">
        <f t="shared" si="21"/>
        <v>0.19989999999999999</v>
      </c>
      <c r="BO765" s="43">
        <f t="shared" si="22"/>
        <v>2016</v>
      </c>
    </row>
    <row r="766" spans="2:67" x14ac:dyDescent="0.75">
      <c r="B766" s="43" t="s">
        <v>214</v>
      </c>
      <c r="C766" s="43" t="s">
        <v>129</v>
      </c>
      <c r="D766" s="43" t="s">
        <v>758</v>
      </c>
      <c r="E766" s="43" t="s">
        <v>757</v>
      </c>
      <c r="F766" s="43">
        <v>4.7E-2</v>
      </c>
      <c r="G766" s="43"/>
      <c r="H766" s="43"/>
      <c r="I766" s="43"/>
      <c r="J766" s="43"/>
      <c r="K766" s="43">
        <v>5.8999999999999997E-2</v>
      </c>
      <c r="L766" s="43"/>
      <c r="M766" s="43"/>
      <c r="N766" s="43"/>
      <c r="O766" s="43"/>
      <c r="P766" s="43">
        <v>5.6000000000000001E-2</v>
      </c>
      <c r="Q766" s="43"/>
      <c r="R766" s="43"/>
      <c r="S766" s="43"/>
      <c r="T766" s="43"/>
      <c r="U766" s="43">
        <v>5.3999999999999999E-2</v>
      </c>
      <c r="V766" s="43"/>
      <c r="W766" s="43"/>
      <c r="X766" s="43"/>
      <c r="Y766" s="43"/>
      <c r="Z766" s="43">
        <v>5.8000000000000003E-2</v>
      </c>
      <c r="AA766" s="43">
        <v>5.2999999999999999E-2</v>
      </c>
      <c r="AB766" s="43"/>
      <c r="AC766" s="43"/>
      <c r="AD766" s="43">
        <v>7.4999999999999997E-2</v>
      </c>
      <c r="AE766" s="43"/>
      <c r="AF766" s="43"/>
      <c r="AG766" s="43"/>
      <c r="AH766" s="43"/>
      <c r="AI766" s="43"/>
      <c r="AJ766" s="43"/>
      <c r="AK766" s="43"/>
      <c r="AL766" s="43"/>
      <c r="AM766" s="43"/>
      <c r="AN766" s="43"/>
      <c r="AO766" s="43"/>
      <c r="AP766" s="43">
        <v>7.2999999999999995E-2</v>
      </c>
      <c r="AQ766" s="43"/>
      <c r="AR766" s="43"/>
      <c r="AS766" s="43"/>
      <c r="AT766" s="43"/>
      <c r="AU766" s="43"/>
      <c r="AV766" s="43"/>
      <c r="AW766" s="43"/>
      <c r="AX766" s="43">
        <v>3.09E-2</v>
      </c>
      <c r="AY766" s="43"/>
      <c r="AZ766" s="43"/>
      <c r="BA766" s="43"/>
      <c r="BB766" s="43">
        <v>1.54E-2</v>
      </c>
      <c r="BC766" s="43"/>
      <c r="BD766" s="43">
        <v>2.1100000000000001E-2</v>
      </c>
      <c r="BE766" s="43">
        <v>2.5000000000000001E-2</v>
      </c>
      <c r="BF766" s="43"/>
      <c r="BG766" s="43"/>
      <c r="BH766" s="43"/>
      <c r="BI766" s="43"/>
      <c r="BJ766" s="43"/>
      <c r="BK766" s="43"/>
      <c r="BL766" s="43"/>
      <c r="BM766" s="43"/>
      <c r="BN766" s="43">
        <f t="shared" si="21"/>
        <v>2.5000000000000001E-2</v>
      </c>
      <c r="BO766" s="43">
        <f t="shared" si="22"/>
        <v>2011</v>
      </c>
    </row>
    <row r="767" spans="2:67" x14ac:dyDescent="0.75">
      <c r="B767" s="43" t="s">
        <v>222</v>
      </c>
      <c r="C767" s="43" t="s">
        <v>164</v>
      </c>
      <c r="D767" s="43" t="s">
        <v>758</v>
      </c>
      <c r="E767" s="43" t="s">
        <v>757</v>
      </c>
      <c r="F767" s="43">
        <v>0.187</v>
      </c>
      <c r="G767" s="43"/>
      <c r="H767" s="43"/>
      <c r="I767" s="43"/>
      <c r="J767" s="43"/>
      <c r="K767" s="43"/>
      <c r="L767" s="43"/>
      <c r="M767" s="43"/>
      <c r="N767" s="43"/>
      <c r="O767" s="43"/>
      <c r="P767" s="43">
        <v>0.24299999999999999</v>
      </c>
      <c r="Q767" s="43"/>
      <c r="R767" s="43"/>
      <c r="S767" s="43"/>
      <c r="T767" s="43"/>
      <c r="U767" s="43">
        <v>0.24199999999999999</v>
      </c>
      <c r="V767" s="43"/>
      <c r="W767" s="43"/>
      <c r="X767" s="43"/>
      <c r="Y767" s="43"/>
      <c r="Z767" s="43">
        <v>0.32600000000000001</v>
      </c>
      <c r="AA767" s="43">
        <v>0.38700000000000001</v>
      </c>
      <c r="AB767" s="43"/>
      <c r="AC767" s="43"/>
      <c r="AD767" s="43">
        <v>0.35199999999999998</v>
      </c>
      <c r="AE767" s="43"/>
      <c r="AF767" s="43"/>
      <c r="AG767" s="43"/>
      <c r="AH767" s="43">
        <v>0.64700000000000002</v>
      </c>
      <c r="AI767" s="43"/>
      <c r="AJ767" s="43">
        <v>0.84</v>
      </c>
      <c r="AK767" s="43"/>
      <c r="AL767" s="43"/>
      <c r="AM767" s="43">
        <v>0.66</v>
      </c>
      <c r="AN767" s="43"/>
      <c r="AO767" s="43">
        <v>0.91</v>
      </c>
      <c r="AP767" s="43"/>
      <c r="AQ767" s="43">
        <v>1.071</v>
      </c>
      <c r="AR767" s="43"/>
      <c r="AS767" s="43">
        <v>1.2477</v>
      </c>
      <c r="AT767" s="43">
        <v>1.2110000000000001</v>
      </c>
      <c r="AU767" s="43"/>
      <c r="AV767" s="43">
        <v>1.3363</v>
      </c>
      <c r="AW767" s="43"/>
      <c r="AX767" s="43"/>
      <c r="AY767" s="43">
        <v>1.7175</v>
      </c>
      <c r="AZ767" s="43">
        <v>1.5</v>
      </c>
      <c r="BA767" s="43"/>
      <c r="BB767" s="43">
        <v>1.8889</v>
      </c>
      <c r="BC767" s="43"/>
      <c r="BD767" s="43">
        <v>1.5960000000000001</v>
      </c>
      <c r="BE767" s="43"/>
      <c r="BF767" s="43"/>
      <c r="BG767" s="43"/>
      <c r="BH767" s="43"/>
      <c r="BI767" s="43"/>
      <c r="BJ767" s="43">
        <v>1.569</v>
      </c>
      <c r="BK767" s="43"/>
      <c r="BL767" s="43"/>
      <c r="BM767" s="43"/>
      <c r="BN767" s="43">
        <f t="shared" si="21"/>
        <v>1.569</v>
      </c>
      <c r="BO767" s="43">
        <f t="shared" si="22"/>
        <v>2016</v>
      </c>
    </row>
    <row r="768" spans="2:67" x14ac:dyDescent="0.75">
      <c r="B768" s="43" t="s">
        <v>513</v>
      </c>
      <c r="C768" s="43" t="s">
        <v>130</v>
      </c>
      <c r="D768" s="43" t="s">
        <v>758</v>
      </c>
      <c r="E768" s="43" t="s">
        <v>757</v>
      </c>
      <c r="F768" s="43"/>
      <c r="G768" s="43"/>
      <c r="H768" s="43"/>
      <c r="I768" s="43"/>
      <c r="J768" s="43"/>
      <c r="K768" s="43"/>
      <c r="L768" s="43"/>
      <c r="M768" s="43"/>
      <c r="N768" s="43"/>
      <c r="O768" s="43"/>
      <c r="P768" s="43"/>
      <c r="Q768" s="43"/>
      <c r="R768" s="43"/>
      <c r="S768" s="43"/>
      <c r="T768" s="43"/>
      <c r="U768" s="43"/>
      <c r="V768" s="43"/>
      <c r="W768" s="43"/>
      <c r="X768" s="43"/>
      <c r="Y768" s="43"/>
      <c r="Z768" s="43">
        <v>2.06</v>
      </c>
      <c r="AA768" s="43">
        <v>2.218</v>
      </c>
      <c r="AB768" s="43">
        <v>2.181</v>
      </c>
      <c r="AC768" s="43">
        <v>2.2469999999999999</v>
      </c>
      <c r="AD768" s="43">
        <v>2.1659999999999999</v>
      </c>
      <c r="AE768" s="43">
        <v>2.2869999999999999</v>
      </c>
      <c r="AF768" s="43">
        <v>2.399</v>
      </c>
      <c r="AG768" s="43">
        <v>2.5190000000000001</v>
      </c>
      <c r="AH768" s="43">
        <v>2.5379999999999998</v>
      </c>
      <c r="AI768" s="43">
        <v>2.423</v>
      </c>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v>4.9206000000000003</v>
      </c>
      <c r="BF768" s="43">
        <v>5.1410999999999998</v>
      </c>
      <c r="BG768" s="43">
        <v>5.0773999999999999</v>
      </c>
      <c r="BH768" s="43">
        <v>6.1467999999999998</v>
      </c>
      <c r="BI768" s="43"/>
      <c r="BJ768" s="43"/>
      <c r="BK768" s="43"/>
      <c r="BL768" s="43"/>
      <c r="BM768" s="43"/>
      <c r="BN768" s="43">
        <f t="shared" si="21"/>
        <v>6.1467999999999998</v>
      </c>
      <c r="BO768" s="43">
        <f t="shared" si="22"/>
        <v>2014</v>
      </c>
    </row>
    <row r="769" spans="2:67" x14ac:dyDescent="0.75">
      <c r="B769" s="43" t="s">
        <v>232</v>
      </c>
      <c r="C769" s="43" t="s">
        <v>171</v>
      </c>
      <c r="D769" s="43" t="s">
        <v>758</v>
      </c>
      <c r="E769" s="43" t="s">
        <v>757</v>
      </c>
      <c r="F769" s="43">
        <v>2.4E-2</v>
      </c>
      <c r="G769" s="43"/>
      <c r="H769" s="43"/>
      <c r="I769" s="43"/>
      <c r="J769" s="43"/>
      <c r="K769" s="43">
        <v>2.7E-2</v>
      </c>
      <c r="L769" s="43"/>
      <c r="M769" s="43"/>
      <c r="N769" s="43"/>
      <c r="O769" s="43"/>
      <c r="P769" s="43">
        <v>3.6999999999999998E-2</v>
      </c>
      <c r="Q769" s="43"/>
      <c r="R769" s="43"/>
      <c r="S769" s="43"/>
      <c r="T769" s="43"/>
      <c r="U769" s="43">
        <v>3.7999999999999999E-2</v>
      </c>
      <c r="V769" s="43"/>
      <c r="W769" s="43"/>
      <c r="X769" s="43"/>
      <c r="Y769" s="43"/>
      <c r="Z769" s="43">
        <v>4.5999999999999999E-2</v>
      </c>
      <c r="AA769" s="43">
        <v>4.1000000000000002E-2</v>
      </c>
      <c r="AB769" s="43"/>
      <c r="AC769" s="43"/>
      <c r="AD769" s="43">
        <v>7.0999999999999994E-2</v>
      </c>
      <c r="AE769" s="43"/>
      <c r="AF769" s="43"/>
      <c r="AG769" s="43"/>
      <c r="AH769" s="43"/>
      <c r="AI769" s="43"/>
      <c r="AJ769" s="43"/>
      <c r="AK769" s="43"/>
      <c r="AL769" s="43"/>
      <c r="AM769" s="43">
        <v>4.2000000000000003E-2</v>
      </c>
      <c r="AN769" s="43"/>
      <c r="AO769" s="43"/>
      <c r="AP769" s="43"/>
      <c r="AQ769" s="43">
        <v>0.04</v>
      </c>
      <c r="AR769" s="43"/>
      <c r="AS769" s="43"/>
      <c r="AT769" s="43"/>
      <c r="AU769" s="43"/>
      <c r="AV769" s="43"/>
      <c r="AW769" s="43"/>
      <c r="AX769" s="43"/>
      <c r="AY769" s="43"/>
      <c r="AZ769" s="43">
        <v>2.8000000000000001E-2</v>
      </c>
      <c r="BA769" s="43"/>
      <c r="BB769" s="43"/>
      <c r="BC769" s="43"/>
      <c r="BD769" s="43">
        <v>3.5000000000000003E-2</v>
      </c>
      <c r="BE769" s="43"/>
      <c r="BF769" s="43"/>
      <c r="BG769" s="43"/>
      <c r="BH769" s="43">
        <v>2.29E-2</v>
      </c>
      <c r="BI769" s="43"/>
      <c r="BJ769" s="43"/>
      <c r="BK769" s="43"/>
      <c r="BL769" s="43"/>
      <c r="BM769" s="43"/>
      <c r="BN769" s="43">
        <f t="shared" si="21"/>
        <v>2.29E-2</v>
      </c>
      <c r="BO769" s="43">
        <f t="shared" si="22"/>
        <v>2014</v>
      </c>
    </row>
    <row r="770" spans="2:67" x14ac:dyDescent="0.75">
      <c r="B770" s="43" t="s">
        <v>515</v>
      </c>
      <c r="C770" s="43" t="s">
        <v>131</v>
      </c>
      <c r="D770" s="43" t="s">
        <v>758</v>
      </c>
      <c r="E770" s="43" t="s">
        <v>757</v>
      </c>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v>1.99</v>
      </c>
      <c r="BA770" s="43">
        <v>2.0350000000000001</v>
      </c>
      <c r="BB770" s="43"/>
      <c r="BC770" s="43">
        <v>2.2974000000000001</v>
      </c>
      <c r="BD770" s="43">
        <v>2.4714</v>
      </c>
      <c r="BE770" s="43">
        <v>2.492</v>
      </c>
      <c r="BF770" s="43">
        <v>2.4912999999999998</v>
      </c>
      <c r="BG770" s="43">
        <v>2.4941</v>
      </c>
      <c r="BH770" s="43">
        <v>2.4649000000000001</v>
      </c>
      <c r="BI770" s="43"/>
      <c r="BJ770" s="43">
        <v>3.125</v>
      </c>
      <c r="BK770" s="43"/>
      <c r="BL770" s="43"/>
      <c r="BM770" s="43"/>
      <c r="BN770" s="43">
        <f t="shared" si="21"/>
        <v>3.125</v>
      </c>
      <c r="BO770" s="43">
        <f t="shared" si="22"/>
        <v>2016</v>
      </c>
    </row>
    <row r="771" spans="2:67" x14ac:dyDescent="0.75">
      <c r="B771" s="43" t="s">
        <v>540</v>
      </c>
      <c r="C771" s="43" t="s">
        <v>541</v>
      </c>
      <c r="D771" s="43" t="s">
        <v>758</v>
      </c>
      <c r="E771" s="43" t="s">
        <v>757</v>
      </c>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v>0.13676665371665406</v>
      </c>
      <c r="AK771" s="43"/>
      <c r="AL771" s="43"/>
      <c r="AM771" s="43"/>
      <c r="AN771" s="43"/>
      <c r="AO771" s="43"/>
      <c r="AP771" s="43"/>
      <c r="AQ771" s="43"/>
      <c r="AR771" s="43"/>
      <c r="AS771" s="43"/>
      <c r="AT771" s="43">
        <v>0.12275672687922147</v>
      </c>
      <c r="AU771" s="43"/>
      <c r="AV771" s="43"/>
      <c r="AW771" s="43"/>
      <c r="AX771" s="43"/>
      <c r="AY771" s="43"/>
      <c r="AZ771" s="43"/>
      <c r="BA771" s="43"/>
      <c r="BB771" s="43"/>
      <c r="BC771" s="43"/>
      <c r="BD771" s="43"/>
      <c r="BE771" s="43"/>
      <c r="BF771" s="43"/>
      <c r="BG771" s="43"/>
      <c r="BH771" s="43"/>
      <c r="BI771" s="43">
        <v>0.2195762670475227</v>
      </c>
      <c r="BJ771" s="43"/>
      <c r="BK771" s="43"/>
      <c r="BL771" s="43"/>
      <c r="BM771" s="43"/>
      <c r="BN771" s="43">
        <f t="shared" si="21"/>
        <v>0.2195762670475227</v>
      </c>
      <c r="BO771" s="43">
        <f t="shared" si="22"/>
        <v>2015</v>
      </c>
    </row>
    <row r="772" spans="2:67" x14ac:dyDescent="0.75">
      <c r="B772" s="43" t="s">
        <v>528</v>
      </c>
      <c r="C772" s="43" t="s">
        <v>529</v>
      </c>
      <c r="D772" s="43" t="s">
        <v>758</v>
      </c>
      <c r="E772" s="43" t="s">
        <v>757</v>
      </c>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t="str">
        <f t="shared" si="21"/>
        <v>No reported value</v>
      </c>
      <c r="BO772" s="43" t="str">
        <f t="shared" si="22"/>
        <v>No reported value</v>
      </c>
    </row>
    <row r="773" spans="2:67" x14ac:dyDescent="0.75">
      <c r="B773" s="43" t="s">
        <v>538</v>
      </c>
      <c r="C773" s="43" t="s">
        <v>539</v>
      </c>
      <c r="D773" s="43" t="s">
        <v>758</v>
      </c>
      <c r="E773" s="43" t="s">
        <v>757</v>
      </c>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v>0.136766653716654</v>
      </c>
      <c r="AK773" s="43"/>
      <c r="AL773" s="43"/>
      <c r="AM773" s="43"/>
      <c r="AN773" s="43"/>
      <c r="AO773" s="43"/>
      <c r="AP773" s="43"/>
      <c r="AQ773" s="43"/>
      <c r="AR773" s="43"/>
      <c r="AS773" s="43"/>
      <c r="AT773" s="43">
        <v>0.12275672687922148</v>
      </c>
      <c r="AU773" s="43"/>
      <c r="AV773" s="43"/>
      <c r="AW773" s="43"/>
      <c r="AX773" s="43"/>
      <c r="AY773" s="43"/>
      <c r="AZ773" s="43"/>
      <c r="BA773" s="43"/>
      <c r="BB773" s="43"/>
      <c r="BC773" s="43"/>
      <c r="BD773" s="43"/>
      <c r="BE773" s="43"/>
      <c r="BF773" s="43"/>
      <c r="BG773" s="43"/>
      <c r="BH773" s="43"/>
      <c r="BI773" s="43">
        <v>0.2196453959396874</v>
      </c>
      <c r="BJ773" s="43"/>
      <c r="BK773" s="43"/>
      <c r="BL773" s="43"/>
      <c r="BM773" s="43"/>
      <c r="BN773" s="43">
        <f t="shared" si="21"/>
        <v>0.2196453959396874</v>
      </c>
      <c r="BO773" s="43">
        <f t="shared" si="22"/>
        <v>2015</v>
      </c>
    </row>
    <row r="774" spans="2:67" x14ac:dyDescent="0.75">
      <c r="B774" s="43" t="s">
        <v>522</v>
      </c>
      <c r="C774" s="43" t="s">
        <v>523</v>
      </c>
      <c r="D774" s="43" t="s">
        <v>758</v>
      </c>
      <c r="E774" s="43" t="s">
        <v>757</v>
      </c>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v>0.75497918763941696</v>
      </c>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v>0.89873717540380282</v>
      </c>
      <c r="BJ774" s="43"/>
      <c r="BK774" s="43"/>
      <c r="BL774" s="43"/>
      <c r="BM774" s="43"/>
      <c r="BN774" s="43">
        <f t="shared" si="21"/>
        <v>0.89873717540380282</v>
      </c>
      <c r="BO774" s="43">
        <f t="shared" si="22"/>
        <v>2015</v>
      </c>
    </row>
    <row r="775" spans="2:67" x14ac:dyDescent="0.75">
      <c r="B775" s="43" t="s">
        <v>211</v>
      </c>
      <c r="C775" s="43" t="s">
        <v>175</v>
      </c>
      <c r="D775" s="43" t="s">
        <v>758</v>
      </c>
      <c r="E775" s="43" t="s">
        <v>757</v>
      </c>
      <c r="F775" s="43">
        <v>0.3</v>
      </c>
      <c r="G775" s="43"/>
      <c r="H775" s="43"/>
      <c r="I775" s="43"/>
      <c r="J775" s="43"/>
      <c r="K775" s="43"/>
      <c r="L775" s="43"/>
      <c r="M775" s="43"/>
      <c r="N775" s="43"/>
      <c r="O775" s="43"/>
      <c r="P775" s="43">
        <v>0.23300000000000001</v>
      </c>
      <c r="Q775" s="43"/>
      <c r="R775" s="43"/>
      <c r="S775" s="43"/>
      <c r="T775" s="43"/>
      <c r="U775" s="43"/>
      <c r="V775" s="43"/>
      <c r="W775" s="43"/>
      <c r="X775" s="43"/>
      <c r="Y775" s="43"/>
      <c r="Z775" s="43">
        <v>0.438</v>
      </c>
      <c r="AA775" s="43">
        <v>0.41899999999999998</v>
      </c>
      <c r="AB775" s="43"/>
      <c r="AC775" s="43">
        <v>0.53700000000000003</v>
      </c>
      <c r="AD775" s="43"/>
      <c r="AE775" s="43"/>
      <c r="AF775" s="43"/>
      <c r="AG775" s="43"/>
      <c r="AH775" s="43"/>
      <c r="AI775" s="43">
        <v>0.54600000000000004</v>
      </c>
      <c r="AJ775" s="43">
        <v>0.53</v>
      </c>
      <c r="AK775" s="43"/>
      <c r="AL775" s="43">
        <v>0.32800000000000001</v>
      </c>
      <c r="AM775" s="43"/>
      <c r="AN775" s="43"/>
      <c r="AO775" s="43"/>
      <c r="AP775" s="43">
        <v>0.46700000000000003</v>
      </c>
      <c r="AQ775" s="43"/>
      <c r="AR775" s="43"/>
      <c r="AS775" s="43"/>
      <c r="AT775" s="43"/>
      <c r="AU775" s="43"/>
      <c r="AV775" s="43"/>
      <c r="AW775" s="43"/>
      <c r="AX775" s="43">
        <v>0.53290000000000004</v>
      </c>
      <c r="AY775" s="43"/>
      <c r="AZ775" s="43"/>
      <c r="BA775" s="43"/>
      <c r="BB775" s="43"/>
      <c r="BC775" s="43"/>
      <c r="BD775" s="43"/>
      <c r="BE775" s="43"/>
      <c r="BF775" s="43"/>
      <c r="BG775" s="43"/>
      <c r="BH775" s="43"/>
      <c r="BI775" s="43">
        <v>0.32</v>
      </c>
      <c r="BJ775" s="43"/>
      <c r="BK775" s="43"/>
      <c r="BL775" s="43"/>
      <c r="BM775" s="43"/>
      <c r="BN775" s="43">
        <f t="shared" si="21"/>
        <v>0.32</v>
      </c>
      <c r="BO775" s="43">
        <f t="shared" si="22"/>
        <v>2015</v>
      </c>
    </row>
    <row r="776" spans="2:67" x14ac:dyDescent="0.75">
      <c r="B776" s="43" t="s">
        <v>229</v>
      </c>
      <c r="C776" s="43" t="s">
        <v>170</v>
      </c>
      <c r="D776" s="43" t="s">
        <v>758</v>
      </c>
      <c r="E776" s="43" t="s">
        <v>757</v>
      </c>
      <c r="F776" s="43">
        <v>0.51</v>
      </c>
      <c r="G776" s="43"/>
      <c r="H776" s="43"/>
      <c r="I776" s="43"/>
      <c r="J776" s="43"/>
      <c r="K776" s="43"/>
      <c r="L776" s="43"/>
      <c r="M776" s="43"/>
      <c r="N776" s="43"/>
      <c r="O776" s="43"/>
      <c r="P776" s="43">
        <v>0.46500000000000002</v>
      </c>
      <c r="Q776" s="43"/>
      <c r="R776" s="43"/>
      <c r="S776" s="43"/>
      <c r="T776" s="43"/>
      <c r="U776" s="43"/>
      <c r="V776" s="43"/>
      <c r="W776" s="43"/>
      <c r="X776" s="43"/>
      <c r="Y776" s="43"/>
      <c r="Z776" s="43"/>
      <c r="AA776" s="43"/>
      <c r="AB776" s="43"/>
      <c r="AC776" s="43"/>
      <c r="AD776" s="43">
        <v>0.79100000000000004</v>
      </c>
      <c r="AE776" s="43"/>
      <c r="AF776" s="43"/>
      <c r="AG776" s="43"/>
      <c r="AH776" s="43"/>
      <c r="AI776" s="43"/>
      <c r="AJ776" s="43">
        <v>0.75</v>
      </c>
      <c r="AK776" s="43"/>
      <c r="AL776" s="43"/>
      <c r="AM776" s="43">
        <v>0.76200000000000001</v>
      </c>
      <c r="AN776" s="43"/>
      <c r="AO776" s="43">
        <v>0.75</v>
      </c>
      <c r="AP776" s="43">
        <v>0.252</v>
      </c>
      <c r="AQ776" s="43"/>
      <c r="AR776" s="43"/>
      <c r="AS776" s="43"/>
      <c r="AT776" s="43">
        <v>0.40429999999999999</v>
      </c>
      <c r="AU776" s="43"/>
      <c r="AV776" s="43"/>
      <c r="AW776" s="43"/>
      <c r="AX776" s="43">
        <v>0.81040000000000001</v>
      </c>
      <c r="AY776" s="43"/>
      <c r="AZ776" s="43"/>
      <c r="BA776" s="43"/>
      <c r="BB776" s="43"/>
      <c r="BC776" s="43">
        <v>0.70879999999999999</v>
      </c>
      <c r="BD776" s="43"/>
      <c r="BE776" s="43"/>
      <c r="BF776" s="43"/>
      <c r="BG776" s="43"/>
      <c r="BH776" s="43"/>
      <c r="BI776" s="43"/>
      <c r="BJ776" s="43"/>
      <c r="BK776" s="43"/>
      <c r="BL776" s="43">
        <v>1.2264999999999999</v>
      </c>
      <c r="BM776" s="43"/>
      <c r="BN776" s="43">
        <f t="shared" si="21"/>
        <v>1.2264999999999999</v>
      </c>
      <c r="BO776" s="43">
        <f t="shared" si="22"/>
        <v>2018</v>
      </c>
    </row>
    <row r="777" spans="2:67" x14ac:dyDescent="0.75">
      <c r="B777" s="43" t="s">
        <v>519</v>
      </c>
      <c r="C777" s="43" t="s">
        <v>520</v>
      </c>
      <c r="D777" s="43" t="s">
        <v>758</v>
      </c>
      <c r="E777" s="43" t="s">
        <v>757</v>
      </c>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v>3.2</v>
      </c>
      <c r="AU777" s="43">
        <v>3.1</v>
      </c>
      <c r="AV777" s="43">
        <v>3.1</v>
      </c>
      <c r="AW777" s="43">
        <v>3.1789999999999998</v>
      </c>
      <c r="AX777" s="43">
        <v>3.12</v>
      </c>
      <c r="AY777" s="43"/>
      <c r="AZ777" s="43"/>
      <c r="BA777" s="43">
        <v>3.0049999999999999</v>
      </c>
      <c r="BB777" s="43"/>
      <c r="BC777" s="43">
        <v>3.2955000000000001</v>
      </c>
      <c r="BD777" s="43"/>
      <c r="BE777" s="43"/>
      <c r="BF777" s="43"/>
      <c r="BG777" s="43">
        <v>3.3833000000000002</v>
      </c>
      <c r="BH777" s="43"/>
      <c r="BI777" s="43">
        <v>3.4413999999999998</v>
      </c>
      <c r="BJ777" s="43">
        <v>2.4643000000000002</v>
      </c>
      <c r="BK777" s="43"/>
      <c r="BL777" s="43"/>
      <c r="BM777" s="43"/>
      <c r="BN777" s="43">
        <f t="shared" si="21"/>
        <v>2.4643000000000002</v>
      </c>
      <c r="BO777" s="43">
        <f t="shared" si="22"/>
        <v>2016</v>
      </c>
    </row>
    <row r="778" spans="2:67" x14ac:dyDescent="0.75">
      <c r="B778" s="43" t="s">
        <v>521</v>
      </c>
      <c r="C778" s="43" t="s">
        <v>132</v>
      </c>
      <c r="D778" s="43" t="s">
        <v>758</v>
      </c>
      <c r="E778" s="43" t="s">
        <v>757</v>
      </c>
      <c r="F778" s="43"/>
      <c r="G778" s="43"/>
      <c r="H778" s="43"/>
      <c r="I778" s="43"/>
      <c r="J778" s="43"/>
      <c r="K778" s="43"/>
      <c r="L778" s="43"/>
      <c r="M778" s="43"/>
      <c r="N778" s="43"/>
      <c r="O778" s="43"/>
      <c r="P778" s="43"/>
      <c r="Q778" s="43"/>
      <c r="R778" s="43"/>
      <c r="S778" s="43"/>
      <c r="T778" s="43"/>
      <c r="U778" s="43"/>
      <c r="V778" s="43"/>
      <c r="W778" s="43"/>
      <c r="X778" s="43"/>
      <c r="Y778" s="43"/>
      <c r="Z778" s="43">
        <v>1.7709999999999999</v>
      </c>
      <c r="AA778" s="43"/>
      <c r="AB778" s="43">
        <v>1.843</v>
      </c>
      <c r="AC778" s="43"/>
      <c r="AD778" s="43">
        <v>1.861</v>
      </c>
      <c r="AE778" s="43">
        <v>1.879</v>
      </c>
      <c r="AF778" s="43">
        <v>1.8819999999999999</v>
      </c>
      <c r="AG778" s="43">
        <v>2.004</v>
      </c>
      <c r="AH778" s="43">
        <v>2.024</v>
      </c>
      <c r="AI778" s="43">
        <v>2.0630000000000002</v>
      </c>
      <c r="AJ778" s="43">
        <v>1.99</v>
      </c>
      <c r="AK778" s="43">
        <v>2.0790000000000002</v>
      </c>
      <c r="AL778" s="43">
        <v>2.0910000000000002</v>
      </c>
      <c r="AM778" s="43">
        <v>2.0299999999999998</v>
      </c>
      <c r="AN778" s="43">
        <v>2.19</v>
      </c>
      <c r="AO778" s="43">
        <v>2.121</v>
      </c>
      <c r="AP778" s="43">
        <v>2.1349999999999998</v>
      </c>
      <c r="AQ778" s="43">
        <v>2.1469999999999998</v>
      </c>
      <c r="AR778" s="43">
        <v>2.1779999999999999</v>
      </c>
      <c r="AS778" s="43">
        <v>2.1349999999999998</v>
      </c>
      <c r="AT778" s="43">
        <v>2.17</v>
      </c>
      <c r="AU778" s="43">
        <v>2.194</v>
      </c>
      <c r="AV778" s="43">
        <v>2.2530000000000001</v>
      </c>
      <c r="AW778" s="43"/>
      <c r="AX778" s="43"/>
      <c r="AY778" s="43">
        <v>2.4</v>
      </c>
      <c r="AZ778" s="43">
        <v>2.4239999999999999</v>
      </c>
      <c r="BA778" s="43"/>
      <c r="BB778" s="43">
        <v>2.4729999999999999</v>
      </c>
      <c r="BC778" s="43"/>
      <c r="BD778" s="43">
        <v>2.4344999999999999</v>
      </c>
      <c r="BE778" s="43">
        <v>2.4939</v>
      </c>
      <c r="BF778" s="43">
        <v>2.5373999999999999</v>
      </c>
      <c r="BG778" s="43">
        <v>2.6214</v>
      </c>
      <c r="BH778" s="43">
        <v>2.7582</v>
      </c>
      <c r="BI778" s="43">
        <v>2.8098999999999998</v>
      </c>
      <c r="BJ778" s="43">
        <v>2.9952999999999999</v>
      </c>
      <c r="BK778" s="43"/>
      <c r="BL778" s="43"/>
      <c r="BM778" s="43"/>
      <c r="BN778" s="43">
        <f t="shared" si="21"/>
        <v>2.9952999999999999</v>
      </c>
      <c r="BO778" s="43">
        <f t="shared" si="22"/>
        <v>2016</v>
      </c>
    </row>
    <row r="779" spans="2:67" x14ac:dyDescent="0.75">
      <c r="B779" s="43" t="s">
        <v>544</v>
      </c>
      <c r="C779" s="43" t="s">
        <v>133</v>
      </c>
      <c r="D779" s="43" t="s">
        <v>758</v>
      </c>
      <c r="E779" s="43" t="s">
        <v>757</v>
      </c>
      <c r="F779" s="43">
        <v>1</v>
      </c>
      <c r="G779" s="43">
        <v>1</v>
      </c>
      <c r="H779" s="43">
        <v>1</v>
      </c>
      <c r="I779" s="43">
        <v>1</v>
      </c>
      <c r="J779" s="43">
        <v>1.1000000000000001</v>
      </c>
      <c r="K779" s="43">
        <v>1.1000000000000001</v>
      </c>
      <c r="L779" s="43">
        <v>1.1000000000000001</v>
      </c>
      <c r="M779" s="43">
        <v>1.2</v>
      </c>
      <c r="N779" s="43">
        <v>1.2</v>
      </c>
      <c r="O779" s="43">
        <v>1.3</v>
      </c>
      <c r="P779" s="43">
        <v>1.3</v>
      </c>
      <c r="Q779" s="43">
        <v>1.4</v>
      </c>
      <c r="R779" s="43">
        <v>1.5</v>
      </c>
      <c r="S779" s="43">
        <v>1.5</v>
      </c>
      <c r="T779" s="43">
        <v>1.6</v>
      </c>
      <c r="U779" s="43">
        <v>1.7</v>
      </c>
      <c r="V779" s="43">
        <v>1.8</v>
      </c>
      <c r="W779" s="43">
        <v>1.9</v>
      </c>
      <c r="X779" s="43">
        <v>2</v>
      </c>
      <c r="Y779" s="43">
        <v>2</v>
      </c>
      <c r="Z779" s="43">
        <v>2.2000000000000002</v>
      </c>
      <c r="AA779" s="43">
        <v>2.2999999999999998</v>
      </c>
      <c r="AB779" s="43">
        <v>2.2999999999999998</v>
      </c>
      <c r="AC779" s="43">
        <v>2.4</v>
      </c>
      <c r="AD779" s="43">
        <v>2.6</v>
      </c>
      <c r="AE779" s="43">
        <v>2.6</v>
      </c>
      <c r="AF779" s="43">
        <v>2.8</v>
      </c>
      <c r="AG779" s="43">
        <v>2.8</v>
      </c>
      <c r="AH779" s="43">
        <v>2.8</v>
      </c>
      <c r="AI779" s="43">
        <v>2.8</v>
      </c>
      <c r="AJ779" s="43">
        <v>2.9</v>
      </c>
      <c r="AK779" s="43"/>
      <c r="AL779" s="43">
        <v>2.7</v>
      </c>
      <c r="AM779" s="43">
        <v>2.7</v>
      </c>
      <c r="AN779" s="43">
        <v>2.8</v>
      </c>
      <c r="AO779" s="43">
        <v>2.9</v>
      </c>
      <c r="AP779" s="43">
        <v>2.9</v>
      </c>
      <c r="AQ779" s="43">
        <v>2.9</v>
      </c>
      <c r="AR779" s="43">
        <v>3</v>
      </c>
      <c r="AS779" s="43">
        <v>3</v>
      </c>
      <c r="AT779" s="43">
        <v>3.1</v>
      </c>
      <c r="AU779" s="43">
        <v>3.2</v>
      </c>
      <c r="AV779" s="43">
        <v>3.2839999999999998</v>
      </c>
      <c r="AW779" s="43"/>
      <c r="AX779" s="43">
        <v>3.28</v>
      </c>
      <c r="AY779" s="43"/>
      <c r="AZ779" s="43">
        <v>3.5830000000000002</v>
      </c>
      <c r="BA779" s="43">
        <v>3.2404999999999999</v>
      </c>
      <c r="BB779" s="43">
        <v>3.77</v>
      </c>
      <c r="BC779" s="43">
        <v>3.8679999999999999</v>
      </c>
      <c r="BD779" s="43">
        <v>3.8871000000000002</v>
      </c>
      <c r="BE779" s="43">
        <v>3.9582000000000002</v>
      </c>
      <c r="BF779" s="43">
        <v>4.0396000000000001</v>
      </c>
      <c r="BG779" s="43">
        <v>4.1271000000000004</v>
      </c>
      <c r="BH779" s="43">
        <v>4.2049000000000003</v>
      </c>
      <c r="BI779" s="43">
        <v>4.2861000000000002</v>
      </c>
      <c r="BJ779" s="43">
        <v>5.3996000000000004</v>
      </c>
      <c r="BK779" s="43"/>
      <c r="BL779" s="43"/>
      <c r="BM779" s="43"/>
      <c r="BN779" s="43">
        <f t="shared" si="21"/>
        <v>5.3996000000000004</v>
      </c>
      <c r="BO779" s="43">
        <f t="shared" si="22"/>
        <v>2016</v>
      </c>
    </row>
    <row r="780" spans="2:67" x14ac:dyDescent="0.75">
      <c r="B780" s="43" t="s">
        <v>380</v>
      </c>
      <c r="C780" s="43" t="s">
        <v>134</v>
      </c>
      <c r="D780" s="43" t="s">
        <v>758</v>
      </c>
      <c r="E780" s="43" t="s">
        <v>757</v>
      </c>
      <c r="F780" s="43">
        <v>0.104</v>
      </c>
      <c r="G780" s="43"/>
      <c r="H780" s="43"/>
      <c r="I780" s="43"/>
      <c r="J780" s="43"/>
      <c r="K780" s="43"/>
      <c r="L780" s="43"/>
      <c r="M780" s="43"/>
      <c r="N780" s="43"/>
      <c r="O780" s="43"/>
      <c r="P780" s="43">
        <v>0.124</v>
      </c>
      <c r="Q780" s="43"/>
      <c r="R780" s="43"/>
      <c r="S780" s="43"/>
      <c r="T780" s="43"/>
      <c r="U780" s="43"/>
      <c r="V780" s="43"/>
      <c r="W780" s="43"/>
      <c r="X780" s="43"/>
      <c r="Y780" s="43"/>
      <c r="Z780" s="43"/>
      <c r="AA780" s="43"/>
      <c r="AB780" s="43"/>
      <c r="AC780" s="43">
        <v>5.2999999999999999E-2</v>
      </c>
      <c r="AD780" s="43"/>
      <c r="AE780" s="43"/>
      <c r="AF780" s="43"/>
      <c r="AG780" s="43"/>
      <c r="AH780" s="43"/>
      <c r="AI780" s="43"/>
      <c r="AJ780" s="43">
        <v>0.108</v>
      </c>
      <c r="AK780" s="43"/>
      <c r="AL780" s="43"/>
      <c r="AM780" s="43"/>
      <c r="AN780" s="43"/>
      <c r="AO780" s="43"/>
      <c r="AP780" s="43">
        <v>0.151</v>
      </c>
      <c r="AQ780" s="43"/>
      <c r="AR780" s="43"/>
      <c r="AS780" s="43"/>
      <c r="AT780" s="43"/>
      <c r="AU780" s="43">
        <v>0.1668</v>
      </c>
      <c r="AV780" s="43"/>
      <c r="AW780" s="43">
        <v>0.14710000000000001</v>
      </c>
      <c r="AX780" s="43">
        <v>0.15620000000000001</v>
      </c>
      <c r="AY780" s="43"/>
      <c r="AZ780" s="43"/>
      <c r="BA780" s="43"/>
      <c r="BB780" s="43"/>
      <c r="BC780" s="43">
        <v>0.14649999999999999</v>
      </c>
      <c r="BD780" s="43"/>
      <c r="BE780" s="43">
        <v>8.8999999999999996E-2</v>
      </c>
      <c r="BF780" s="43"/>
      <c r="BG780" s="43"/>
      <c r="BH780" s="43"/>
      <c r="BI780" s="43"/>
      <c r="BJ780" s="43">
        <v>7.9600000000000004E-2</v>
      </c>
      <c r="BK780" s="43"/>
      <c r="BL780" s="43"/>
      <c r="BM780" s="43"/>
      <c r="BN780" s="43">
        <f t="shared" si="21"/>
        <v>7.9600000000000004E-2</v>
      </c>
      <c r="BO780" s="43">
        <f t="shared" si="22"/>
        <v>2016</v>
      </c>
    </row>
    <row r="781" spans="2:67" x14ac:dyDescent="0.75">
      <c r="B781" s="43" t="s">
        <v>517</v>
      </c>
      <c r="C781" s="43" t="s">
        <v>518</v>
      </c>
      <c r="D781" s="43" t="s">
        <v>758</v>
      </c>
      <c r="E781" s="43" t="s">
        <v>757</v>
      </c>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t="str">
        <f t="shared" si="21"/>
        <v>No reported value</v>
      </c>
      <c r="BO781" s="43" t="str">
        <f t="shared" si="22"/>
        <v>No reported value</v>
      </c>
    </row>
    <row r="782" spans="2:67" x14ac:dyDescent="0.75">
      <c r="B782" s="43" t="s">
        <v>213</v>
      </c>
      <c r="C782" s="43" t="s">
        <v>135</v>
      </c>
      <c r="D782" s="43" t="s">
        <v>758</v>
      </c>
      <c r="E782" s="43" t="s">
        <v>757</v>
      </c>
      <c r="F782" s="43">
        <v>0.312</v>
      </c>
      <c r="G782" s="43"/>
      <c r="H782" s="43"/>
      <c r="I782" s="43"/>
      <c r="J782" s="43"/>
      <c r="K782" s="43"/>
      <c r="L782" s="43"/>
      <c r="M782" s="43"/>
      <c r="N782" s="43"/>
      <c r="O782" s="43"/>
      <c r="P782" s="43">
        <v>0.224</v>
      </c>
      <c r="Q782" s="43"/>
      <c r="R782" s="43"/>
      <c r="S782" s="43"/>
      <c r="T782" s="43"/>
      <c r="U782" s="43">
        <v>0.218</v>
      </c>
      <c r="V782" s="43"/>
      <c r="W782" s="43"/>
      <c r="X782" s="43"/>
      <c r="Y782" s="43"/>
      <c r="Z782" s="43"/>
      <c r="AA782" s="43"/>
      <c r="AB782" s="43"/>
      <c r="AC782" s="43">
        <v>0.40699999999999997</v>
      </c>
      <c r="AD782" s="43"/>
      <c r="AE782" s="43">
        <v>0.44500000000000001</v>
      </c>
      <c r="AF782" s="43"/>
      <c r="AG782" s="43"/>
      <c r="AH782" s="43"/>
      <c r="AI782" s="43"/>
      <c r="AJ782" s="43"/>
      <c r="AK782" s="43"/>
      <c r="AL782" s="43"/>
      <c r="AM782" s="43">
        <v>1.0269999999999999</v>
      </c>
      <c r="AN782" s="43"/>
      <c r="AO782" s="43"/>
      <c r="AP782" s="43">
        <v>1.3240000000000001</v>
      </c>
      <c r="AQ782" s="43"/>
      <c r="AR782" s="43"/>
      <c r="AS782" s="43"/>
      <c r="AT782" s="43"/>
      <c r="AU782" s="43"/>
      <c r="AV782" s="43"/>
      <c r="AW782" s="43"/>
      <c r="AX782" s="43">
        <v>1.3829</v>
      </c>
      <c r="AY782" s="43">
        <v>1.1725000000000001</v>
      </c>
      <c r="AZ782" s="43">
        <v>0.83609999999999995</v>
      </c>
      <c r="BA782" s="43">
        <v>1.0078</v>
      </c>
      <c r="BB782" s="43">
        <v>0.77180000000000004</v>
      </c>
      <c r="BC782" s="43">
        <v>1.1318999999999999</v>
      </c>
      <c r="BD782" s="43">
        <v>1.0941000000000001</v>
      </c>
      <c r="BE782" s="43">
        <v>1.1656</v>
      </c>
      <c r="BF782" s="43">
        <v>1.0076000000000001</v>
      </c>
      <c r="BG782" s="43"/>
      <c r="BH782" s="43"/>
      <c r="BI782" s="43"/>
      <c r="BJ782" s="43">
        <v>0.94579999999999997</v>
      </c>
      <c r="BK782" s="43"/>
      <c r="BL782" s="43"/>
      <c r="BM782" s="43"/>
      <c r="BN782" s="43">
        <f t="shared" si="21"/>
        <v>0.94579999999999997</v>
      </c>
      <c r="BO782" s="43">
        <f t="shared" si="22"/>
        <v>2016</v>
      </c>
    </row>
    <row r="783" spans="2:67" x14ac:dyDescent="0.75">
      <c r="B783" s="43" t="s">
        <v>546</v>
      </c>
      <c r="C783" s="43" t="s">
        <v>136</v>
      </c>
      <c r="D783" s="43" t="s">
        <v>758</v>
      </c>
      <c r="E783" s="43" t="s">
        <v>757</v>
      </c>
      <c r="F783" s="43">
        <v>0.216</v>
      </c>
      <c r="G783" s="43"/>
      <c r="H783" s="43"/>
      <c r="I783" s="43"/>
      <c r="J783" s="43"/>
      <c r="K783" s="43">
        <v>0.185</v>
      </c>
      <c r="L783" s="43"/>
      <c r="M783" s="43"/>
      <c r="N783" s="43"/>
      <c r="O783" s="43"/>
      <c r="P783" s="43">
        <v>0.25900000000000001</v>
      </c>
      <c r="Q783" s="43"/>
      <c r="R783" s="43"/>
      <c r="S783" s="43"/>
      <c r="T783" s="43"/>
      <c r="U783" s="43">
        <v>0.25600000000000001</v>
      </c>
      <c r="V783" s="43"/>
      <c r="W783" s="43"/>
      <c r="X783" s="43"/>
      <c r="Y783" s="43"/>
      <c r="Z783" s="43">
        <v>0.44600000000000001</v>
      </c>
      <c r="AA783" s="43">
        <v>0.46300000000000002</v>
      </c>
      <c r="AB783" s="43"/>
      <c r="AC783" s="43"/>
      <c r="AD783" s="43"/>
      <c r="AE783" s="43"/>
      <c r="AF783" s="43">
        <v>0.80700000000000005</v>
      </c>
      <c r="AG783" s="43">
        <v>0.78300000000000003</v>
      </c>
      <c r="AH783" s="43"/>
      <c r="AI783" s="43">
        <v>0.86299999999999999</v>
      </c>
      <c r="AJ783" s="43">
        <v>0.83499999999999996</v>
      </c>
      <c r="AK783" s="43"/>
      <c r="AL783" s="43"/>
      <c r="AM783" s="43"/>
      <c r="AN783" s="43"/>
      <c r="AO783" s="43"/>
      <c r="AP783" s="43"/>
      <c r="AQ783" s="43">
        <v>1.2965</v>
      </c>
      <c r="AR783" s="43">
        <v>1.3388</v>
      </c>
      <c r="AS783" s="43">
        <v>1.3357000000000001</v>
      </c>
      <c r="AT783" s="43">
        <v>1.3653999999999999</v>
      </c>
      <c r="AU783" s="43">
        <v>1.399</v>
      </c>
      <c r="AV783" s="43">
        <v>1.4673</v>
      </c>
      <c r="AW783" s="43">
        <v>1.4053</v>
      </c>
      <c r="AX783" s="43">
        <v>1.454</v>
      </c>
      <c r="AY783" s="43">
        <v>1.544</v>
      </c>
      <c r="AZ783" s="43">
        <v>0.53</v>
      </c>
      <c r="BA783" s="43">
        <v>1.5067999999999999</v>
      </c>
      <c r="BB783" s="43">
        <v>1.5105</v>
      </c>
      <c r="BC783" s="43">
        <v>1.4371</v>
      </c>
      <c r="BD783" s="43">
        <v>1.4841</v>
      </c>
      <c r="BE783" s="43"/>
      <c r="BF783" s="43"/>
      <c r="BG783" s="43"/>
      <c r="BH783" s="43">
        <v>1.5115000000000001</v>
      </c>
      <c r="BI783" s="43"/>
      <c r="BJ783" s="43">
        <v>1.22</v>
      </c>
      <c r="BK783" s="43"/>
      <c r="BL783" s="43"/>
      <c r="BM783" s="43"/>
      <c r="BN783" s="43">
        <f t="shared" si="21"/>
        <v>1.22</v>
      </c>
      <c r="BO783" s="43">
        <f t="shared" si="22"/>
        <v>2016</v>
      </c>
    </row>
    <row r="784" spans="2:67" x14ac:dyDescent="0.75">
      <c r="B784" s="43" t="s">
        <v>553</v>
      </c>
      <c r="C784" s="43" t="s">
        <v>554</v>
      </c>
      <c r="D784" s="43" t="s">
        <v>758</v>
      </c>
      <c r="E784" s="43" t="s">
        <v>757</v>
      </c>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t="str">
        <f t="shared" si="21"/>
        <v>No reported value</v>
      </c>
      <c r="BO784" s="43" t="str">
        <f t="shared" si="22"/>
        <v>No reported value</v>
      </c>
    </row>
    <row r="785" spans="2:67" x14ac:dyDescent="0.75">
      <c r="B785" s="43" t="s">
        <v>189</v>
      </c>
      <c r="C785" s="43" t="s">
        <v>169</v>
      </c>
      <c r="D785" s="43" t="s">
        <v>758</v>
      </c>
      <c r="E785" s="43" t="s">
        <v>757</v>
      </c>
      <c r="F785" s="43">
        <v>1.4E-2</v>
      </c>
      <c r="G785" s="43"/>
      <c r="H785" s="43"/>
      <c r="I785" s="43"/>
      <c r="J785" s="43"/>
      <c r="K785" s="43">
        <v>1.4E-2</v>
      </c>
      <c r="L785" s="43"/>
      <c r="M785" s="43"/>
      <c r="N785" s="43"/>
      <c r="O785" s="43"/>
      <c r="P785" s="43">
        <v>1.6E-2</v>
      </c>
      <c r="Q785" s="43"/>
      <c r="R785" s="43"/>
      <c r="S785" s="43"/>
      <c r="T785" s="43"/>
      <c r="U785" s="43"/>
      <c r="V785" s="43"/>
      <c r="W785" s="43"/>
      <c r="X785" s="43">
        <v>2.1000000000000001E-2</v>
      </c>
      <c r="Y785" s="43"/>
      <c r="Z785" s="43"/>
      <c r="AA785" s="43"/>
      <c r="AB785" s="43"/>
      <c r="AC785" s="43"/>
      <c r="AD785" s="43"/>
      <c r="AE785" s="43"/>
      <c r="AF785" s="43">
        <v>2.5999999999999999E-2</v>
      </c>
      <c r="AG785" s="43"/>
      <c r="AH785" s="43"/>
      <c r="AI785" s="43">
        <v>2.5999999999999999E-2</v>
      </c>
      <c r="AJ785" s="43"/>
      <c r="AK785" s="43"/>
      <c r="AL785" s="43"/>
      <c r="AM785" s="43"/>
      <c r="AN785" s="43">
        <v>3.3000000000000002E-2</v>
      </c>
      <c r="AO785" s="43"/>
      <c r="AP785" s="43"/>
      <c r="AQ785" s="43">
        <v>2.5999999999999999E-2</v>
      </c>
      <c r="AR785" s="43">
        <v>2.01E-2</v>
      </c>
      <c r="AS785" s="43">
        <v>2.8799999999999999E-2</v>
      </c>
      <c r="AT785" s="43">
        <v>2.8199999999999999E-2</v>
      </c>
      <c r="AU785" s="43">
        <v>2.5000000000000001E-2</v>
      </c>
      <c r="AV785" s="43"/>
      <c r="AW785" s="43"/>
      <c r="AX785" s="43">
        <v>3.5499999999999997E-2</v>
      </c>
      <c r="AY785" s="43"/>
      <c r="AZ785" s="43">
        <v>3.5299999999999998E-2</v>
      </c>
      <c r="BA785" s="43"/>
      <c r="BB785" s="43"/>
      <c r="BC785" s="43"/>
      <c r="BD785" s="43"/>
      <c r="BE785" s="43"/>
      <c r="BF785" s="43">
        <v>4.1599999999999998E-2</v>
      </c>
      <c r="BG785" s="43">
        <v>4.36E-2</v>
      </c>
      <c r="BH785" s="43"/>
      <c r="BI785" s="43"/>
      <c r="BJ785" s="43">
        <v>4.7500000000000001E-2</v>
      </c>
      <c r="BK785" s="43"/>
      <c r="BL785" s="43"/>
      <c r="BM785" s="43"/>
      <c r="BN785" s="43">
        <f t="shared" si="21"/>
        <v>4.7500000000000001E-2</v>
      </c>
      <c r="BO785" s="43">
        <f t="shared" si="22"/>
        <v>2016</v>
      </c>
    </row>
    <row r="786" spans="2:67" x14ac:dyDescent="0.75">
      <c r="B786" s="43" t="s">
        <v>375</v>
      </c>
      <c r="C786" s="43" t="s">
        <v>376</v>
      </c>
      <c r="D786" s="43" t="s">
        <v>758</v>
      </c>
      <c r="E786" s="43" t="s">
        <v>757</v>
      </c>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v>0.85058523913436845</v>
      </c>
      <c r="AK786" s="43"/>
      <c r="AL786" s="43"/>
      <c r="AM786" s="43"/>
      <c r="AN786" s="43"/>
      <c r="AO786" s="43"/>
      <c r="AP786" s="43"/>
      <c r="AQ786" s="43"/>
      <c r="AR786" s="43"/>
      <c r="AS786" s="43"/>
      <c r="AT786" s="43">
        <v>1.0064756120114491</v>
      </c>
      <c r="AU786" s="43"/>
      <c r="AV786" s="43"/>
      <c r="AW786" s="43"/>
      <c r="AX786" s="43"/>
      <c r="AY786" s="43"/>
      <c r="AZ786" s="43"/>
      <c r="BA786" s="43"/>
      <c r="BB786" s="43"/>
      <c r="BC786" s="43"/>
      <c r="BD786" s="43"/>
      <c r="BE786" s="43"/>
      <c r="BF786" s="43"/>
      <c r="BG786" s="43"/>
      <c r="BH786" s="43"/>
      <c r="BI786" s="43">
        <v>1.4486429865861432</v>
      </c>
      <c r="BJ786" s="43"/>
      <c r="BK786" s="43"/>
      <c r="BL786" s="43"/>
      <c r="BM786" s="43"/>
      <c r="BN786" s="43">
        <f t="shared" si="21"/>
        <v>1.4486429865861432</v>
      </c>
      <c r="BO786" s="43">
        <f t="shared" si="22"/>
        <v>2015</v>
      </c>
    </row>
    <row r="787" spans="2:67" x14ac:dyDescent="0.75">
      <c r="B787" s="43" t="s">
        <v>387</v>
      </c>
      <c r="C787" s="43" t="s">
        <v>388</v>
      </c>
      <c r="D787" s="43" t="s">
        <v>758</v>
      </c>
      <c r="E787" s="43" t="s">
        <v>757</v>
      </c>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v>3.2117666586615448</v>
      </c>
      <c r="AK787" s="43"/>
      <c r="AL787" s="43"/>
      <c r="AM787" s="43"/>
      <c r="AN787" s="43"/>
      <c r="AO787" s="43"/>
      <c r="AP787" s="43"/>
      <c r="AQ787" s="43"/>
      <c r="AR787" s="43"/>
      <c r="AS787" s="43"/>
      <c r="AT787" s="43">
        <v>3.0707442629675255</v>
      </c>
      <c r="AU787" s="43"/>
      <c r="AV787" s="43"/>
      <c r="AW787" s="43"/>
      <c r="AX787" s="43"/>
      <c r="AY787" s="43"/>
      <c r="AZ787" s="43"/>
      <c r="BA787" s="43"/>
      <c r="BB787" s="43"/>
      <c r="BC787" s="43"/>
      <c r="BD787" s="43"/>
      <c r="BE787" s="43"/>
      <c r="BF787" s="43"/>
      <c r="BG787" s="43"/>
      <c r="BH787" s="43"/>
      <c r="BI787" s="43">
        <v>2.9904806133074908</v>
      </c>
      <c r="BJ787" s="43"/>
      <c r="BK787" s="43"/>
      <c r="BL787" s="43"/>
      <c r="BM787" s="43"/>
      <c r="BN787" s="43">
        <f t="shared" si="21"/>
        <v>2.9904806133074908</v>
      </c>
      <c r="BO787" s="43">
        <f t="shared" si="22"/>
        <v>2015</v>
      </c>
    </row>
    <row r="788" spans="2:67" x14ac:dyDescent="0.75">
      <c r="B788" s="43" t="s">
        <v>215</v>
      </c>
      <c r="C788" s="43" t="s">
        <v>137</v>
      </c>
      <c r="D788" s="43" t="s">
        <v>758</v>
      </c>
      <c r="E788" s="43" t="s">
        <v>757</v>
      </c>
      <c r="F788" s="43">
        <v>2.1000000000000001E-2</v>
      </c>
      <c r="G788" s="43"/>
      <c r="H788" s="43"/>
      <c r="I788" s="43"/>
      <c r="J788" s="43"/>
      <c r="K788" s="43">
        <v>4.2999999999999997E-2</v>
      </c>
      <c r="L788" s="43"/>
      <c r="M788" s="43"/>
      <c r="N788" s="43"/>
      <c r="O788" s="43"/>
      <c r="P788" s="43">
        <v>3.5000000000000003E-2</v>
      </c>
      <c r="Q788" s="43"/>
      <c r="R788" s="43"/>
      <c r="S788" s="43"/>
      <c r="T788" s="43"/>
      <c r="U788" s="43">
        <v>3.5000000000000003E-2</v>
      </c>
      <c r="V788" s="43"/>
      <c r="W788" s="43"/>
      <c r="X788" s="43"/>
      <c r="Y788" s="43"/>
      <c r="Z788" s="43">
        <v>5.5E-2</v>
      </c>
      <c r="AA788" s="43">
        <v>4.9000000000000002E-2</v>
      </c>
      <c r="AB788" s="43"/>
      <c r="AC788" s="43"/>
      <c r="AD788" s="43">
        <v>0.11700000000000001</v>
      </c>
      <c r="AE788" s="43"/>
      <c r="AF788" s="43">
        <v>8.5000000000000006E-2</v>
      </c>
      <c r="AG788" s="43"/>
      <c r="AH788" s="43"/>
      <c r="AI788" s="43"/>
      <c r="AJ788" s="43"/>
      <c r="AK788" s="43">
        <v>8.7999999999999995E-2</v>
      </c>
      <c r="AL788" s="43"/>
      <c r="AM788" s="43"/>
      <c r="AN788" s="43">
        <v>5.6000000000000001E-2</v>
      </c>
      <c r="AO788" s="43">
        <v>7.5999999999999998E-2</v>
      </c>
      <c r="AP788" s="43"/>
      <c r="AQ788" s="43"/>
      <c r="AR788" s="43"/>
      <c r="AS788" s="43"/>
      <c r="AT788" s="43"/>
      <c r="AU788" s="43">
        <v>5.7000000000000002E-2</v>
      </c>
      <c r="AV788" s="43"/>
      <c r="AW788" s="43"/>
      <c r="AX788" s="43">
        <v>4.41E-2</v>
      </c>
      <c r="AY788" s="43"/>
      <c r="AZ788" s="43"/>
      <c r="BA788" s="43">
        <v>4.8399999999999999E-2</v>
      </c>
      <c r="BB788" s="43">
        <v>5.6599999999999998E-2</v>
      </c>
      <c r="BC788" s="43"/>
      <c r="BD788" s="43">
        <v>0.20219999999999999</v>
      </c>
      <c r="BE788" s="43"/>
      <c r="BF788" s="43"/>
      <c r="BG788" s="43"/>
      <c r="BH788" s="43"/>
      <c r="BI788" s="43">
        <v>4.87E-2</v>
      </c>
      <c r="BJ788" s="43"/>
      <c r="BK788" s="43"/>
      <c r="BL788" s="43"/>
      <c r="BM788" s="43"/>
      <c r="BN788" s="43">
        <f t="shared" si="21"/>
        <v>4.87E-2</v>
      </c>
      <c r="BO788" s="43">
        <f t="shared" si="22"/>
        <v>2015</v>
      </c>
    </row>
    <row r="789" spans="2:67" x14ac:dyDescent="0.75">
      <c r="B789" s="43" t="s">
        <v>548</v>
      </c>
      <c r="C789" s="43" t="s">
        <v>138</v>
      </c>
      <c r="D789" s="43" t="s">
        <v>758</v>
      </c>
      <c r="E789" s="43" t="s">
        <v>757</v>
      </c>
      <c r="F789" s="43">
        <v>0.129</v>
      </c>
      <c r="G789" s="43"/>
      <c r="H789" s="43"/>
      <c r="I789" s="43"/>
      <c r="J789" s="43"/>
      <c r="K789" s="43">
        <v>0.14000000000000001</v>
      </c>
      <c r="L789" s="43"/>
      <c r="M789" s="43"/>
      <c r="N789" s="43"/>
      <c r="O789" s="43"/>
      <c r="P789" s="43">
        <v>0.121</v>
      </c>
      <c r="Q789" s="43"/>
      <c r="R789" s="43"/>
      <c r="S789" s="43"/>
      <c r="T789" s="43"/>
      <c r="U789" s="43"/>
      <c r="V789" s="43"/>
      <c r="W789" s="43"/>
      <c r="X789" s="43"/>
      <c r="Y789" s="43"/>
      <c r="Z789" s="43">
        <v>0.14699999999999999</v>
      </c>
      <c r="AA789" s="43"/>
      <c r="AB789" s="43"/>
      <c r="AC789" s="43"/>
      <c r="AD789" s="43">
        <v>0.16</v>
      </c>
      <c r="AE789" s="43"/>
      <c r="AF789" s="43">
        <v>0.182</v>
      </c>
      <c r="AG789" s="43"/>
      <c r="AH789" s="43">
        <v>0.21</v>
      </c>
      <c r="AI789" s="43"/>
      <c r="AJ789" s="43">
        <v>0.22500000000000001</v>
      </c>
      <c r="AK789" s="43">
        <v>0.22359999999999999</v>
      </c>
      <c r="AL789" s="43">
        <v>0.23400000000000001</v>
      </c>
      <c r="AM789" s="43">
        <v>0.2336</v>
      </c>
      <c r="AN789" s="43">
        <v>0.23799999999999999</v>
      </c>
      <c r="AO789" s="43">
        <v>0.2384</v>
      </c>
      <c r="AP789" s="43">
        <v>0.26900000000000002</v>
      </c>
      <c r="AQ789" s="43">
        <v>0.2722</v>
      </c>
      <c r="AR789" s="43">
        <v>0.29149999999999998</v>
      </c>
      <c r="AS789" s="43">
        <v>0.29110000000000003</v>
      </c>
      <c r="AT789" s="43">
        <v>0.36799999999999999</v>
      </c>
      <c r="AU789" s="43">
        <v>0.29820000000000002</v>
      </c>
      <c r="AV789" s="43">
        <v>0.29630000000000001</v>
      </c>
      <c r="AW789" s="43">
        <v>0.27700000000000002</v>
      </c>
      <c r="AX789" s="43">
        <v>0.29099999999999998</v>
      </c>
      <c r="AY789" s="43">
        <v>0.29299999999999998</v>
      </c>
      <c r="AZ789" s="43">
        <v>0.28739999999999999</v>
      </c>
      <c r="BA789" s="43">
        <v>0.2959</v>
      </c>
      <c r="BB789" s="43">
        <v>0.31630000000000003</v>
      </c>
      <c r="BC789" s="43">
        <v>0.3387</v>
      </c>
      <c r="BD789" s="43">
        <v>0.39050000000000001</v>
      </c>
      <c r="BE789" s="43"/>
      <c r="BF789" s="43"/>
      <c r="BG789" s="43"/>
      <c r="BH789" s="43"/>
      <c r="BI789" s="43">
        <v>0.46550000000000002</v>
      </c>
      <c r="BJ789" s="43">
        <v>0.44569999999999999</v>
      </c>
      <c r="BK789" s="43">
        <v>0.80959999999999999</v>
      </c>
      <c r="BL789" s="43"/>
      <c r="BM789" s="43"/>
      <c r="BN789" s="43">
        <f t="shared" si="21"/>
        <v>0.80959999999999999</v>
      </c>
      <c r="BO789" s="43">
        <f t="shared" si="22"/>
        <v>2017</v>
      </c>
    </row>
    <row r="790" spans="2:67" x14ac:dyDescent="0.75">
      <c r="B790" s="43" t="s">
        <v>238</v>
      </c>
      <c r="C790" s="43" t="s">
        <v>163</v>
      </c>
      <c r="D790" s="43" t="s">
        <v>758</v>
      </c>
      <c r="E790" s="43" t="s">
        <v>757</v>
      </c>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v>2.5270000000000001</v>
      </c>
      <c r="AF790" s="43">
        <v>2.556</v>
      </c>
      <c r="AG790" s="43">
        <v>2.5819999999999999</v>
      </c>
      <c r="AH790" s="43">
        <v>2.6970000000000001</v>
      </c>
      <c r="AI790" s="43">
        <v>2.6779999999999999</v>
      </c>
      <c r="AJ790" s="43">
        <v>2.5510000000000002</v>
      </c>
      <c r="AK790" s="43">
        <v>2.6219000000000001</v>
      </c>
      <c r="AL790" s="43">
        <v>2.266</v>
      </c>
      <c r="AM790" s="43">
        <v>2.177</v>
      </c>
      <c r="AN790" s="43">
        <v>2.254</v>
      </c>
      <c r="AO790" s="43">
        <v>2.1360000000000001</v>
      </c>
      <c r="AP790" s="43">
        <v>2.0859999999999999</v>
      </c>
      <c r="AQ790" s="43">
        <v>2.0230000000000001</v>
      </c>
      <c r="AR790" s="43">
        <v>2.0842999999999998</v>
      </c>
      <c r="AS790" s="43">
        <v>2.1202000000000001</v>
      </c>
      <c r="AT790" s="43">
        <v>2.1717</v>
      </c>
      <c r="AU790" s="43">
        <v>2.1212</v>
      </c>
      <c r="AV790" s="43">
        <v>2.0344000000000002</v>
      </c>
      <c r="AW790" s="43">
        <v>1.9292</v>
      </c>
      <c r="AX790" s="43">
        <v>1.9366000000000001</v>
      </c>
      <c r="AY790" s="43">
        <v>1.9362999999999999</v>
      </c>
      <c r="AZ790" s="43">
        <v>1.8953</v>
      </c>
      <c r="BA790" s="43">
        <v>1.8724000000000001</v>
      </c>
      <c r="BB790" s="43">
        <v>1.9028</v>
      </c>
      <c r="BC790" s="43"/>
      <c r="BD790" s="43">
        <v>1.6721999999999999</v>
      </c>
      <c r="BE790" s="43">
        <v>1.6949000000000001</v>
      </c>
      <c r="BF790" s="43">
        <v>1.7009000000000001</v>
      </c>
      <c r="BG790" s="43">
        <v>1.6848000000000001</v>
      </c>
      <c r="BH790" s="43">
        <v>1.7002999999999999</v>
      </c>
      <c r="BI790" s="43"/>
      <c r="BJ790" s="43"/>
      <c r="BK790" s="43"/>
      <c r="BL790" s="43"/>
      <c r="BM790" s="43"/>
      <c r="BN790" s="43">
        <f t="shared" si="21"/>
        <v>1.7002999999999999</v>
      </c>
      <c r="BO790" s="43">
        <f t="shared" si="22"/>
        <v>2014</v>
      </c>
    </row>
    <row r="791" spans="2:67" x14ac:dyDescent="0.75">
      <c r="B791" s="43" t="s">
        <v>552</v>
      </c>
      <c r="C791" s="43" t="s">
        <v>139</v>
      </c>
      <c r="D791" s="43" t="s">
        <v>758</v>
      </c>
      <c r="E791" s="43" t="s">
        <v>757</v>
      </c>
      <c r="F791" s="43"/>
      <c r="G791" s="43"/>
      <c r="H791" s="43"/>
      <c r="I791" s="43"/>
      <c r="J791" s="43"/>
      <c r="K791" s="43"/>
      <c r="L791" s="43"/>
      <c r="M791" s="43"/>
      <c r="N791" s="43"/>
      <c r="O791" s="43"/>
      <c r="P791" s="43"/>
      <c r="Q791" s="43"/>
      <c r="R791" s="43"/>
      <c r="S791" s="43"/>
      <c r="T791" s="43"/>
      <c r="U791" s="43"/>
      <c r="V791" s="43"/>
      <c r="W791" s="43"/>
      <c r="X791" s="43"/>
      <c r="Y791" s="43"/>
      <c r="Z791" s="43">
        <v>2.839</v>
      </c>
      <c r="AA791" s="43"/>
      <c r="AB791" s="43"/>
      <c r="AC791" s="43"/>
      <c r="AD791" s="43"/>
      <c r="AE791" s="43">
        <v>3.3039999999999998</v>
      </c>
      <c r="AF791" s="43">
        <v>3.44</v>
      </c>
      <c r="AG791" s="43">
        <v>3.5270000000000001</v>
      </c>
      <c r="AH791" s="43">
        <v>3.55</v>
      </c>
      <c r="AI791" s="43">
        <v>3.6</v>
      </c>
      <c r="AJ791" s="43">
        <v>3.6139999999999999</v>
      </c>
      <c r="AK791" s="43">
        <v>3.673</v>
      </c>
      <c r="AL791" s="43">
        <v>3.589</v>
      </c>
      <c r="AM791" s="43">
        <v>3.57</v>
      </c>
      <c r="AN791" s="43">
        <v>3.5350000000000001</v>
      </c>
      <c r="AO791" s="43">
        <v>3.17</v>
      </c>
      <c r="AP791" s="43">
        <v>3.222</v>
      </c>
      <c r="AQ791" s="43">
        <v>3.1709999999999998</v>
      </c>
      <c r="AR791" s="43"/>
      <c r="AS791" s="43"/>
      <c r="AT791" s="43"/>
      <c r="AU791" s="43"/>
      <c r="AV791" s="43">
        <v>4.3452999999999999</v>
      </c>
      <c r="AW791" s="43"/>
      <c r="AX791" s="43"/>
      <c r="AY791" s="43"/>
      <c r="AZ791" s="43">
        <v>2.4900000000000002</v>
      </c>
      <c r="BA791" s="43">
        <v>2.4380000000000002</v>
      </c>
      <c r="BB791" s="43"/>
      <c r="BC791" s="43"/>
      <c r="BD791" s="43">
        <v>2.2743000000000002</v>
      </c>
      <c r="BE791" s="43">
        <v>2.2841</v>
      </c>
      <c r="BF791" s="43">
        <v>2.2376</v>
      </c>
      <c r="BG791" s="43">
        <v>2.2124999999999999</v>
      </c>
      <c r="BH791" s="43">
        <v>2.2248000000000001</v>
      </c>
      <c r="BI791" s="43"/>
      <c r="BJ791" s="43"/>
      <c r="BK791" s="43"/>
      <c r="BL791" s="43"/>
      <c r="BM791" s="43"/>
      <c r="BN791" s="43">
        <f t="shared" si="21"/>
        <v>2.2248000000000001</v>
      </c>
      <c r="BO791" s="43">
        <f t="shared" si="22"/>
        <v>2014</v>
      </c>
    </row>
    <row r="792" spans="2:67" x14ac:dyDescent="0.75">
      <c r="B792" s="43" t="s">
        <v>441</v>
      </c>
      <c r="C792" s="43" t="s">
        <v>442</v>
      </c>
      <c r="D792" s="43" t="s">
        <v>758</v>
      </c>
      <c r="E792" s="43" t="s">
        <v>757</v>
      </c>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v>1.1709061744333213</v>
      </c>
      <c r="AK792" s="43"/>
      <c r="AL792" s="43"/>
      <c r="AM792" s="43"/>
      <c r="AN792" s="43"/>
      <c r="AO792" s="43"/>
      <c r="AP792" s="43"/>
      <c r="AQ792" s="43"/>
      <c r="AR792" s="43"/>
      <c r="AS792" s="43"/>
      <c r="AT792" s="43">
        <v>1.5043117313537127</v>
      </c>
      <c r="AU792" s="43"/>
      <c r="AV792" s="43"/>
      <c r="AW792" s="43"/>
      <c r="AX792" s="43"/>
      <c r="AY792" s="43"/>
      <c r="AZ792" s="43"/>
      <c r="BA792" s="43"/>
      <c r="BB792" s="43"/>
      <c r="BC792" s="43"/>
      <c r="BD792" s="43"/>
      <c r="BE792" s="43"/>
      <c r="BF792" s="43"/>
      <c r="BG792" s="43"/>
      <c r="BH792" s="43"/>
      <c r="BI792" s="43">
        <v>2.0517429280473296</v>
      </c>
      <c r="BJ792" s="43"/>
      <c r="BK792" s="43"/>
      <c r="BL792" s="43"/>
      <c r="BM792" s="43"/>
      <c r="BN792" s="43">
        <f t="shared" si="21"/>
        <v>2.0517429280473296</v>
      </c>
      <c r="BO792" s="43">
        <f t="shared" si="22"/>
        <v>2015</v>
      </c>
    </row>
    <row r="793" spans="2:67" x14ac:dyDescent="0.75">
      <c r="B793" s="43" t="s">
        <v>246</v>
      </c>
      <c r="C793" s="43" t="s">
        <v>140</v>
      </c>
      <c r="D793" s="43" t="s">
        <v>758</v>
      </c>
      <c r="E793" s="43" t="s">
        <v>757</v>
      </c>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v>8.2000000000000003E-2</v>
      </c>
      <c r="AY793" s="43"/>
      <c r="AZ793" s="43"/>
      <c r="BA793" s="43">
        <v>3.4000000000000002E-2</v>
      </c>
      <c r="BB793" s="43">
        <v>3.6999999999999998E-2</v>
      </c>
      <c r="BC793" s="43">
        <v>4.3999999999999997E-2</v>
      </c>
      <c r="BD793" s="43">
        <v>7.9000000000000001E-2</v>
      </c>
      <c r="BE793" s="43">
        <v>7.8E-2</v>
      </c>
      <c r="BF793" s="43"/>
      <c r="BG793" s="43">
        <v>0.30990000000000001</v>
      </c>
      <c r="BH793" s="43">
        <v>0.66049999999999998</v>
      </c>
      <c r="BI793" s="43">
        <v>0.66959999999999997</v>
      </c>
      <c r="BJ793" s="43"/>
      <c r="BK793" s="43">
        <v>0.71970000000000001</v>
      </c>
      <c r="BL793" s="43"/>
      <c r="BM793" s="43"/>
      <c r="BN793" s="43">
        <f t="shared" si="21"/>
        <v>0.71970000000000001</v>
      </c>
      <c r="BO793" s="43">
        <f t="shared" si="22"/>
        <v>2017</v>
      </c>
    </row>
    <row r="794" spans="2:67" x14ac:dyDescent="0.75">
      <c r="B794" s="43" t="s">
        <v>470</v>
      </c>
      <c r="C794" s="43" t="s">
        <v>471</v>
      </c>
      <c r="D794" s="43" t="s">
        <v>758</v>
      </c>
      <c r="E794" s="43" t="s">
        <v>757</v>
      </c>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v>0.57490006051476839</v>
      </c>
      <c r="AK794" s="43"/>
      <c r="AL794" s="43"/>
      <c r="AM794" s="43"/>
      <c r="AN794" s="43"/>
      <c r="AO794" s="43"/>
      <c r="AP794" s="43"/>
      <c r="AQ794" s="43"/>
      <c r="AR794" s="43"/>
      <c r="AS794" s="43"/>
      <c r="AT794" s="43">
        <v>1.2256144250066947</v>
      </c>
      <c r="AU794" s="43"/>
      <c r="AV794" s="43"/>
      <c r="AW794" s="43"/>
      <c r="AX794" s="43"/>
      <c r="AY794" s="43"/>
      <c r="AZ794" s="43"/>
      <c r="BA794" s="43"/>
      <c r="BB794" s="43"/>
      <c r="BC794" s="43"/>
      <c r="BD794" s="43"/>
      <c r="BE794" s="43"/>
      <c r="BF794" s="43"/>
      <c r="BG794" s="43"/>
      <c r="BH794" s="43"/>
      <c r="BI794" s="43">
        <v>1.0694376664304046</v>
      </c>
      <c r="BJ794" s="43"/>
      <c r="BK794" s="43"/>
      <c r="BL794" s="43"/>
      <c r="BM794" s="43"/>
      <c r="BN794" s="43">
        <f t="shared" si="21"/>
        <v>1.0694376664304046</v>
      </c>
      <c r="BO794" s="43">
        <f t="shared" si="22"/>
        <v>2015</v>
      </c>
    </row>
    <row r="795" spans="2:67" x14ac:dyDescent="0.75">
      <c r="B795" s="43" t="s">
        <v>256</v>
      </c>
      <c r="C795" s="43" t="s">
        <v>141</v>
      </c>
      <c r="D795" s="43" t="s">
        <v>758</v>
      </c>
      <c r="E795" s="43" t="s">
        <v>757</v>
      </c>
      <c r="F795" s="43">
        <v>0.375</v>
      </c>
      <c r="G795" s="43"/>
      <c r="H795" s="43"/>
      <c r="I795" s="43"/>
      <c r="J795" s="43"/>
      <c r="K795" s="43"/>
      <c r="L795" s="43"/>
      <c r="M795" s="43"/>
      <c r="N795" s="43"/>
      <c r="O795" s="43"/>
      <c r="P795" s="43">
        <v>0.25600000000000001</v>
      </c>
      <c r="Q795" s="43"/>
      <c r="R795" s="43"/>
      <c r="S795" s="43"/>
      <c r="T795" s="43"/>
      <c r="U795" s="43"/>
      <c r="V795" s="43"/>
      <c r="W795" s="43"/>
      <c r="X795" s="43"/>
      <c r="Y795" s="43"/>
      <c r="Z795" s="43">
        <v>0.36199999999999999</v>
      </c>
      <c r="AA795" s="43">
        <v>0.60199999999999998</v>
      </c>
      <c r="AB795" s="43">
        <v>0.6</v>
      </c>
      <c r="AC795" s="43"/>
      <c r="AD795" s="43"/>
      <c r="AE795" s="43"/>
      <c r="AF795" s="43"/>
      <c r="AG795" s="43"/>
      <c r="AH795" s="43"/>
      <c r="AI795" s="43">
        <v>0.49199999999999999</v>
      </c>
      <c r="AJ795" s="43"/>
      <c r="AK795" s="43">
        <v>0.50800000000000001</v>
      </c>
      <c r="AL795" s="43"/>
      <c r="AM795" s="43"/>
      <c r="AN795" s="43"/>
      <c r="AO795" s="43"/>
      <c r="AP795" s="43"/>
      <c r="AQ795" s="43">
        <v>0.44</v>
      </c>
      <c r="AR795" s="43"/>
      <c r="AS795" s="43"/>
      <c r="AT795" s="43">
        <v>0.499</v>
      </c>
      <c r="AU795" s="43">
        <v>0.35499999999999998</v>
      </c>
      <c r="AV795" s="43">
        <v>0.3024</v>
      </c>
      <c r="AW795" s="43"/>
      <c r="AX795" s="43"/>
      <c r="AY795" s="43"/>
      <c r="AZ795" s="43"/>
      <c r="BA795" s="43">
        <v>0.56299999999999994</v>
      </c>
      <c r="BB795" s="43">
        <v>0.5534</v>
      </c>
      <c r="BC795" s="43">
        <v>0.59850000000000003</v>
      </c>
      <c r="BD795" s="43">
        <v>0.55720000000000003</v>
      </c>
      <c r="BE795" s="43"/>
      <c r="BF795" s="43"/>
      <c r="BG795" s="43">
        <v>0.52229999999999999</v>
      </c>
      <c r="BH795" s="43"/>
      <c r="BI795" s="43"/>
      <c r="BJ795" s="43"/>
      <c r="BK795" s="43"/>
      <c r="BL795" s="43"/>
      <c r="BM795" s="43"/>
      <c r="BN795" s="43">
        <f t="shared" si="21"/>
        <v>0.52229999999999999</v>
      </c>
      <c r="BO795" s="43">
        <f t="shared" si="22"/>
        <v>2013</v>
      </c>
    </row>
    <row r="796" spans="2:67" x14ac:dyDescent="0.75">
      <c r="B796" s="43" t="s">
        <v>526</v>
      </c>
      <c r="C796" s="43" t="s">
        <v>527</v>
      </c>
      <c r="D796" s="43" t="s">
        <v>758</v>
      </c>
      <c r="E796" s="43" t="s">
        <v>757</v>
      </c>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v>1.0082568083419563</v>
      </c>
      <c r="AK796" s="43"/>
      <c r="AL796" s="43"/>
      <c r="AM796" s="43"/>
      <c r="AN796" s="43"/>
      <c r="AO796" s="43"/>
      <c r="AP796" s="43"/>
      <c r="AQ796" s="43"/>
      <c r="AR796" s="43"/>
      <c r="AS796" s="43"/>
      <c r="AT796" s="43">
        <v>0.50056637364761247</v>
      </c>
      <c r="AU796" s="43"/>
      <c r="AV796" s="43"/>
      <c r="AW796" s="43"/>
      <c r="AX796" s="43"/>
      <c r="AY796" s="43"/>
      <c r="AZ796" s="43"/>
      <c r="BA796" s="43"/>
      <c r="BB796" s="43"/>
      <c r="BC796" s="43"/>
      <c r="BD796" s="43"/>
      <c r="BE796" s="43"/>
      <c r="BF796" s="43"/>
      <c r="BG796" s="43"/>
      <c r="BH796" s="43"/>
      <c r="BI796" s="43">
        <v>0.76812752286180397</v>
      </c>
      <c r="BJ796" s="43"/>
      <c r="BK796" s="43"/>
      <c r="BL796" s="43"/>
      <c r="BM796" s="43"/>
      <c r="BN796" s="43">
        <f t="shared" si="21"/>
        <v>0.76812752286180397</v>
      </c>
      <c r="BO796" s="43">
        <f t="shared" si="22"/>
        <v>2015</v>
      </c>
    </row>
    <row r="797" spans="2:67" x14ac:dyDescent="0.75">
      <c r="B797" s="43" t="s">
        <v>542</v>
      </c>
      <c r="C797" s="43" t="s">
        <v>543</v>
      </c>
      <c r="D797" s="43" t="s">
        <v>758</v>
      </c>
      <c r="E797" s="43" t="s">
        <v>757</v>
      </c>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v>0.136766653716654</v>
      </c>
      <c r="AK797" s="43"/>
      <c r="AL797" s="43"/>
      <c r="AM797" s="43"/>
      <c r="AN797" s="43"/>
      <c r="AO797" s="43"/>
      <c r="AP797" s="43"/>
      <c r="AQ797" s="43"/>
      <c r="AR797" s="43"/>
      <c r="AS797" s="43"/>
      <c r="AT797" s="43">
        <v>0.12275672687922148</v>
      </c>
      <c r="AU797" s="43"/>
      <c r="AV797" s="43"/>
      <c r="AW797" s="43"/>
      <c r="AX797" s="43"/>
      <c r="AY797" s="43"/>
      <c r="AZ797" s="43"/>
      <c r="BA797" s="43"/>
      <c r="BB797" s="43"/>
      <c r="BC797" s="43"/>
      <c r="BD797" s="43"/>
      <c r="BE797" s="43"/>
      <c r="BF797" s="43"/>
      <c r="BG797" s="43"/>
      <c r="BH797" s="43"/>
      <c r="BI797" s="43">
        <v>0.2196453959396874</v>
      </c>
      <c r="BJ797" s="43"/>
      <c r="BK797" s="43"/>
      <c r="BL797" s="43"/>
      <c r="BM797" s="43"/>
      <c r="BN797" s="43">
        <f t="shared" si="21"/>
        <v>0.2196453959396874</v>
      </c>
      <c r="BO797" s="43">
        <f t="shared" si="22"/>
        <v>2015</v>
      </c>
    </row>
    <row r="798" spans="2:67" x14ac:dyDescent="0.75">
      <c r="B798" s="43" t="s">
        <v>549</v>
      </c>
      <c r="C798" s="43" t="s">
        <v>142</v>
      </c>
      <c r="D798" s="43" t="s">
        <v>758</v>
      </c>
      <c r="E798" s="43" t="s">
        <v>757</v>
      </c>
      <c r="F798" s="43">
        <v>0.41799999999999998</v>
      </c>
      <c r="G798" s="43"/>
      <c r="H798" s="43"/>
      <c r="I798" s="43"/>
      <c r="J798" s="43"/>
      <c r="K798" s="43">
        <v>0.26200000000000001</v>
      </c>
      <c r="L798" s="43"/>
      <c r="M798" s="43"/>
      <c r="N798" s="43"/>
      <c r="O798" s="43"/>
      <c r="P798" s="43">
        <v>0.44500000000000001</v>
      </c>
      <c r="Q798" s="43"/>
      <c r="R798" s="43"/>
      <c r="S798" s="43"/>
      <c r="T798" s="43"/>
      <c r="U798" s="43">
        <v>0.45400000000000001</v>
      </c>
      <c r="V798" s="43"/>
      <c r="W798" s="43"/>
      <c r="X798" s="43"/>
      <c r="Y798" s="43"/>
      <c r="Z798" s="43">
        <v>0.72599999999999998</v>
      </c>
      <c r="AA798" s="43">
        <v>0.67300000000000004</v>
      </c>
      <c r="AB798" s="43"/>
      <c r="AC798" s="43"/>
      <c r="AD798" s="43">
        <v>1.0429999999999999</v>
      </c>
      <c r="AE798" s="43"/>
      <c r="AF798" s="43"/>
      <c r="AG798" s="43"/>
      <c r="AH798" s="43"/>
      <c r="AI798" s="43"/>
      <c r="AJ798" s="43">
        <v>0.72</v>
      </c>
      <c r="AK798" s="43">
        <v>0.73199999999999998</v>
      </c>
      <c r="AL798" s="43"/>
      <c r="AM798" s="43">
        <v>0.65800000000000003</v>
      </c>
      <c r="AN798" s="43">
        <v>0.78800000000000003</v>
      </c>
      <c r="AO798" s="43">
        <v>0.94259999999999999</v>
      </c>
      <c r="AP798" s="43">
        <v>0.76049999999999995</v>
      </c>
      <c r="AQ798" s="43">
        <v>0.75280000000000002</v>
      </c>
      <c r="AR798" s="43">
        <v>0.93859999999999999</v>
      </c>
      <c r="AS798" s="43">
        <v>0.92579999999999996</v>
      </c>
      <c r="AT798" s="43">
        <v>1.0055000000000001</v>
      </c>
      <c r="AU798" s="43">
        <v>0.9698</v>
      </c>
      <c r="AV798" s="43">
        <v>0.82489999999999997</v>
      </c>
      <c r="AW798" s="43">
        <v>0.80840000000000001</v>
      </c>
      <c r="AX798" s="43"/>
      <c r="AY798" s="43"/>
      <c r="AZ798" s="43">
        <v>1.2217</v>
      </c>
      <c r="BA798" s="43">
        <v>1.1785000000000001</v>
      </c>
      <c r="BB798" s="43"/>
      <c r="BC798" s="43">
        <v>1.5073000000000001</v>
      </c>
      <c r="BD798" s="43">
        <v>1.8086</v>
      </c>
      <c r="BE798" s="43">
        <v>1.8211999999999999</v>
      </c>
      <c r="BF798" s="43"/>
      <c r="BG798" s="43"/>
      <c r="BH798" s="43"/>
      <c r="BI798" s="43">
        <v>2.6697000000000002</v>
      </c>
      <c r="BJ798" s="43"/>
      <c r="BK798" s="43"/>
      <c r="BL798" s="43"/>
      <c r="BM798" s="43"/>
      <c r="BN798" s="43">
        <f t="shared" si="21"/>
        <v>2.6697000000000002</v>
      </c>
      <c r="BO798" s="43">
        <f t="shared" si="22"/>
        <v>2015</v>
      </c>
    </row>
    <row r="799" spans="2:67" x14ac:dyDescent="0.75">
      <c r="B799" s="43" t="s">
        <v>550</v>
      </c>
      <c r="C799" s="43" t="s">
        <v>143</v>
      </c>
      <c r="D799" s="43" t="s">
        <v>758</v>
      </c>
      <c r="E799" s="43" t="s">
        <v>757</v>
      </c>
      <c r="F799" s="43">
        <v>0.1</v>
      </c>
      <c r="G799" s="43"/>
      <c r="H799" s="43"/>
      <c r="I799" s="43"/>
      <c r="J799" s="43"/>
      <c r="K799" s="43">
        <v>0.125</v>
      </c>
      <c r="L799" s="43"/>
      <c r="M799" s="43"/>
      <c r="N799" s="43"/>
      <c r="O799" s="43"/>
      <c r="P799" s="43">
        <v>0.16900000000000001</v>
      </c>
      <c r="Q799" s="43"/>
      <c r="R799" s="43"/>
      <c r="S799" s="43"/>
      <c r="T799" s="43"/>
      <c r="U799" s="43">
        <v>0.16900000000000001</v>
      </c>
      <c r="V799" s="43"/>
      <c r="W799" s="43"/>
      <c r="X799" s="43"/>
      <c r="Y799" s="43"/>
      <c r="Z799" s="43">
        <v>0.27100000000000002</v>
      </c>
      <c r="AA799" s="43">
        <v>0.27500000000000002</v>
      </c>
      <c r="AB799" s="43"/>
      <c r="AC799" s="43"/>
      <c r="AD799" s="43"/>
      <c r="AE799" s="43"/>
      <c r="AF799" s="43">
        <v>0.46100000000000002</v>
      </c>
      <c r="AG799" s="43"/>
      <c r="AH799" s="43"/>
      <c r="AI799" s="43"/>
      <c r="AJ799" s="43">
        <v>0.53739999999999999</v>
      </c>
      <c r="AK799" s="43">
        <v>0.53459999999999996</v>
      </c>
      <c r="AL799" s="43">
        <v>0.5927</v>
      </c>
      <c r="AM799" s="43">
        <v>0.59840000000000004</v>
      </c>
      <c r="AN799" s="43">
        <v>0.59670000000000001</v>
      </c>
      <c r="AO799" s="43">
        <v>0.65449999999999997</v>
      </c>
      <c r="AP799" s="43">
        <v>0.66739999999999999</v>
      </c>
      <c r="AQ799" s="43">
        <v>0.68879999999999997</v>
      </c>
      <c r="AR799" s="43">
        <v>0.71779999999999999</v>
      </c>
      <c r="AS799" s="43">
        <v>0.74439999999999995</v>
      </c>
      <c r="AT799" s="43">
        <v>0.76749999999999996</v>
      </c>
      <c r="AU799" s="43">
        <v>0.79369999999999996</v>
      </c>
      <c r="AV799" s="43">
        <v>0.80740000000000001</v>
      </c>
      <c r="AW799" s="43">
        <v>0.82389999999999997</v>
      </c>
      <c r="AX799" s="43">
        <v>1.3307</v>
      </c>
      <c r="AY799" s="43">
        <v>0.93259999999999998</v>
      </c>
      <c r="AZ799" s="43"/>
      <c r="BA799" s="43">
        <v>1.0247999999999999</v>
      </c>
      <c r="BB799" s="43">
        <v>1.1082000000000001</v>
      </c>
      <c r="BC799" s="43"/>
      <c r="BD799" s="43">
        <v>1.2214</v>
      </c>
      <c r="BE799" s="43"/>
      <c r="BF799" s="43"/>
      <c r="BG799" s="43"/>
      <c r="BH799" s="43">
        <v>1.2677</v>
      </c>
      <c r="BI799" s="43">
        <v>1.2999000000000001</v>
      </c>
      <c r="BJ799" s="43">
        <v>1.2722</v>
      </c>
      <c r="BK799" s="43"/>
      <c r="BL799" s="43"/>
      <c r="BM799" s="43"/>
      <c r="BN799" s="43">
        <f t="shared" si="21"/>
        <v>1.2722</v>
      </c>
      <c r="BO799" s="43">
        <f t="shared" si="22"/>
        <v>2016</v>
      </c>
    </row>
    <row r="800" spans="2:67" x14ac:dyDescent="0.75">
      <c r="B800" s="43" t="s">
        <v>551</v>
      </c>
      <c r="C800" s="43" t="s">
        <v>144</v>
      </c>
      <c r="D800" s="43" t="s">
        <v>758</v>
      </c>
      <c r="E800" s="43" t="s">
        <v>757</v>
      </c>
      <c r="F800" s="43">
        <v>0.3</v>
      </c>
      <c r="G800" s="43">
        <v>0.3</v>
      </c>
      <c r="H800" s="43">
        <v>0.4</v>
      </c>
      <c r="I800" s="43">
        <v>0.4</v>
      </c>
      <c r="J800" s="43">
        <v>0.3</v>
      </c>
      <c r="K800" s="43">
        <v>0.4</v>
      </c>
      <c r="L800" s="43">
        <v>0.4</v>
      </c>
      <c r="M800" s="43">
        <v>0.4</v>
      </c>
      <c r="N800" s="43">
        <v>0.4</v>
      </c>
      <c r="O800" s="43">
        <v>0.4</v>
      </c>
      <c r="P800" s="43"/>
      <c r="Q800" s="43"/>
      <c r="R800" s="43"/>
      <c r="S800" s="43"/>
      <c r="T800" s="43"/>
      <c r="U800" s="43"/>
      <c r="V800" s="43"/>
      <c r="W800" s="43"/>
      <c r="X800" s="43"/>
      <c r="Y800" s="43"/>
      <c r="Z800" s="43"/>
      <c r="AA800" s="43"/>
      <c r="AB800" s="43"/>
      <c r="AC800" s="43"/>
      <c r="AD800" s="43"/>
      <c r="AE800" s="43"/>
      <c r="AF800" s="43"/>
      <c r="AG800" s="43"/>
      <c r="AH800" s="43"/>
      <c r="AI800" s="43"/>
      <c r="AJ800" s="43">
        <v>0.93910000000000005</v>
      </c>
      <c r="AK800" s="43">
        <v>0.97130000000000005</v>
      </c>
      <c r="AL800" s="43">
        <v>1.0222</v>
      </c>
      <c r="AM800" s="43">
        <v>1.0775999999999999</v>
      </c>
      <c r="AN800" s="43">
        <v>1.1435999999999999</v>
      </c>
      <c r="AO800" s="43">
        <v>1.1857</v>
      </c>
      <c r="AP800" s="43">
        <v>1.1939</v>
      </c>
      <c r="AQ800" s="43">
        <v>1.2201</v>
      </c>
      <c r="AR800" s="43">
        <v>1.2611000000000001</v>
      </c>
      <c r="AS800" s="43">
        <v>1.3163</v>
      </c>
      <c r="AT800" s="43">
        <v>1.3479000000000001</v>
      </c>
      <c r="AU800" s="43">
        <v>1.399</v>
      </c>
      <c r="AV800" s="43">
        <v>1.4115</v>
      </c>
      <c r="AW800" s="43">
        <v>1.4294</v>
      </c>
      <c r="AX800" s="43">
        <v>1.4492</v>
      </c>
      <c r="AY800" s="43">
        <v>1.4852000000000001</v>
      </c>
      <c r="AZ800" s="43">
        <v>1.5193000000000001</v>
      </c>
      <c r="BA800" s="43">
        <v>1.5576000000000001</v>
      </c>
      <c r="BB800" s="43">
        <v>1.6063000000000001</v>
      </c>
      <c r="BC800" s="43">
        <v>1.6631</v>
      </c>
      <c r="BD800" s="43">
        <v>1.7068000000000001</v>
      </c>
      <c r="BE800" s="43">
        <v>1.7168000000000001</v>
      </c>
      <c r="BF800" s="43">
        <v>1.7403</v>
      </c>
      <c r="BG800" s="43">
        <v>1.7650999999999999</v>
      </c>
      <c r="BH800" s="43">
        <v>1.7605</v>
      </c>
      <c r="BI800" s="43"/>
      <c r="BJ800" s="43"/>
      <c r="BK800" s="43"/>
      <c r="BL800" s="43"/>
      <c r="BM800" s="43"/>
      <c r="BN800" s="43">
        <f t="shared" si="21"/>
        <v>1.7605</v>
      </c>
      <c r="BO800" s="43">
        <f t="shared" si="22"/>
        <v>2014</v>
      </c>
    </row>
    <row r="801" spans="2:67" x14ac:dyDescent="0.75">
      <c r="B801" s="43" t="s">
        <v>257</v>
      </c>
      <c r="C801" s="43" t="s">
        <v>145</v>
      </c>
      <c r="D801" s="43" t="s">
        <v>758</v>
      </c>
      <c r="E801" s="43" t="s">
        <v>757</v>
      </c>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v>0.625</v>
      </c>
      <c r="AW801" s="43">
        <v>1.0204</v>
      </c>
      <c r="AX801" s="43"/>
      <c r="AY801" s="43"/>
      <c r="AZ801" s="43"/>
      <c r="BA801" s="43"/>
      <c r="BB801" s="43">
        <v>0.97089999999999999</v>
      </c>
      <c r="BC801" s="43">
        <v>1.1537999999999999</v>
      </c>
      <c r="BD801" s="43">
        <v>1.091</v>
      </c>
      <c r="BE801" s="43"/>
      <c r="BF801" s="43"/>
      <c r="BG801" s="43"/>
      <c r="BH801" s="43">
        <v>0.91739999999999999</v>
      </c>
      <c r="BI801" s="43"/>
      <c r="BJ801" s="43"/>
      <c r="BK801" s="43"/>
      <c r="BL801" s="43"/>
      <c r="BM801" s="43"/>
      <c r="BN801" s="43">
        <f t="shared" si="21"/>
        <v>0.91739999999999999</v>
      </c>
      <c r="BO801" s="43">
        <f t="shared" si="22"/>
        <v>2014</v>
      </c>
    </row>
    <row r="802" spans="2:67" x14ac:dyDescent="0.75">
      <c r="B802" s="43" t="s">
        <v>547</v>
      </c>
      <c r="C802" s="43" t="s">
        <v>146</v>
      </c>
      <c r="D802" s="43" t="s">
        <v>758</v>
      </c>
      <c r="E802" s="43" t="s">
        <v>757</v>
      </c>
      <c r="F802" s="43">
        <v>5.5E-2</v>
      </c>
      <c r="G802" s="43">
        <v>0.04</v>
      </c>
      <c r="H802" s="43"/>
      <c r="I802" s="43"/>
      <c r="J802" s="43"/>
      <c r="K802" s="43">
        <v>4.4999999999999998E-2</v>
      </c>
      <c r="L802" s="43"/>
      <c r="M802" s="43"/>
      <c r="N802" s="43"/>
      <c r="O802" s="43"/>
      <c r="P802" s="43">
        <v>4.3999999999999997E-2</v>
      </c>
      <c r="Q802" s="43"/>
      <c r="R802" s="43"/>
      <c r="S802" s="43"/>
      <c r="T802" s="43"/>
      <c r="U802" s="43">
        <v>4.3999999999999997E-2</v>
      </c>
      <c r="V802" s="43"/>
      <c r="W802" s="43"/>
      <c r="X802" s="43"/>
      <c r="Y802" s="43"/>
      <c r="Z802" s="43"/>
      <c r="AA802" s="43"/>
      <c r="AB802" s="43"/>
      <c r="AC802" s="43"/>
      <c r="AD802" s="43">
        <v>3.9E-2</v>
      </c>
      <c r="AE802" s="43">
        <v>3.5000000000000003E-2</v>
      </c>
      <c r="AF802" s="43"/>
      <c r="AG802" s="43">
        <v>3.9E-2</v>
      </c>
      <c r="AH802" s="43"/>
      <c r="AI802" s="43"/>
      <c r="AJ802" s="43"/>
      <c r="AK802" s="43"/>
      <c r="AL802" s="43"/>
      <c r="AM802" s="43"/>
      <c r="AN802" s="43">
        <v>4.2000000000000003E-2</v>
      </c>
      <c r="AO802" s="43">
        <v>4.1000000000000002E-2</v>
      </c>
      <c r="AP802" s="43"/>
      <c r="AQ802" s="43"/>
      <c r="AR802" s="43"/>
      <c r="AS802" s="43"/>
      <c r="AT802" s="43"/>
      <c r="AU802" s="43"/>
      <c r="AV802" s="43">
        <v>2.2800000000000001E-2</v>
      </c>
      <c r="AW802" s="43"/>
      <c r="AX802" s="43"/>
      <c r="AY802" s="43"/>
      <c r="AZ802" s="43"/>
      <c r="BA802" s="43"/>
      <c r="BB802" s="43"/>
      <c r="BC802" s="43"/>
      <c r="BD802" s="43">
        <v>8.0000000000000002E-3</v>
      </c>
      <c r="BE802" s="43"/>
      <c r="BF802" s="43">
        <v>3.0200000000000001E-2</v>
      </c>
      <c r="BG802" s="43"/>
      <c r="BH802" s="43">
        <v>3.9899999999999998E-2</v>
      </c>
      <c r="BI802" s="43"/>
      <c r="BJ802" s="43"/>
      <c r="BK802" s="43"/>
      <c r="BL802" s="43"/>
      <c r="BM802" s="43"/>
      <c r="BN802" s="43">
        <f t="shared" si="21"/>
        <v>3.9899999999999998E-2</v>
      </c>
      <c r="BO802" s="43">
        <f t="shared" si="22"/>
        <v>2014</v>
      </c>
    </row>
    <row r="803" spans="2:67" x14ac:dyDescent="0.75">
      <c r="B803" s="43" t="s">
        <v>216</v>
      </c>
      <c r="C803" s="43" t="s">
        <v>147</v>
      </c>
      <c r="D803" s="43" t="s">
        <v>758</v>
      </c>
      <c r="E803" s="43" t="s">
        <v>757</v>
      </c>
      <c r="F803" s="43">
        <v>7.3999999999999996E-2</v>
      </c>
      <c r="G803" s="43"/>
      <c r="H803" s="43"/>
      <c r="I803" s="43"/>
      <c r="J803" s="43"/>
      <c r="K803" s="43">
        <v>0.09</v>
      </c>
      <c r="L803" s="43"/>
      <c r="M803" s="43"/>
      <c r="N803" s="43"/>
      <c r="O803" s="43"/>
      <c r="P803" s="43">
        <v>0.108</v>
      </c>
      <c r="Q803" s="43"/>
      <c r="R803" s="43"/>
      <c r="S803" s="43"/>
      <c r="T803" s="43"/>
      <c r="U803" s="43">
        <v>0.108</v>
      </c>
      <c r="V803" s="43"/>
      <c r="W803" s="43"/>
      <c r="X803" s="43"/>
      <c r="Y803" s="43"/>
      <c r="Z803" s="43"/>
      <c r="AA803" s="43">
        <v>4.7E-2</v>
      </c>
      <c r="AB803" s="43">
        <v>4.5999999999999999E-2</v>
      </c>
      <c r="AC803" s="43"/>
      <c r="AD803" s="43">
        <v>4.3999999999999997E-2</v>
      </c>
      <c r="AE803" s="43"/>
      <c r="AF803" s="43"/>
      <c r="AG803" s="43"/>
      <c r="AH803" s="43"/>
      <c r="AI803" s="43">
        <v>4.4999999999999998E-2</v>
      </c>
      <c r="AJ803" s="43"/>
      <c r="AK803" s="43"/>
      <c r="AL803" s="43"/>
      <c r="AM803" s="43">
        <v>0.04</v>
      </c>
      <c r="AN803" s="43"/>
      <c r="AO803" s="43"/>
      <c r="AP803" s="43"/>
      <c r="AQ803" s="43"/>
      <c r="AR803" s="43"/>
      <c r="AS803" s="43"/>
      <c r="AT803" s="43"/>
      <c r="AU803" s="43"/>
      <c r="AV803" s="43">
        <v>4.7E-2</v>
      </c>
      <c r="AW803" s="43"/>
      <c r="AX803" s="43">
        <v>8.0100000000000005E-2</v>
      </c>
      <c r="AY803" s="43">
        <v>0.1177</v>
      </c>
      <c r="AZ803" s="43"/>
      <c r="BA803" s="43"/>
      <c r="BB803" s="43"/>
      <c r="BC803" s="43"/>
      <c r="BD803" s="43">
        <v>0.11700000000000001</v>
      </c>
      <c r="BE803" s="43"/>
      <c r="BF803" s="43">
        <v>9.2799999999999994E-2</v>
      </c>
      <c r="BG803" s="43"/>
      <c r="BH803" s="43"/>
      <c r="BI803" s="43">
        <v>9.0800000000000006E-2</v>
      </c>
      <c r="BJ803" s="43"/>
      <c r="BK803" s="43"/>
      <c r="BL803" s="43"/>
      <c r="BM803" s="43"/>
      <c r="BN803" s="43">
        <f t="shared" si="21"/>
        <v>9.0800000000000006E-2</v>
      </c>
      <c r="BO803" s="43">
        <f t="shared" si="22"/>
        <v>2015</v>
      </c>
    </row>
    <row r="804" spans="2:67" x14ac:dyDescent="0.75">
      <c r="B804" s="43" t="s">
        <v>239</v>
      </c>
      <c r="C804" s="43" t="s">
        <v>148</v>
      </c>
      <c r="D804" s="43" t="s">
        <v>758</v>
      </c>
      <c r="E804" s="43" t="s">
        <v>757</v>
      </c>
      <c r="F804" s="43"/>
      <c r="G804" s="43"/>
      <c r="H804" s="43"/>
      <c r="I804" s="43"/>
      <c r="J804" s="43"/>
      <c r="K804" s="43"/>
      <c r="L804" s="43"/>
      <c r="M804" s="43"/>
      <c r="N804" s="43"/>
      <c r="O804" s="43"/>
      <c r="P804" s="43"/>
      <c r="Q804" s="43"/>
      <c r="R804" s="43"/>
      <c r="S804" s="43"/>
      <c r="T804" s="43"/>
      <c r="U804" s="43"/>
      <c r="V804" s="43"/>
      <c r="W804" s="43"/>
      <c r="X804" s="43"/>
      <c r="Y804" s="43"/>
      <c r="Z804" s="43">
        <v>3.5150000000000001</v>
      </c>
      <c r="AA804" s="43">
        <v>3.6309999999999998</v>
      </c>
      <c r="AB804" s="43">
        <v>3.7410000000000001</v>
      </c>
      <c r="AC804" s="43">
        <v>3.82</v>
      </c>
      <c r="AD804" s="43">
        <v>3.9089999999999998</v>
      </c>
      <c r="AE804" s="43">
        <v>4.0019999999999998</v>
      </c>
      <c r="AF804" s="43">
        <v>4.0599999999999996</v>
      </c>
      <c r="AG804" s="43">
        <v>4.1429999999999998</v>
      </c>
      <c r="AH804" s="43">
        <v>4.2</v>
      </c>
      <c r="AI804" s="43">
        <v>4.2750000000000004</v>
      </c>
      <c r="AJ804" s="43">
        <v>4.29</v>
      </c>
      <c r="AK804" s="43">
        <v>4.3449999999999998</v>
      </c>
      <c r="AL804" s="43">
        <v>4.2969999999999997</v>
      </c>
      <c r="AM804" s="43">
        <v>4.3419999999999996</v>
      </c>
      <c r="AN804" s="43">
        <v>4.3140000000000001</v>
      </c>
      <c r="AO804" s="43">
        <v>4.407</v>
      </c>
      <c r="AP804" s="43">
        <v>2.992</v>
      </c>
      <c r="AQ804" s="43">
        <v>2.97</v>
      </c>
      <c r="AR804" s="43">
        <v>2.99</v>
      </c>
      <c r="AS804" s="43">
        <v>2.9860000000000002</v>
      </c>
      <c r="AT804" s="43">
        <v>2.9780000000000002</v>
      </c>
      <c r="AU804" s="43"/>
      <c r="AV804" s="43"/>
      <c r="AW804" s="43">
        <v>2.9510000000000001</v>
      </c>
      <c r="AX804" s="43"/>
      <c r="AY804" s="43"/>
      <c r="AZ804" s="43">
        <v>3.125</v>
      </c>
      <c r="BA804" s="43"/>
      <c r="BB804" s="43"/>
      <c r="BC804" s="43"/>
      <c r="BD804" s="43">
        <v>3.4830000000000001</v>
      </c>
      <c r="BE804" s="43">
        <v>3.4874999999999998</v>
      </c>
      <c r="BF804" s="43">
        <v>3.4990999999999999</v>
      </c>
      <c r="BG804" s="43">
        <v>3.5097</v>
      </c>
      <c r="BH804" s="43">
        <v>3.0074999999999998</v>
      </c>
      <c r="BI804" s="43"/>
      <c r="BJ804" s="43"/>
      <c r="BK804" s="43"/>
      <c r="BL804" s="43"/>
      <c r="BM804" s="43"/>
      <c r="BN804" s="43">
        <f t="shared" si="21"/>
        <v>3.0074999999999998</v>
      </c>
      <c r="BO804" s="43">
        <f t="shared" si="22"/>
        <v>2014</v>
      </c>
    </row>
    <row r="805" spans="2:67" x14ac:dyDescent="0.75">
      <c r="B805" s="43" t="s">
        <v>558</v>
      </c>
      <c r="C805" s="43" t="s">
        <v>559</v>
      </c>
      <c r="D805" s="43" t="s">
        <v>758</v>
      </c>
      <c r="E805" s="43" t="s">
        <v>757</v>
      </c>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v>1.3512353438311562</v>
      </c>
      <c r="AK805" s="43"/>
      <c r="AL805" s="43"/>
      <c r="AM805" s="43"/>
      <c r="AN805" s="43"/>
      <c r="AO805" s="43"/>
      <c r="AP805" s="43"/>
      <c r="AQ805" s="43"/>
      <c r="AR805" s="43"/>
      <c r="AS805" s="43"/>
      <c r="AT805" s="43">
        <v>1.5414672573077715</v>
      </c>
      <c r="AU805" s="43"/>
      <c r="AV805" s="43"/>
      <c r="AW805" s="43"/>
      <c r="AX805" s="43"/>
      <c r="AY805" s="43"/>
      <c r="AZ805" s="43"/>
      <c r="BA805" s="43"/>
      <c r="BB805" s="43"/>
      <c r="BC805" s="43"/>
      <c r="BD805" s="43"/>
      <c r="BE805" s="43"/>
      <c r="BF805" s="43"/>
      <c r="BG805" s="43"/>
      <c r="BH805" s="43"/>
      <c r="BI805" s="43">
        <v>1.9712890693055864</v>
      </c>
      <c r="BJ805" s="43"/>
      <c r="BK805" s="43"/>
      <c r="BL805" s="43"/>
      <c r="BM805" s="43"/>
      <c r="BN805" s="43">
        <f t="shared" si="21"/>
        <v>1.9712890693055864</v>
      </c>
      <c r="BO805" s="43">
        <f t="shared" si="22"/>
        <v>2015</v>
      </c>
    </row>
    <row r="806" spans="2:67" x14ac:dyDescent="0.75">
      <c r="B806" s="43" t="s">
        <v>560</v>
      </c>
      <c r="C806" s="43" t="s">
        <v>561</v>
      </c>
      <c r="D806" s="43" t="s">
        <v>758</v>
      </c>
      <c r="E806" s="43" t="s">
        <v>757</v>
      </c>
      <c r="F806" s="43">
        <v>1.0640000000000001</v>
      </c>
      <c r="G806" s="43"/>
      <c r="H806" s="43"/>
      <c r="I806" s="43"/>
      <c r="J806" s="43"/>
      <c r="K806" s="43">
        <v>1.1359999999999999</v>
      </c>
      <c r="L806" s="43"/>
      <c r="M806" s="43"/>
      <c r="N806" s="43"/>
      <c r="O806" s="43"/>
      <c r="P806" s="43">
        <v>1.093</v>
      </c>
      <c r="Q806" s="43"/>
      <c r="R806" s="43"/>
      <c r="S806" s="43"/>
      <c r="T806" s="43"/>
      <c r="U806" s="43">
        <v>1.111</v>
      </c>
      <c r="V806" s="43"/>
      <c r="W806" s="43"/>
      <c r="X806" s="43"/>
      <c r="Y806" s="43"/>
      <c r="Z806" s="43"/>
      <c r="AA806" s="43">
        <v>1.9970000000000001</v>
      </c>
      <c r="AB806" s="43"/>
      <c r="AC806" s="43"/>
      <c r="AD806" s="43">
        <v>1.9259999999999999</v>
      </c>
      <c r="AE806" s="43">
        <v>1.9470000000000001</v>
      </c>
      <c r="AF806" s="43"/>
      <c r="AG806" s="43"/>
      <c r="AH806" s="43"/>
      <c r="AI806" s="43"/>
      <c r="AJ806" s="43">
        <v>3.68</v>
      </c>
      <c r="AK806" s="43"/>
      <c r="AL806" s="43">
        <v>3.226</v>
      </c>
      <c r="AM806" s="43"/>
      <c r="AN806" s="43"/>
      <c r="AO806" s="43">
        <v>3.56</v>
      </c>
      <c r="AP806" s="43">
        <v>3.7029999999999998</v>
      </c>
      <c r="AQ806" s="43"/>
      <c r="AR806" s="43"/>
      <c r="AS806" s="43">
        <v>3.7450000000000001</v>
      </c>
      <c r="AT806" s="43"/>
      <c r="AU806" s="43"/>
      <c r="AV806" s="43">
        <v>3.7214</v>
      </c>
      <c r="AW806" s="43"/>
      <c r="AX806" s="43"/>
      <c r="AY806" s="43"/>
      <c r="AZ806" s="43"/>
      <c r="BA806" s="43">
        <v>4.181</v>
      </c>
      <c r="BB806" s="43">
        <v>3.9384999999999999</v>
      </c>
      <c r="BC806" s="43"/>
      <c r="BD806" s="43">
        <v>3.7360000000000002</v>
      </c>
      <c r="BE806" s="43"/>
      <c r="BF806" s="43"/>
      <c r="BG806" s="43"/>
      <c r="BH806" s="43"/>
      <c r="BI806" s="43"/>
      <c r="BJ806" s="43">
        <v>3.9329000000000001</v>
      </c>
      <c r="BK806" s="43">
        <v>5.0499000000000001</v>
      </c>
      <c r="BL806" s="43"/>
      <c r="BM806" s="43"/>
      <c r="BN806" s="43">
        <f t="shared" si="21"/>
        <v>5.0499000000000001</v>
      </c>
      <c r="BO806" s="43">
        <f t="shared" si="22"/>
        <v>2017</v>
      </c>
    </row>
    <row r="807" spans="2:67" x14ac:dyDescent="0.75">
      <c r="B807" s="43" t="s">
        <v>557</v>
      </c>
      <c r="C807" s="43" t="s">
        <v>149</v>
      </c>
      <c r="D807" s="43" t="s">
        <v>758</v>
      </c>
      <c r="E807" s="43" t="s">
        <v>757</v>
      </c>
      <c r="F807" s="43">
        <v>1.1000000000000001</v>
      </c>
      <c r="G807" s="43"/>
      <c r="H807" s="43"/>
      <c r="I807" s="43"/>
      <c r="J807" s="43"/>
      <c r="K807" s="43">
        <v>1.2</v>
      </c>
      <c r="L807" s="43"/>
      <c r="M807" s="43"/>
      <c r="N807" s="43"/>
      <c r="O807" s="43"/>
      <c r="P807" s="43">
        <v>1.2</v>
      </c>
      <c r="Q807" s="43"/>
      <c r="R807" s="43"/>
      <c r="S807" s="43"/>
      <c r="T807" s="43"/>
      <c r="U807" s="43">
        <v>1.3</v>
      </c>
      <c r="V807" s="43">
        <v>1.3</v>
      </c>
      <c r="W807" s="43">
        <v>1.3</v>
      </c>
      <c r="X807" s="43">
        <v>1.4</v>
      </c>
      <c r="Y807" s="43">
        <v>1.4</v>
      </c>
      <c r="Z807" s="43">
        <v>1.5</v>
      </c>
      <c r="AA807" s="43">
        <v>1.5</v>
      </c>
      <c r="AB807" s="43">
        <v>1.6</v>
      </c>
      <c r="AC807" s="43">
        <v>1.6</v>
      </c>
      <c r="AD807" s="43"/>
      <c r="AE807" s="43"/>
      <c r="AF807" s="43">
        <v>1.7</v>
      </c>
      <c r="AG807" s="43">
        <v>1.8</v>
      </c>
      <c r="AH807" s="43">
        <v>1.8</v>
      </c>
      <c r="AI807" s="43">
        <v>1.8</v>
      </c>
      <c r="AJ807" s="43">
        <v>1.8</v>
      </c>
      <c r="AK807" s="43">
        <v>1.9</v>
      </c>
      <c r="AL807" s="43">
        <v>1.9</v>
      </c>
      <c r="AM807" s="43">
        <v>1.9</v>
      </c>
      <c r="AN807" s="43"/>
      <c r="AO807" s="43">
        <v>2.4340000000000002</v>
      </c>
      <c r="AP807" s="43">
        <v>2</v>
      </c>
      <c r="AQ807" s="43">
        <v>2.1</v>
      </c>
      <c r="AR807" s="43">
        <v>2.1</v>
      </c>
      <c r="AS807" s="43">
        <v>2.2000000000000002</v>
      </c>
      <c r="AT807" s="43">
        <v>2.5916999999999999</v>
      </c>
      <c r="AU807" s="43">
        <v>2.2000000000000002</v>
      </c>
      <c r="AV807" s="43">
        <v>2.2999999999999998</v>
      </c>
      <c r="AW807" s="43"/>
      <c r="AX807" s="43">
        <v>2.7130000000000001</v>
      </c>
      <c r="AY807" s="43">
        <v>2.9401000000000002</v>
      </c>
      <c r="AZ807" s="43">
        <v>2.4020000000000001</v>
      </c>
      <c r="BA807" s="43">
        <v>2.41</v>
      </c>
      <c r="BB807" s="43">
        <v>2.4159999999999999</v>
      </c>
      <c r="BC807" s="43">
        <v>2.4220000000000002</v>
      </c>
      <c r="BD807" s="43">
        <v>2.4382999999999999</v>
      </c>
      <c r="BE807" s="43">
        <v>2.4683000000000002</v>
      </c>
      <c r="BF807" s="43">
        <v>2.5041000000000002</v>
      </c>
      <c r="BG807" s="43">
        <v>2.5666000000000002</v>
      </c>
      <c r="BH807" s="43">
        <v>2.5817000000000001</v>
      </c>
      <c r="BI807" s="43">
        <v>2.5857999999999999</v>
      </c>
      <c r="BJ807" s="43">
        <v>2.5948000000000002</v>
      </c>
      <c r="BK807" s="43"/>
      <c r="BL807" s="43"/>
      <c r="BM807" s="43"/>
      <c r="BN807" s="43">
        <f t="shared" si="21"/>
        <v>2.5948000000000002</v>
      </c>
      <c r="BO807" s="43">
        <f t="shared" si="22"/>
        <v>2016</v>
      </c>
    </row>
    <row r="808" spans="2:67" x14ac:dyDescent="0.75">
      <c r="B808" s="43" t="s">
        <v>562</v>
      </c>
      <c r="C808" s="43" t="s">
        <v>150</v>
      </c>
      <c r="D808" s="43" t="s">
        <v>758</v>
      </c>
      <c r="E808" s="43" t="s">
        <v>757</v>
      </c>
      <c r="F808" s="43"/>
      <c r="G808" s="43"/>
      <c r="H808" s="43"/>
      <c r="I808" s="43"/>
      <c r="J808" s="43"/>
      <c r="K808" s="43"/>
      <c r="L808" s="43"/>
      <c r="M808" s="43"/>
      <c r="N808" s="43"/>
      <c r="O808" s="43"/>
      <c r="P808" s="43"/>
      <c r="Q808" s="43"/>
      <c r="R808" s="43"/>
      <c r="S808" s="43"/>
      <c r="T808" s="43"/>
      <c r="U808" s="43"/>
      <c r="V808" s="43"/>
      <c r="W808" s="43"/>
      <c r="X808" s="43"/>
      <c r="Y808" s="43"/>
      <c r="Z808" s="43">
        <v>2.669</v>
      </c>
      <c r="AA808" s="43"/>
      <c r="AB808" s="43"/>
      <c r="AC808" s="43"/>
      <c r="AD808" s="43"/>
      <c r="AE808" s="43">
        <v>2.694</v>
      </c>
      <c r="AF808" s="43">
        <v>3.2549999999999999</v>
      </c>
      <c r="AG808" s="43">
        <v>3.319</v>
      </c>
      <c r="AH808" s="43">
        <v>3.3639999999999999</v>
      </c>
      <c r="AI808" s="43">
        <v>3.3860000000000001</v>
      </c>
      <c r="AJ808" s="43">
        <v>3.3879999999999999</v>
      </c>
      <c r="AK808" s="43">
        <v>3.4249999999999998</v>
      </c>
      <c r="AL808" s="43">
        <v>3.3210000000000002</v>
      </c>
      <c r="AM808" s="43">
        <v>3.3380000000000001</v>
      </c>
      <c r="AN808" s="43">
        <v>3.2949999999999999</v>
      </c>
      <c r="AO808" s="43">
        <v>3.2389999999999999</v>
      </c>
      <c r="AP808" s="43">
        <v>3.1709999999999998</v>
      </c>
      <c r="AQ808" s="43">
        <v>3.1150000000000002</v>
      </c>
      <c r="AR808" s="43">
        <v>3.085</v>
      </c>
      <c r="AS808" s="43">
        <v>2.9750000000000001</v>
      </c>
      <c r="AT808" s="43">
        <v>2.9460000000000002</v>
      </c>
      <c r="AU808" s="43">
        <v>2.8849999999999998</v>
      </c>
      <c r="AV808" s="43"/>
      <c r="AW808" s="43">
        <v>2.7450000000000001</v>
      </c>
      <c r="AX808" s="43"/>
      <c r="AY808" s="43">
        <v>2.65</v>
      </c>
      <c r="AZ808" s="43"/>
      <c r="BA808" s="43">
        <v>2.617</v>
      </c>
      <c r="BB808" s="43"/>
      <c r="BC808" s="43">
        <v>2.5609999999999999</v>
      </c>
      <c r="BD808" s="43">
        <v>2.5352000000000001</v>
      </c>
      <c r="BE808" s="43">
        <v>2.4958</v>
      </c>
      <c r="BF808" s="43">
        <v>2.4375</v>
      </c>
      <c r="BG808" s="43">
        <v>2.3975</v>
      </c>
      <c r="BH808" s="43">
        <v>2.3685</v>
      </c>
      <c r="BI808" s="43"/>
      <c r="BJ808" s="43"/>
      <c r="BK808" s="43"/>
      <c r="BL808" s="43"/>
      <c r="BM808" s="43"/>
      <c r="BN808" s="43">
        <f t="shared" si="21"/>
        <v>2.3685</v>
      </c>
      <c r="BO808" s="43">
        <f t="shared" si="22"/>
        <v>2014</v>
      </c>
    </row>
    <row r="809" spans="2:67" x14ac:dyDescent="0.75">
      <c r="B809" s="43" t="s">
        <v>536</v>
      </c>
      <c r="C809" s="43" t="s">
        <v>537</v>
      </c>
      <c r="D809" s="43" t="s">
        <v>758</v>
      </c>
      <c r="E809" s="43" t="s">
        <v>757</v>
      </c>
      <c r="F809" s="43">
        <v>0.1</v>
      </c>
      <c r="G809" s="43"/>
      <c r="H809" s="43"/>
      <c r="I809" s="43"/>
      <c r="J809" s="43"/>
      <c r="K809" s="43"/>
      <c r="L809" s="43"/>
      <c r="M809" s="43"/>
      <c r="N809" s="43"/>
      <c r="O809" s="43"/>
      <c r="P809" s="43">
        <v>0.182</v>
      </c>
      <c r="Q809" s="43"/>
      <c r="R809" s="43"/>
      <c r="S809" s="43"/>
      <c r="T809" s="43"/>
      <c r="U809" s="43"/>
      <c r="V809" s="43"/>
      <c r="W809" s="43"/>
      <c r="X809" s="43"/>
      <c r="Y809" s="43"/>
      <c r="Z809" s="43"/>
      <c r="AA809" s="43"/>
      <c r="AB809" s="43"/>
      <c r="AC809" s="43"/>
      <c r="AD809" s="43">
        <v>0.26600000000000001</v>
      </c>
      <c r="AE809" s="43"/>
      <c r="AF809" s="43"/>
      <c r="AG809" s="43"/>
      <c r="AH809" s="43"/>
      <c r="AI809" s="43"/>
      <c r="AJ809" s="43">
        <v>0.46</v>
      </c>
      <c r="AK809" s="43">
        <v>0.13500000000000001</v>
      </c>
      <c r="AL809" s="43"/>
      <c r="AM809" s="43"/>
      <c r="AN809" s="43"/>
      <c r="AO809" s="43">
        <v>0.46</v>
      </c>
      <c r="AP809" s="43"/>
      <c r="AQ809" s="43">
        <v>0.93520000000000003</v>
      </c>
      <c r="AR809" s="43"/>
      <c r="AS809" s="43"/>
      <c r="AT809" s="43">
        <v>0.82479999999999998</v>
      </c>
      <c r="AU809" s="43">
        <v>0.57410000000000005</v>
      </c>
      <c r="AV809" s="43"/>
      <c r="AW809" s="43"/>
      <c r="AX809" s="43">
        <v>0.93</v>
      </c>
      <c r="AY809" s="43"/>
      <c r="AZ809" s="43"/>
      <c r="BA809" s="43"/>
      <c r="BB809" s="43"/>
      <c r="BC809" s="43"/>
      <c r="BD809" s="43">
        <v>0.65869999999999995</v>
      </c>
      <c r="BE809" s="43"/>
      <c r="BF809" s="43"/>
      <c r="BG809" s="43"/>
      <c r="BH809" s="43"/>
      <c r="BI809" s="43"/>
      <c r="BJ809" s="43"/>
      <c r="BK809" s="43"/>
      <c r="BL809" s="43"/>
      <c r="BM809" s="43"/>
      <c r="BN809" s="43">
        <f t="shared" si="21"/>
        <v>0.65869999999999995</v>
      </c>
      <c r="BO809" s="43">
        <f t="shared" si="22"/>
        <v>2010</v>
      </c>
    </row>
    <row r="810" spans="2:67" x14ac:dyDescent="0.75">
      <c r="B810" s="43" t="s">
        <v>563</v>
      </c>
      <c r="C810" s="43" t="s">
        <v>564</v>
      </c>
      <c r="D810" s="43" t="s">
        <v>758</v>
      </c>
      <c r="E810" s="43" t="s">
        <v>757</v>
      </c>
      <c r="F810" s="43">
        <v>0.66600000000000004</v>
      </c>
      <c r="G810" s="43"/>
      <c r="H810" s="43"/>
      <c r="I810" s="43"/>
      <c r="J810" s="43"/>
      <c r="K810" s="43">
        <v>0.81499999999999995</v>
      </c>
      <c r="L810" s="43"/>
      <c r="M810" s="43"/>
      <c r="N810" s="43"/>
      <c r="O810" s="43"/>
      <c r="P810" s="43">
        <v>0.88300000000000001</v>
      </c>
      <c r="Q810" s="43"/>
      <c r="R810" s="43"/>
      <c r="S810" s="43"/>
      <c r="T810" s="43">
        <v>0.90400000000000003</v>
      </c>
      <c r="U810" s="43">
        <v>0.90400000000000003</v>
      </c>
      <c r="V810" s="43">
        <v>0.90400000000000003</v>
      </c>
      <c r="W810" s="43"/>
      <c r="X810" s="43"/>
      <c r="Y810" s="43"/>
      <c r="Z810" s="43">
        <v>0.83</v>
      </c>
      <c r="AA810" s="43">
        <v>0.996</v>
      </c>
      <c r="AB810" s="43">
        <v>0.83299999999999996</v>
      </c>
      <c r="AC810" s="43"/>
      <c r="AD810" s="43">
        <v>1.4359999999999999</v>
      </c>
      <c r="AE810" s="43">
        <v>1.196</v>
      </c>
      <c r="AF810" s="43">
        <v>1.399</v>
      </c>
      <c r="AG810" s="43">
        <v>1.401</v>
      </c>
      <c r="AH810" s="43">
        <v>1.6</v>
      </c>
      <c r="AI810" s="43">
        <v>1.6950000000000001</v>
      </c>
      <c r="AJ810" s="43">
        <v>1.5640000000000001</v>
      </c>
      <c r="AK810" s="43"/>
      <c r="AL810" s="43"/>
      <c r="AM810" s="43"/>
      <c r="AN810" s="43"/>
      <c r="AO810" s="43">
        <v>1.94</v>
      </c>
      <c r="AP810" s="43"/>
      <c r="AQ810" s="43"/>
      <c r="AR810" s="43"/>
      <c r="AS810" s="43"/>
      <c r="AT810" s="43"/>
      <c r="AU810" s="43">
        <v>1.9239999999999999</v>
      </c>
      <c r="AV810" s="43"/>
      <c r="AW810" s="43"/>
      <c r="AX810" s="43"/>
      <c r="AY810" s="43"/>
      <c r="AZ810" s="43"/>
      <c r="BA810" s="43"/>
      <c r="BB810" s="43"/>
      <c r="BC810" s="43"/>
      <c r="BD810" s="43"/>
      <c r="BE810" s="43"/>
      <c r="BF810" s="43"/>
      <c r="BG810" s="43"/>
      <c r="BH810" s="43"/>
      <c r="BI810" s="43"/>
      <c r="BJ810" s="43"/>
      <c r="BK810" s="43"/>
      <c r="BL810" s="43"/>
      <c r="BM810" s="43"/>
      <c r="BN810" s="43">
        <f t="shared" si="21"/>
        <v>1.9239999999999999</v>
      </c>
      <c r="BO810" s="43">
        <f t="shared" si="22"/>
        <v>2001</v>
      </c>
    </row>
    <row r="811" spans="2:67" x14ac:dyDescent="0.75">
      <c r="B811" s="43" t="s">
        <v>338</v>
      </c>
      <c r="C811" s="43" t="s">
        <v>339</v>
      </c>
      <c r="D811" s="43" t="s">
        <v>758</v>
      </c>
      <c r="E811" s="43" t="s">
        <v>757</v>
      </c>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t="str">
        <f t="shared" si="21"/>
        <v>No reported value</v>
      </c>
      <c r="BO811" s="43" t="str">
        <f t="shared" si="22"/>
        <v>No reported value</v>
      </c>
    </row>
    <row r="812" spans="2:67" x14ac:dyDescent="0.75">
      <c r="B812" s="43" t="s">
        <v>566</v>
      </c>
      <c r="C812" s="43" t="s">
        <v>567</v>
      </c>
      <c r="D812" s="43" t="s">
        <v>758</v>
      </c>
      <c r="E812" s="43" t="s">
        <v>757</v>
      </c>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v>1.65</v>
      </c>
      <c r="AK812" s="43"/>
      <c r="AL812" s="43"/>
      <c r="AM812" s="43"/>
      <c r="AN812" s="43"/>
      <c r="AO812" s="43">
        <v>1.645</v>
      </c>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f t="shared" si="21"/>
        <v>1.645</v>
      </c>
      <c r="BO812" s="43">
        <f t="shared" si="22"/>
        <v>1995</v>
      </c>
    </row>
    <row r="813" spans="2:67" x14ac:dyDescent="0.75">
      <c r="B813" s="43" t="s">
        <v>565</v>
      </c>
      <c r="C813" s="43" t="s">
        <v>160</v>
      </c>
      <c r="D813" s="43" t="s">
        <v>758</v>
      </c>
      <c r="E813" s="43" t="s">
        <v>757</v>
      </c>
      <c r="F813" s="43"/>
      <c r="G813" s="43"/>
      <c r="H813" s="43"/>
      <c r="I813" s="43"/>
      <c r="J813" s="43"/>
      <c r="K813" s="43"/>
      <c r="L813" s="43"/>
      <c r="M813" s="43"/>
      <c r="N813" s="43"/>
      <c r="O813" s="43"/>
      <c r="P813" s="43"/>
      <c r="Q813" s="43"/>
      <c r="R813" s="43"/>
      <c r="S813" s="43"/>
      <c r="T813" s="43"/>
      <c r="U813" s="43"/>
      <c r="V813" s="43"/>
      <c r="W813" s="43"/>
      <c r="X813" s="43"/>
      <c r="Y813" s="43"/>
      <c r="Z813" s="43">
        <v>0.24099999999999999</v>
      </c>
      <c r="AA813" s="43">
        <v>0.247</v>
      </c>
      <c r="AB813" s="43"/>
      <c r="AC813" s="43"/>
      <c r="AD813" s="43"/>
      <c r="AE813" s="43"/>
      <c r="AF813" s="43">
        <v>1.056</v>
      </c>
      <c r="AG813" s="43"/>
      <c r="AH813" s="43"/>
      <c r="AI813" s="43">
        <v>0.39100000000000001</v>
      </c>
      <c r="AJ813" s="43">
        <v>0.40400000000000003</v>
      </c>
      <c r="AK813" s="43">
        <v>0.40699999999999997</v>
      </c>
      <c r="AL813" s="43">
        <v>0.437</v>
      </c>
      <c r="AM813" s="43"/>
      <c r="AN813" s="43"/>
      <c r="AO813" s="43"/>
      <c r="AP813" s="43"/>
      <c r="AQ813" s="43">
        <v>0.56899999999999995</v>
      </c>
      <c r="AR813" s="43">
        <v>0.48</v>
      </c>
      <c r="AS813" s="43">
        <v>0.51500000000000001</v>
      </c>
      <c r="AT813" s="43"/>
      <c r="AU813" s="43">
        <v>0.52170000000000005</v>
      </c>
      <c r="AV813" s="43">
        <v>0.54859999999999998</v>
      </c>
      <c r="AW813" s="43"/>
      <c r="AX813" s="43"/>
      <c r="AY813" s="43">
        <v>0.61040000000000005</v>
      </c>
      <c r="AZ813" s="43">
        <v>0.62039999999999995</v>
      </c>
      <c r="BA813" s="43">
        <v>0.63800000000000001</v>
      </c>
      <c r="BB813" s="43">
        <v>0.66120000000000001</v>
      </c>
      <c r="BC813" s="43">
        <v>0.69440000000000002</v>
      </c>
      <c r="BD813" s="43">
        <v>0.70599999999999996</v>
      </c>
      <c r="BE813" s="43">
        <v>1.1519999999999999</v>
      </c>
      <c r="BF813" s="43">
        <v>0.81499999999999995</v>
      </c>
      <c r="BG813" s="43">
        <v>1.18</v>
      </c>
      <c r="BH813" s="43">
        <v>0.77600000000000002</v>
      </c>
      <c r="BI813" s="43">
        <v>0.78869999999999996</v>
      </c>
      <c r="BJ813" s="43">
        <v>0.81989999999999996</v>
      </c>
      <c r="BK813" s="43"/>
      <c r="BL813" s="43"/>
      <c r="BM813" s="43"/>
      <c r="BN813" s="43">
        <f t="shared" si="21"/>
        <v>0.81989999999999996</v>
      </c>
      <c r="BO813" s="43">
        <f t="shared" si="22"/>
        <v>2016</v>
      </c>
    </row>
    <row r="814" spans="2:67" x14ac:dyDescent="0.75">
      <c r="B814" s="43" t="s">
        <v>258</v>
      </c>
      <c r="C814" s="43" t="s">
        <v>151</v>
      </c>
      <c r="D814" s="43" t="s">
        <v>758</v>
      </c>
      <c r="E814" s="43" t="s">
        <v>757</v>
      </c>
      <c r="F814" s="43">
        <v>0.27700000000000002</v>
      </c>
      <c r="G814" s="43"/>
      <c r="H814" s="43"/>
      <c r="I814" s="43"/>
      <c r="J814" s="43"/>
      <c r="K814" s="43"/>
      <c r="L814" s="43"/>
      <c r="M814" s="43"/>
      <c r="N814" s="43"/>
      <c r="O814" s="43"/>
      <c r="P814" s="43">
        <v>0.30099999999999999</v>
      </c>
      <c r="Q814" s="43"/>
      <c r="R814" s="43"/>
      <c r="S814" s="43"/>
      <c r="T814" s="43"/>
      <c r="U814" s="43"/>
      <c r="V814" s="43"/>
      <c r="W814" s="43"/>
      <c r="X814" s="43"/>
      <c r="Y814" s="43"/>
      <c r="Z814" s="43">
        <v>0.191</v>
      </c>
      <c r="AA814" s="43">
        <v>0.189</v>
      </c>
      <c r="AB814" s="43"/>
      <c r="AC814" s="43"/>
      <c r="AD814" s="43"/>
      <c r="AE814" s="43"/>
      <c r="AF814" s="43">
        <v>0.20399999999999999</v>
      </c>
      <c r="AG814" s="43"/>
      <c r="AH814" s="43"/>
      <c r="AI814" s="43">
        <v>0.125</v>
      </c>
      <c r="AJ814" s="43"/>
      <c r="AK814" s="43">
        <v>9.9000000000000005E-2</v>
      </c>
      <c r="AL814" s="43"/>
      <c r="AM814" s="43"/>
      <c r="AN814" s="43"/>
      <c r="AO814" s="43"/>
      <c r="AP814" s="43"/>
      <c r="AQ814" s="43">
        <v>0.1143</v>
      </c>
      <c r="AR814" s="43"/>
      <c r="AS814" s="43"/>
      <c r="AT814" s="43"/>
      <c r="AU814" s="43"/>
      <c r="AV814" s="43"/>
      <c r="AW814" s="43"/>
      <c r="AX814" s="43">
        <v>0.14699999999999999</v>
      </c>
      <c r="AY814" s="43"/>
      <c r="AZ814" s="43"/>
      <c r="BA814" s="43">
        <v>0.1182</v>
      </c>
      <c r="BB814" s="43">
        <v>0.1154</v>
      </c>
      <c r="BC814" s="43"/>
      <c r="BD814" s="43">
        <v>0.11600000000000001</v>
      </c>
      <c r="BE814" s="43"/>
      <c r="BF814" s="43">
        <v>0.18590000000000001</v>
      </c>
      <c r="BG814" s="43"/>
      <c r="BH814" s="43"/>
      <c r="BI814" s="43"/>
      <c r="BJ814" s="43">
        <v>0.1706</v>
      </c>
      <c r="BK814" s="43"/>
      <c r="BL814" s="43"/>
      <c r="BM814" s="43"/>
      <c r="BN814" s="43">
        <f t="shared" ref="BN814:BN821" si="23">IFERROR(LOOKUP(2,1/(ISNUMBER(G814:BM814)),G814:BM814),"No reported value")</f>
        <v>0.1706</v>
      </c>
      <c r="BO814" s="43">
        <f t="shared" ref="BO814:BO821" si="24">IFERROR(INDEX($G$557:$BM$557,1,MATCH($BN814,$G814:$BM814,0)),"No reported value")</f>
        <v>2016</v>
      </c>
    </row>
    <row r="815" spans="2:67" x14ac:dyDescent="0.75">
      <c r="B815" s="43" t="s">
        <v>570</v>
      </c>
      <c r="C815" s="43" t="s">
        <v>571</v>
      </c>
      <c r="D815" s="43" t="s">
        <v>758</v>
      </c>
      <c r="E815" s="43" t="s">
        <v>757</v>
      </c>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v>1.2545835247600869</v>
      </c>
      <c r="AK815" s="43"/>
      <c r="AL815" s="43"/>
      <c r="AM815" s="43"/>
      <c r="AN815" s="43"/>
      <c r="AO815" s="43"/>
      <c r="AP815" s="43"/>
      <c r="AQ815" s="43"/>
      <c r="AR815" s="43"/>
      <c r="AS815" s="43"/>
      <c r="AT815" s="43">
        <v>1.2946687533766257</v>
      </c>
      <c r="AU815" s="43"/>
      <c r="AV815" s="43"/>
      <c r="AW815" s="43"/>
      <c r="AX815" s="43"/>
      <c r="AY815" s="43"/>
      <c r="AZ815" s="43"/>
      <c r="BA815" s="43"/>
      <c r="BB815" s="43"/>
      <c r="BC815" s="43"/>
      <c r="BD815" s="43"/>
      <c r="BE815" s="43"/>
      <c r="BF815" s="43"/>
      <c r="BG815" s="43"/>
      <c r="BH815" s="43"/>
      <c r="BI815" s="43">
        <v>1.5021258721421249</v>
      </c>
      <c r="BJ815" s="43"/>
      <c r="BK815" s="43"/>
      <c r="BL815" s="43"/>
      <c r="BM815" s="43"/>
      <c r="BN815" s="43">
        <f t="shared" si="23"/>
        <v>1.5021258721421249</v>
      </c>
      <c r="BO815" s="43">
        <f t="shared" si="24"/>
        <v>2015</v>
      </c>
    </row>
    <row r="816" spans="2:67" x14ac:dyDescent="0.75">
      <c r="B816" s="43" t="s">
        <v>254</v>
      </c>
      <c r="C816" s="43" t="s">
        <v>152</v>
      </c>
      <c r="D816" s="43" t="s">
        <v>758</v>
      </c>
      <c r="E816" s="43" t="s">
        <v>757</v>
      </c>
      <c r="F816" s="43">
        <v>0.441</v>
      </c>
      <c r="G816" s="43"/>
      <c r="H816" s="43"/>
      <c r="I816" s="43"/>
      <c r="J816" s="43"/>
      <c r="K816" s="43"/>
      <c r="L816" s="43"/>
      <c r="M816" s="43"/>
      <c r="N816" s="43"/>
      <c r="O816" s="43"/>
      <c r="P816" s="43">
        <v>0.35</v>
      </c>
      <c r="Q816" s="43"/>
      <c r="R816" s="43"/>
      <c r="S816" s="43"/>
      <c r="T816" s="43"/>
      <c r="U816" s="43"/>
      <c r="V816" s="43"/>
      <c r="W816" s="43"/>
      <c r="X816" s="43"/>
      <c r="Y816" s="43"/>
      <c r="Z816" s="43">
        <v>0.36099999999999999</v>
      </c>
      <c r="AA816" s="43">
        <v>0.40400000000000003</v>
      </c>
      <c r="AB816" s="43"/>
      <c r="AC816" s="43"/>
      <c r="AD816" s="43"/>
      <c r="AE816" s="43"/>
      <c r="AF816" s="43">
        <v>0.28000000000000003</v>
      </c>
      <c r="AG816" s="43"/>
      <c r="AH816" s="43"/>
      <c r="AI816" s="43">
        <v>0.20699999999999999</v>
      </c>
      <c r="AJ816" s="43"/>
      <c r="AK816" s="43"/>
      <c r="AL816" s="43">
        <v>0.36499999999999999</v>
      </c>
      <c r="AM816" s="43"/>
      <c r="AN816" s="43"/>
      <c r="AO816" s="43"/>
      <c r="AP816" s="43">
        <v>0.34399999999999997</v>
      </c>
      <c r="AQ816" s="43"/>
      <c r="AR816" s="43">
        <v>0.33</v>
      </c>
      <c r="AS816" s="43">
        <v>0.69040000000000001</v>
      </c>
      <c r="AT816" s="43"/>
      <c r="AU816" s="43"/>
      <c r="AV816" s="43"/>
      <c r="AW816" s="43">
        <v>0.28139999999999998</v>
      </c>
      <c r="AX816" s="43"/>
      <c r="AY816" s="43">
        <v>0.27789999999999998</v>
      </c>
      <c r="AZ816" s="43"/>
      <c r="BA816" s="43"/>
      <c r="BB816" s="43">
        <v>0.4632</v>
      </c>
      <c r="BC816" s="43"/>
      <c r="BD816" s="43">
        <v>0.34370000000000001</v>
      </c>
      <c r="BE816" s="43"/>
      <c r="BF816" s="43">
        <v>0.3805</v>
      </c>
      <c r="BG816" s="43">
        <v>0.48220000000000002</v>
      </c>
      <c r="BH816" s="43"/>
      <c r="BI816" s="43"/>
      <c r="BJ816" s="43">
        <v>0.34089999999999998</v>
      </c>
      <c r="BK816" s="43"/>
      <c r="BL816" s="43"/>
      <c r="BM816" s="43"/>
      <c r="BN816" s="43">
        <f t="shared" si="23"/>
        <v>0.34089999999999998</v>
      </c>
      <c r="BO816" s="43">
        <f t="shared" si="24"/>
        <v>2016</v>
      </c>
    </row>
    <row r="817" spans="1:74" x14ac:dyDescent="0.75">
      <c r="B817" s="43" t="s">
        <v>237</v>
      </c>
      <c r="C817" s="43" t="s">
        <v>431</v>
      </c>
      <c r="D817" s="43" t="s">
        <v>758</v>
      </c>
      <c r="E817" s="43" t="s">
        <v>757</v>
      </c>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t="str">
        <f t="shared" si="23"/>
        <v>No reported value</v>
      </c>
      <c r="BO817" s="43" t="str">
        <f t="shared" si="24"/>
        <v>No reported value</v>
      </c>
    </row>
    <row r="818" spans="1:74" x14ac:dyDescent="0.75">
      <c r="B818" s="43" t="s">
        <v>572</v>
      </c>
      <c r="C818" s="43" t="s">
        <v>153</v>
      </c>
      <c r="D818" s="43" t="s">
        <v>758</v>
      </c>
      <c r="E818" s="43" t="s">
        <v>757</v>
      </c>
      <c r="F818" s="43">
        <v>2.3E-2</v>
      </c>
      <c r="G818" s="43"/>
      <c r="H818" s="43"/>
      <c r="I818" s="43"/>
      <c r="J818" s="43"/>
      <c r="K818" s="43">
        <v>3.2000000000000001E-2</v>
      </c>
      <c r="L818" s="43"/>
      <c r="M818" s="43"/>
      <c r="N818" s="43"/>
      <c r="O818" s="43"/>
      <c r="P818" s="43">
        <v>2.9000000000000001E-2</v>
      </c>
      <c r="Q818" s="43"/>
      <c r="R818" s="43"/>
      <c r="S818" s="43"/>
      <c r="T818" s="43"/>
      <c r="U818" s="43"/>
      <c r="V818" s="43"/>
      <c r="W818" s="43"/>
      <c r="X818" s="43"/>
      <c r="Y818" s="43"/>
      <c r="Z818" s="43"/>
      <c r="AA818" s="43">
        <v>0.14499999999999999</v>
      </c>
      <c r="AB818" s="43"/>
      <c r="AC818" s="43"/>
      <c r="AD818" s="43"/>
      <c r="AE818" s="43">
        <v>0.17100000000000001</v>
      </c>
      <c r="AF818" s="43"/>
      <c r="AG818" s="43"/>
      <c r="AH818" s="43"/>
      <c r="AI818" s="43"/>
      <c r="AJ818" s="43">
        <v>7.0000000000000001E-3</v>
      </c>
      <c r="AK818" s="43"/>
      <c r="AL818" s="43"/>
      <c r="AM818" s="43"/>
      <c r="AN818" s="43"/>
      <c r="AO818" s="43">
        <v>0.247</v>
      </c>
      <c r="AP818" s="43">
        <v>0.23</v>
      </c>
      <c r="AQ818" s="43">
        <v>0.2324</v>
      </c>
      <c r="AR818" s="43">
        <v>0.2</v>
      </c>
      <c r="AS818" s="43"/>
      <c r="AT818" s="43"/>
      <c r="AU818" s="43">
        <v>0.219</v>
      </c>
      <c r="AV818" s="43"/>
      <c r="AW818" s="43"/>
      <c r="AX818" s="43">
        <v>0.3367</v>
      </c>
      <c r="AY818" s="43"/>
      <c r="AZ818" s="43"/>
      <c r="BA818" s="43"/>
      <c r="BB818" s="43">
        <v>0.309</v>
      </c>
      <c r="BC818" s="43">
        <v>0.31019999999999998</v>
      </c>
      <c r="BD818" s="43"/>
      <c r="BE818" s="43"/>
      <c r="BF818" s="43"/>
      <c r="BG818" s="43"/>
      <c r="BH818" s="43">
        <v>0.31040000000000001</v>
      </c>
      <c r="BI818" s="43"/>
      <c r="BJ818" s="43"/>
      <c r="BK818" s="43"/>
      <c r="BL818" s="43"/>
      <c r="BM818" s="43"/>
      <c r="BN818" s="43">
        <f t="shared" si="23"/>
        <v>0.31040000000000001</v>
      </c>
      <c r="BO818" s="43">
        <f t="shared" si="24"/>
        <v>2014</v>
      </c>
    </row>
    <row r="819" spans="1:74" x14ac:dyDescent="0.75">
      <c r="B819" s="43" t="s">
        <v>178</v>
      </c>
      <c r="C819" s="43" t="s">
        <v>154</v>
      </c>
      <c r="D819" s="43" t="s">
        <v>758</v>
      </c>
      <c r="E819" s="43" t="s">
        <v>757</v>
      </c>
      <c r="F819" s="43"/>
      <c r="G819" s="43"/>
      <c r="H819" s="43"/>
      <c r="I819" s="43"/>
      <c r="J819" s="43"/>
      <c r="K819" s="43">
        <v>0.48799999999999999</v>
      </c>
      <c r="L819" s="43"/>
      <c r="M819" s="43"/>
      <c r="N819" s="43"/>
      <c r="O819" s="43"/>
      <c r="P819" s="43"/>
      <c r="Q819" s="43"/>
      <c r="R819" s="43"/>
      <c r="S819" s="43"/>
      <c r="T819" s="43"/>
      <c r="U819" s="43">
        <v>0.53900000000000003</v>
      </c>
      <c r="V819" s="43"/>
      <c r="W819" s="43"/>
      <c r="X819" s="43">
        <v>0.55100000000000005</v>
      </c>
      <c r="Y819" s="43"/>
      <c r="Z819" s="43"/>
      <c r="AA819" s="43"/>
      <c r="AB819" s="43"/>
      <c r="AC819" s="43"/>
      <c r="AD819" s="43"/>
      <c r="AE819" s="43"/>
      <c r="AF819" s="43"/>
      <c r="AG819" s="43">
        <v>0.61299999999999999</v>
      </c>
      <c r="AH819" s="43"/>
      <c r="AI819" s="43"/>
      <c r="AJ819" s="43"/>
      <c r="AK819" s="43"/>
      <c r="AL819" s="43">
        <v>0.624</v>
      </c>
      <c r="AM819" s="43"/>
      <c r="AN819" s="43"/>
      <c r="AO819" s="43"/>
      <c r="AP819" s="43">
        <v>0.59299999999999997</v>
      </c>
      <c r="AQ819" s="43"/>
      <c r="AR819" s="43"/>
      <c r="AS819" s="43"/>
      <c r="AT819" s="43"/>
      <c r="AU819" s="43"/>
      <c r="AV819" s="43"/>
      <c r="AW819" s="43"/>
      <c r="AX819" s="43">
        <v>0.72189999999999999</v>
      </c>
      <c r="AY819" s="43"/>
      <c r="AZ819" s="43"/>
      <c r="BA819" s="43"/>
      <c r="BB819" s="43"/>
      <c r="BC819" s="43"/>
      <c r="BD819" s="43">
        <v>0.72889999999999999</v>
      </c>
      <c r="BE819" s="43">
        <v>0.71430000000000005</v>
      </c>
      <c r="BF819" s="43">
        <v>0.72540000000000004</v>
      </c>
      <c r="BG819" s="43">
        <v>0.74109999999999998</v>
      </c>
      <c r="BH819" s="43">
        <v>0.75419999999999998</v>
      </c>
      <c r="BI819" s="43">
        <v>0.78269999999999995</v>
      </c>
      <c r="BJ819" s="43">
        <v>0.8024</v>
      </c>
      <c r="BK819" s="43">
        <v>0.91010000000000002</v>
      </c>
      <c r="BL819" s="43"/>
      <c r="BM819" s="43"/>
      <c r="BN819" s="43">
        <f t="shared" si="23"/>
        <v>0.91010000000000002</v>
      </c>
      <c r="BO819" s="43">
        <f t="shared" si="24"/>
        <v>2017</v>
      </c>
    </row>
    <row r="820" spans="1:74" x14ac:dyDescent="0.75">
      <c r="B820" s="43" t="s">
        <v>217</v>
      </c>
      <c r="C820" s="43" t="s">
        <v>155</v>
      </c>
      <c r="D820" s="43" t="s">
        <v>758</v>
      </c>
      <c r="E820" s="43" t="s">
        <v>757</v>
      </c>
      <c r="F820" s="43">
        <v>0.107</v>
      </c>
      <c r="G820" s="43"/>
      <c r="H820" s="43"/>
      <c r="I820" s="43"/>
      <c r="J820" s="43"/>
      <c r="K820" s="43">
        <v>8.7999999999999995E-2</v>
      </c>
      <c r="L820" s="43"/>
      <c r="M820" s="43"/>
      <c r="N820" s="43"/>
      <c r="O820" s="43"/>
      <c r="P820" s="43">
        <v>7.2999999999999995E-2</v>
      </c>
      <c r="Q820" s="43"/>
      <c r="R820" s="43"/>
      <c r="S820" s="43"/>
      <c r="T820" s="43"/>
      <c r="U820" s="43">
        <v>7.3999999999999996E-2</v>
      </c>
      <c r="V820" s="43"/>
      <c r="W820" s="43"/>
      <c r="X820" s="43"/>
      <c r="Y820" s="43"/>
      <c r="Z820" s="43">
        <v>7.5999999999999998E-2</v>
      </c>
      <c r="AA820" s="43">
        <v>0.126</v>
      </c>
      <c r="AB820" s="43"/>
      <c r="AC820" s="43">
        <v>0.14000000000000001</v>
      </c>
      <c r="AD820" s="43"/>
      <c r="AE820" s="43">
        <v>0.14099999999999999</v>
      </c>
      <c r="AF820" s="43"/>
      <c r="AG820" s="43"/>
      <c r="AH820" s="43"/>
      <c r="AI820" s="43"/>
      <c r="AJ820" s="43">
        <v>9.1999999999999998E-2</v>
      </c>
      <c r="AK820" s="43"/>
      <c r="AL820" s="43"/>
      <c r="AM820" s="43"/>
      <c r="AN820" s="43"/>
      <c r="AO820" s="43">
        <v>6.9000000000000006E-2</v>
      </c>
      <c r="AP820" s="43"/>
      <c r="AQ820" s="43"/>
      <c r="AR820" s="43"/>
      <c r="AS820" s="43"/>
      <c r="AT820" s="43"/>
      <c r="AU820" s="43"/>
      <c r="AV820" s="43"/>
      <c r="AW820" s="43"/>
      <c r="AX820" s="43">
        <v>0.1278</v>
      </c>
      <c r="AY820" s="43">
        <v>5.3600000000000002E-2</v>
      </c>
      <c r="AZ820" s="43">
        <v>5.2400000000000002E-2</v>
      </c>
      <c r="BA820" s="43"/>
      <c r="BB820" s="43">
        <v>6.08E-2</v>
      </c>
      <c r="BC820" s="43">
        <v>5.9499999999999997E-2</v>
      </c>
      <c r="BD820" s="43">
        <v>6.0400000000000002E-2</v>
      </c>
      <c r="BE820" s="43">
        <v>0.16209999999999999</v>
      </c>
      <c r="BF820" s="43">
        <v>0.16320000000000001</v>
      </c>
      <c r="BG820" s="43"/>
      <c r="BH820" s="43"/>
      <c r="BI820" s="43"/>
      <c r="BJ820" s="43">
        <v>9.1300000000000006E-2</v>
      </c>
      <c r="BK820" s="43"/>
      <c r="BL820" s="43"/>
      <c r="BM820" s="43"/>
      <c r="BN820" s="43">
        <f t="shared" si="23"/>
        <v>9.1300000000000006E-2</v>
      </c>
      <c r="BO820" s="43">
        <f t="shared" si="24"/>
        <v>2016</v>
      </c>
    </row>
    <row r="821" spans="1:74" x14ac:dyDescent="0.75">
      <c r="B821" s="43" t="s">
        <v>218</v>
      </c>
      <c r="C821" s="43" t="s">
        <v>156</v>
      </c>
      <c r="D821" s="43" t="s">
        <v>758</v>
      </c>
      <c r="E821" s="43" t="s">
        <v>757</v>
      </c>
      <c r="F821" s="43">
        <v>0.20200000000000001</v>
      </c>
      <c r="G821" s="43"/>
      <c r="H821" s="43"/>
      <c r="I821" s="43"/>
      <c r="J821" s="43"/>
      <c r="K821" s="43">
        <v>0.125</v>
      </c>
      <c r="L821" s="43"/>
      <c r="M821" s="43"/>
      <c r="N821" s="43"/>
      <c r="O821" s="43"/>
      <c r="P821" s="43">
        <v>0.16200000000000001</v>
      </c>
      <c r="Q821" s="43"/>
      <c r="R821" s="43"/>
      <c r="S821" s="43"/>
      <c r="T821" s="43"/>
      <c r="U821" s="43">
        <v>0.158</v>
      </c>
      <c r="V821" s="43"/>
      <c r="W821" s="43"/>
      <c r="X821" s="43"/>
      <c r="Y821" s="43"/>
      <c r="Z821" s="43">
        <v>0.161</v>
      </c>
      <c r="AA821" s="43">
        <v>0.13900000000000001</v>
      </c>
      <c r="AB821" s="43"/>
      <c r="AC821" s="43"/>
      <c r="AD821" s="43"/>
      <c r="AE821" s="43"/>
      <c r="AF821" s="43"/>
      <c r="AG821" s="43">
        <v>0.13500000000000001</v>
      </c>
      <c r="AH821" s="43"/>
      <c r="AI821" s="43"/>
      <c r="AJ821" s="43">
        <v>0.12959999999999999</v>
      </c>
      <c r="AK821" s="43"/>
      <c r="AL821" s="43"/>
      <c r="AM821" s="43"/>
      <c r="AN821" s="43"/>
      <c r="AO821" s="43">
        <v>0.14399999999999999</v>
      </c>
      <c r="AP821" s="43"/>
      <c r="AQ821" s="43"/>
      <c r="AR821" s="43"/>
      <c r="AS821" s="43"/>
      <c r="AT821" s="43"/>
      <c r="AU821" s="43"/>
      <c r="AV821" s="43">
        <v>5.7000000000000002E-2</v>
      </c>
      <c r="AW821" s="43"/>
      <c r="AX821" s="43">
        <v>0.1633</v>
      </c>
      <c r="AY821" s="43"/>
      <c r="AZ821" s="43"/>
      <c r="BA821" s="43">
        <v>0.05</v>
      </c>
      <c r="BB821" s="43">
        <v>5.4399999999999997E-2</v>
      </c>
      <c r="BC821" s="43">
        <v>5.9900000000000002E-2</v>
      </c>
      <c r="BD821" s="43">
        <v>6.5000000000000002E-2</v>
      </c>
      <c r="BE821" s="43">
        <v>7.3300000000000004E-2</v>
      </c>
      <c r="BF821" s="43">
        <v>7.1999999999999995E-2</v>
      </c>
      <c r="BG821" s="43">
        <v>7.3999999999999996E-2</v>
      </c>
      <c r="BH821" s="43">
        <v>7.6300000000000007E-2</v>
      </c>
      <c r="BI821" s="43"/>
      <c r="BJ821" s="43"/>
      <c r="BK821" s="43"/>
      <c r="BL821" s="43"/>
      <c r="BM821" s="43"/>
      <c r="BN821" s="43">
        <f t="shared" si="23"/>
        <v>7.6300000000000007E-2</v>
      </c>
      <c r="BO821" s="43">
        <f t="shared" si="24"/>
        <v>2014</v>
      </c>
    </row>
    <row r="823" spans="1:74" s="185" customFormat="1" ht="16.399999999999999" customHeight="1" x14ac:dyDescent="0.75">
      <c r="A823" s="193" t="s">
        <v>884</v>
      </c>
      <c r="B823" s="186" t="s">
        <v>885</v>
      </c>
    </row>
    <row r="824" spans="1:74" s="26" customFormat="1" x14ac:dyDescent="0.75">
      <c r="B824" s="26" t="s">
        <v>887</v>
      </c>
      <c r="E824" s="27"/>
      <c r="F824" s="27"/>
      <c r="G824" s="27"/>
    </row>
    <row r="825" spans="1:74" s="14" customFormat="1" x14ac:dyDescent="0.75">
      <c r="B825" s="14" t="s">
        <v>886</v>
      </c>
      <c r="E825" s="77"/>
      <c r="F825" s="77"/>
      <c r="G825" s="77"/>
    </row>
    <row r="826" spans="1:74" x14ac:dyDescent="0.75">
      <c r="B826" s="195" t="s">
        <v>880</v>
      </c>
    </row>
    <row r="827" spans="1:74" x14ac:dyDescent="0.75">
      <c r="B827" s="194"/>
    </row>
    <row r="828" spans="1:74" x14ac:dyDescent="0.75">
      <c r="B828" s="18" t="s">
        <v>573</v>
      </c>
      <c r="C828" s="18" t="s">
        <v>574</v>
      </c>
      <c r="D828" s="18" t="s">
        <v>629</v>
      </c>
      <c r="E828" s="18" t="s">
        <v>630</v>
      </c>
      <c r="F828" s="18">
        <v>1960</v>
      </c>
      <c r="G828" s="18">
        <v>1961</v>
      </c>
      <c r="H828" s="18">
        <v>1962</v>
      </c>
      <c r="I828" s="18">
        <v>1963</v>
      </c>
      <c r="J828" s="18">
        <v>1964</v>
      </c>
      <c r="K828" s="18">
        <v>1965</v>
      </c>
      <c r="L828" s="18">
        <v>1966</v>
      </c>
      <c r="M828" s="18">
        <v>1967</v>
      </c>
      <c r="N828" s="18">
        <v>1968</v>
      </c>
      <c r="O828" s="18">
        <v>1969</v>
      </c>
      <c r="P828" s="18">
        <v>1970</v>
      </c>
      <c r="Q828" s="18">
        <v>1971</v>
      </c>
      <c r="R828" s="18">
        <v>1972</v>
      </c>
      <c r="S828" s="18">
        <v>1973</v>
      </c>
      <c r="T828" s="18">
        <v>1974</v>
      </c>
      <c r="U828" s="18">
        <v>1975</v>
      </c>
      <c r="V828" s="18">
        <v>1976</v>
      </c>
      <c r="W828" s="18">
        <v>1977</v>
      </c>
      <c r="X828" s="18">
        <v>1978</v>
      </c>
      <c r="Y828" s="18">
        <v>1979</v>
      </c>
      <c r="Z828" s="18">
        <v>1980</v>
      </c>
      <c r="AA828" s="18">
        <v>1981</v>
      </c>
      <c r="AB828" s="18">
        <v>1982</v>
      </c>
      <c r="AC828" s="18">
        <v>1983</v>
      </c>
      <c r="AD828" s="18">
        <v>1984</v>
      </c>
      <c r="AE828" s="18">
        <v>1985</v>
      </c>
      <c r="AF828" s="18">
        <v>1986</v>
      </c>
      <c r="AG828" s="18">
        <v>1987</v>
      </c>
      <c r="AH828" s="18">
        <v>1988</v>
      </c>
      <c r="AI828" s="18">
        <v>1989</v>
      </c>
      <c r="AJ828" s="18">
        <v>1990</v>
      </c>
      <c r="AK828" s="18">
        <v>1991</v>
      </c>
      <c r="AL828" s="18">
        <v>1992</v>
      </c>
      <c r="AM828" s="18">
        <v>1993</v>
      </c>
      <c r="AN828" s="18">
        <v>1994</v>
      </c>
      <c r="AO828" s="18">
        <v>1995</v>
      </c>
      <c r="AP828" s="18">
        <v>1996</v>
      </c>
      <c r="AQ828" s="18">
        <v>1997</v>
      </c>
      <c r="AR828" s="18">
        <v>1998</v>
      </c>
      <c r="AS828" s="18">
        <v>1999</v>
      </c>
      <c r="AT828" s="18">
        <v>2000</v>
      </c>
      <c r="AU828" s="18">
        <v>2001</v>
      </c>
      <c r="AV828" s="18">
        <v>2002</v>
      </c>
      <c r="AW828" s="18">
        <v>2003</v>
      </c>
      <c r="AX828" s="18">
        <v>2004</v>
      </c>
      <c r="AY828" s="18">
        <v>2005</v>
      </c>
      <c r="AZ828" s="18">
        <v>2006</v>
      </c>
      <c r="BA828" s="18">
        <v>2007</v>
      </c>
      <c r="BB828" s="18">
        <v>2008</v>
      </c>
      <c r="BC828" s="18">
        <v>2009</v>
      </c>
      <c r="BD828" s="18">
        <v>2010</v>
      </c>
      <c r="BE828" s="18">
        <v>2011</v>
      </c>
      <c r="BF828" s="18">
        <v>2012</v>
      </c>
      <c r="BG828" s="18">
        <v>2013</v>
      </c>
      <c r="BH828" s="18">
        <v>2014</v>
      </c>
      <c r="BI828" s="18">
        <v>2015</v>
      </c>
      <c r="BJ828" s="18">
        <v>2016</v>
      </c>
      <c r="BK828" s="18">
        <v>2017</v>
      </c>
      <c r="BL828" s="18">
        <v>2018</v>
      </c>
      <c r="BM828" s="18">
        <v>2019</v>
      </c>
      <c r="BN828" s="18" t="s">
        <v>631</v>
      </c>
      <c r="BO828" s="17" t="s">
        <v>644</v>
      </c>
      <c r="BP828" s="18" t="s">
        <v>832</v>
      </c>
      <c r="BQ828" s="17" t="s">
        <v>1407</v>
      </c>
    </row>
    <row r="829" spans="1:74" x14ac:dyDescent="0.75">
      <c r="B829" s="43" t="s">
        <v>323</v>
      </c>
      <c r="C829" s="43" t="s">
        <v>324</v>
      </c>
      <c r="D829" s="43" t="s">
        <v>632</v>
      </c>
      <c r="E829" s="43" t="s">
        <v>633</v>
      </c>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56" t="str">
        <f t="shared" ref="BN829:BN892" si="25">IFERROR(LOOKUP(2,1/(ISNUMBER(F829:BM829)),F829:BM829),"No reported value")</f>
        <v>No reported value</v>
      </c>
      <c r="BO829" s="428">
        <f>IF(BN829="No reported value",INDEX('WB HCW &amp; Beds'!$BU$831:$BU$835,MATCH($BP829,'WB HCW &amp; Beds'!$BS$831:$BS$835,0)),$BN829)</f>
        <v>4.82</v>
      </c>
      <c r="BP829" s="43" t="str">
        <f>INDEX('HCW + Staff Summary'!$E$7:$E$270,MATCH($B829,'HCW + Staff Summary'!$B$7:$B$270,0))</f>
        <v>High income</v>
      </c>
      <c r="BQ829" s="429">
        <f>INDEX('WB HCW &amp; Beds'!$BU$838:$BU$842,MATCH($BP829,'WB HCW &amp; Beds'!$BS$838:$BS$842,0))*100</f>
        <v>3.5700000000000003</v>
      </c>
    </row>
    <row r="830" spans="1:74" x14ac:dyDescent="0.75">
      <c r="B830" s="43" t="s">
        <v>230</v>
      </c>
      <c r="C830" s="43" t="s">
        <v>0</v>
      </c>
      <c r="D830" s="43" t="s">
        <v>632</v>
      </c>
      <c r="E830" s="43" t="s">
        <v>633</v>
      </c>
      <c r="F830" s="43">
        <v>0.17062699794769301</v>
      </c>
      <c r="G830" s="43"/>
      <c r="H830" s="43"/>
      <c r="I830" s="43"/>
      <c r="J830" s="43"/>
      <c r="K830" s="43"/>
      <c r="L830" s="43"/>
      <c r="M830" s="43"/>
      <c r="N830" s="43"/>
      <c r="O830" s="43"/>
      <c r="P830" s="43">
        <v>0.19900000095367401</v>
      </c>
      <c r="Q830" s="43"/>
      <c r="R830" s="43"/>
      <c r="S830" s="43"/>
      <c r="T830" s="43"/>
      <c r="U830" s="43"/>
      <c r="V830" s="43"/>
      <c r="W830" s="43"/>
      <c r="X830" s="43"/>
      <c r="Y830" s="43"/>
      <c r="Z830" s="43"/>
      <c r="AA830" s="43">
        <v>0.275599986314774</v>
      </c>
      <c r="AB830" s="43"/>
      <c r="AC830" s="43"/>
      <c r="AD830" s="43"/>
      <c r="AE830" s="43"/>
      <c r="AF830" s="43"/>
      <c r="AG830" s="43">
        <v>0.3091000020504</v>
      </c>
      <c r="AH830" s="43"/>
      <c r="AI830" s="43"/>
      <c r="AJ830" s="43">
        <v>0.24979999659999999</v>
      </c>
      <c r="AK830" s="43"/>
      <c r="AL830" s="43"/>
      <c r="AM830" s="43"/>
      <c r="AN830" s="43"/>
      <c r="AO830" s="43"/>
      <c r="AP830" s="43"/>
      <c r="AQ830" s="43"/>
      <c r="AR830" s="43"/>
      <c r="AS830" s="43"/>
      <c r="AT830" s="43">
        <v>0.3</v>
      </c>
      <c r="AU830" s="43">
        <v>0.4</v>
      </c>
      <c r="AV830" s="43">
        <v>0.4</v>
      </c>
      <c r="AW830" s="43">
        <v>0.4</v>
      </c>
      <c r="AX830" s="43">
        <v>0.4</v>
      </c>
      <c r="AY830" s="43">
        <v>0.4</v>
      </c>
      <c r="AZ830" s="43">
        <v>0.4</v>
      </c>
      <c r="BA830" s="43">
        <v>0.4</v>
      </c>
      <c r="BB830" s="43">
        <v>0.4</v>
      </c>
      <c r="BC830" s="43">
        <v>0.4</v>
      </c>
      <c r="BD830" s="43">
        <v>0.4</v>
      </c>
      <c r="BE830" s="43">
        <v>0.4</v>
      </c>
      <c r="BF830" s="43">
        <v>0.5</v>
      </c>
      <c r="BG830" s="43">
        <v>0.5</v>
      </c>
      <c r="BH830" s="43">
        <v>0.5</v>
      </c>
      <c r="BI830" s="43">
        <v>0.5</v>
      </c>
      <c r="BJ830" s="43"/>
      <c r="BK830" s="43"/>
      <c r="BL830" s="43"/>
      <c r="BM830" s="43"/>
      <c r="BN830" s="56">
        <f t="shared" si="25"/>
        <v>0.5</v>
      </c>
      <c r="BO830" s="428">
        <f>IF(BN830="No reported value",INDEX('WB HCW &amp; Beds'!$BU$831:$BU$835,MATCH($BP830,'WB HCW &amp; Beds'!$BS$831:$BS$835,0)),$BN830)</f>
        <v>0.5</v>
      </c>
      <c r="BP830" s="132" t="str">
        <f>INDEX('HCW + Staff Summary'!$E$7:$E$270,MATCH($B830,'HCW + Staff Summary'!$B$7:$B$270,0))</f>
        <v>Low income</v>
      </c>
      <c r="BQ830" s="429">
        <f>INDEX('WB HCW &amp; Beds'!$BU$838:$BU$842,MATCH($BP830,'WB HCW &amp; Beds'!$BS$838:$BS$842,0))*100</f>
        <v>1.63</v>
      </c>
      <c r="BS830" s="8" t="s">
        <v>837</v>
      </c>
      <c r="BT830" s="43"/>
      <c r="BU830" s="43"/>
      <c r="BV830" s="43"/>
    </row>
    <row r="831" spans="1:74" x14ac:dyDescent="0.75">
      <c r="B831" s="43" t="s">
        <v>182</v>
      </c>
      <c r="C831" s="43" t="s">
        <v>165</v>
      </c>
      <c r="D831" s="43" t="s">
        <v>632</v>
      </c>
      <c r="E831" s="43" t="s">
        <v>633</v>
      </c>
      <c r="F831" s="43">
        <v>2.06146168708801</v>
      </c>
      <c r="G831" s="43"/>
      <c r="H831" s="43"/>
      <c r="I831" s="43"/>
      <c r="J831" s="43"/>
      <c r="K831" s="43"/>
      <c r="L831" s="43"/>
      <c r="M831" s="43"/>
      <c r="N831" s="43"/>
      <c r="O831" s="43"/>
      <c r="P831" s="43">
        <v>2.7209999561309801</v>
      </c>
      <c r="Q831" s="43"/>
      <c r="R831" s="43"/>
      <c r="S831" s="43"/>
      <c r="T831" s="43"/>
      <c r="U831" s="43"/>
      <c r="V831" s="43"/>
      <c r="W831" s="43"/>
      <c r="X831" s="43"/>
      <c r="Y831" s="43"/>
      <c r="Z831" s="43"/>
      <c r="AA831" s="43"/>
      <c r="AB831" s="43"/>
      <c r="AC831" s="43"/>
      <c r="AD831" s="43"/>
      <c r="AE831" s="43"/>
      <c r="AF831" s="43"/>
      <c r="AG831" s="43"/>
      <c r="AH831" s="43"/>
      <c r="AI831" s="43"/>
      <c r="AJ831" s="43">
        <v>1.2913000584000001</v>
      </c>
      <c r="AK831" s="43"/>
      <c r="AL831" s="43"/>
      <c r="AM831" s="43"/>
      <c r="AN831" s="43"/>
      <c r="AO831" s="43"/>
      <c r="AP831" s="43"/>
      <c r="AQ831" s="43"/>
      <c r="AR831" s="43"/>
      <c r="AS831" s="43"/>
      <c r="AT831" s="43"/>
      <c r="AU831" s="43"/>
      <c r="AV831" s="43"/>
      <c r="AW831" s="43"/>
      <c r="AX831" s="43"/>
      <c r="AY831" s="43">
        <v>0.8</v>
      </c>
      <c r="AZ831" s="43"/>
      <c r="BA831" s="43"/>
      <c r="BB831" s="43"/>
      <c r="BC831" s="43"/>
      <c r="BD831" s="43"/>
      <c r="BE831" s="43"/>
      <c r="BF831" s="43"/>
      <c r="BG831" s="43"/>
      <c r="BH831" s="43"/>
      <c r="BI831" s="43"/>
      <c r="BJ831" s="43"/>
      <c r="BK831" s="43"/>
      <c r="BL831" s="43"/>
      <c r="BM831" s="43"/>
      <c r="BN831" s="56">
        <f t="shared" si="25"/>
        <v>0.8</v>
      </c>
      <c r="BO831" s="428">
        <f>IF(BN831="No reported value",INDEX('WB HCW &amp; Beds'!$BU$831:$BU$835,MATCH($BP831,'WB HCW &amp; Beds'!$BS$831:$BS$835,0)),$BN831)</f>
        <v>0.8</v>
      </c>
      <c r="BP831" s="132" t="str">
        <f>INDEX('HCW + Staff Summary'!$E$7:$E$270,MATCH($B831,'HCW + Staff Summary'!$B$7:$B$270,0))</f>
        <v>Lower middle income</v>
      </c>
      <c r="BQ831" s="429">
        <f>INDEX('WB HCW &amp; Beds'!$BU$838:$BU$842,MATCH($BP831,'WB HCW &amp; Beds'!$BS$838:$BS$842,0))*100</f>
        <v>2.3800000000000003</v>
      </c>
      <c r="BS831" s="5" t="s">
        <v>411</v>
      </c>
      <c r="BT831" s="43"/>
      <c r="BU831" s="1190">
        <v>4.82</v>
      </c>
      <c r="BV831" s="43" t="s">
        <v>834</v>
      </c>
    </row>
    <row r="832" spans="1:74" x14ac:dyDescent="0.75">
      <c r="B832" s="43" t="s">
        <v>312</v>
      </c>
      <c r="C832" s="43" t="s">
        <v>313</v>
      </c>
      <c r="D832" s="43" t="s">
        <v>632</v>
      </c>
      <c r="E832" s="43" t="s">
        <v>633</v>
      </c>
      <c r="F832" s="43">
        <v>5.1026759147643999</v>
      </c>
      <c r="G832" s="43"/>
      <c r="H832" s="43"/>
      <c r="I832" s="43"/>
      <c r="J832" s="43"/>
      <c r="K832" s="43"/>
      <c r="L832" s="43"/>
      <c r="M832" s="43"/>
      <c r="N832" s="43"/>
      <c r="O832" s="43"/>
      <c r="P832" s="43"/>
      <c r="Q832" s="43"/>
      <c r="R832" s="43"/>
      <c r="S832" s="43"/>
      <c r="T832" s="43"/>
      <c r="U832" s="43"/>
      <c r="V832" s="43"/>
      <c r="W832" s="43"/>
      <c r="X832" s="43"/>
      <c r="Y832" s="43"/>
      <c r="Z832" s="43">
        <v>4.2716999053955096</v>
      </c>
      <c r="AA832" s="43">
        <v>4.1870999336242702</v>
      </c>
      <c r="AB832" s="43">
        <v>4.1606998443603498</v>
      </c>
      <c r="AC832" s="43">
        <v>4.0862002372741699</v>
      </c>
      <c r="AD832" s="43">
        <v>4.1389999389648402</v>
      </c>
      <c r="AE832" s="43">
        <v>4.1388001441955602</v>
      </c>
      <c r="AF832" s="43">
        <v>4.0696997642517099</v>
      </c>
      <c r="AG832" s="43">
        <v>3.9700000286102299</v>
      </c>
      <c r="AH832" s="43">
        <v>3.9354999065399201</v>
      </c>
      <c r="AI832" s="43">
        <v>4.1321001052856401</v>
      </c>
      <c r="AJ832" s="43">
        <v>4.0248999595999999</v>
      </c>
      <c r="AK832" s="43">
        <v>3.9986999034999999</v>
      </c>
      <c r="AL832" s="43">
        <v>4.0134000778000001</v>
      </c>
      <c r="AM832" s="43">
        <v>3.8313999176000002</v>
      </c>
      <c r="AN832" s="43">
        <v>3.0171000957</v>
      </c>
      <c r="AO832" s="43">
        <v>3.1900000571999998</v>
      </c>
      <c r="AP832" s="43">
        <v>3.1400001048999999</v>
      </c>
      <c r="AQ832" s="43">
        <v>3.0499999522999999</v>
      </c>
      <c r="AR832" s="43">
        <v>3.0499999522999999</v>
      </c>
      <c r="AS832" s="43">
        <v>3.0299999714000001</v>
      </c>
      <c r="AT832" s="43">
        <v>3.3</v>
      </c>
      <c r="AU832" s="43">
        <v>3.3</v>
      </c>
      <c r="AV832" s="43">
        <v>3.1</v>
      </c>
      <c r="AW832" s="43">
        <v>3.1</v>
      </c>
      <c r="AX832" s="43">
        <v>3</v>
      </c>
      <c r="AY832" s="43">
        <v>3.1</v>
      </c>
      <c r="AZ832" s="43">
        <v>3.1</v>
      </c>
      <c r="BA832" s="43">
        <v>3.1</v>
      </c>
      <c r="BB832" s="43"/>
      <c r="BC832" s="43">
        <v>2.8</v>
      </c>
      <c r="BD832" s="43">
        <v>3</v>
      </c>
      <c r="BE832" s="43">
        <v>2.6</v>
      </c>
      <c r="BF832" s="43">
        <v>2.9</v>
      </c>
      <c r="BG832" s="43">
        <v>2.9</v>
      </c>
      <c r="BH832" s="43"/>
      <c r="BI832" s="43"/>
      <c r="BJ832" s="43"/>
      <c r="BK832" s="43"/>
      <c r="BL832" s="43"/>
      <c r="BM832" s="43"/>
      <c r="BN832" s="56">
        <f t="shared" si="25"/>
        <v>2.9</v>
      </c>
      <c r="BO832" s="428">
        <f>IF(BN832="No reported value",INDEX('WB HCW &amp; Beds'!$BU$831:$BU$835,MATCH($BP832,'WB HCW &amp; Beds'!$BS$831:$BS$835,0)),$BN832)</f>
        <v>2.9</v>
      </c>
      <c r="BP832" s="132" t="str">
        <f>INDEX('HCW + Staff Summary'!$E$7:$E$270,MATCH($B832,'HCW + Staff Summary'!$B$7:$B$270,0))</f>
        <v>Upper middle income</v>
      </c>
      <c r="BQ832" s="429">
        <f>INDEX('WB HCW &amp; Beds'!$BU$838:$BU$842,MATCH($BP832,'WB HCW &amp; Beds'!$BS$838:$BS$842,0))*100</f>
        <v>3.32</v>
      </c>
      <c r="BS832" s="43" t="s">
        <v>558</v>
      </c>
      <c r="BT832" s="43"/>
      <c r="BU832" s="1190">
        <v>3.41</v>
      </c>
      <c r="BV832" s="43" t="s">
        <v>836</v>
      </c>
    </row>
    <row r="833" spans="2:74" x14ac:dyDescent="0.75">
      <c r="B833" s="43" t="s">
        <v>316</v>
      </c>
      <c r="C833" s="43" t="s">
        <v>1</v>
      </c>
      <c r="D833" s="43" t="s">
        <v>632</v>
      </c>
      <c r="E833" s="43" t="s">
        <v>633</v>
      </c>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v>3.1800000667999999</v>
      </c>
      <c r="AQ833" s="43">
        <v>3</v>
      </c>
      <c r="AR833" s="43">
        <v>3.0899999141999999</v>
      </c>
      <c r="AS833" s="43">
        <v>3.2000000477000001</v>
      </c>
      <c r="AT833" s="43">
        <v>3.2000000477000001</v>
      </c>
      <c r="AU833" s="43">
        <v>2.5899999141999999</v>
      </c>
      <c r="AV833" s="43"/>
      <c r="AW833" s="43">
        <v>3.2999999522999999</v>
      </c>
      <c r="AX833" s="43"/>
      <c r="AY833" s="43">
        <v>2.7</v>
      </c>
      <c r="AZ833" s="43">
        <v>2.6</v>
      </c>
      <c r="BA833" s="43">
        <v>2.6</v>
      </c>
      <c r="BB833" s="43"/>
      <c r="BC833" s="43">
        <v>2.5</v>
      </c>
      <c r="BD833" s="43"/>
      <c r="BE833" s="43"/>
      <c r="BF833" s="43"/>
      <c r="BG833" s="43"/>
      <c r="BH833" s="43"/>
      <c r="BI833" s="43"/>
      <c r="BJ833" s="43"/>
      <c r="BK833" s="43"/>
      <c r="BL833" s="43"/>
      <c r="BM833" s="43"/>
      <c r="BN833" s="56">
        <f t="shared" si="25"/>
        <v>2.5</v>
      </c>
      <c r="BO833" s="428">
        <f>IF(BN833="No reported value",INDEX('WB HCW &amp; Beds'!$BU$831:$BU$835,MATCH($BP833,'WB HCW &amp; Beds'!$BS$831:$BS$835,0)),$BN833)</f>
        <v>2.5</v>
      </c>
      <c r="BP833" s="132" t="str">
        <f>INDEX('HCW + Staff Summary'!$E$7:$E$270,MATCH($B833,'HCW + Staff Summary'!$B$7:$B$270,0))</f>
        <v>High income</v>
      </c>
      <c r="BQ833" s="430">
        <f>INDEX('WB HCW &amp; Beds'!$BU$838:$BU$842,MATCH($BP833,'WB HCW &amp; Beds'!$BS$838:$BS$842,0))*100</f>
        <v>3.5700000000000003</v>
      </c>
      <c r="BS833" s="43" t="s">
        <v>455</v>
      </c>
      <c r="BT833" s="43"/>
      <c r="BU833" s="1190">
        <v>2.08</v>
      </c>
      <c r="BV833" s="43" t="s">
        <v>835</v>
      </c>
    </row>
    <row r="834" spans="2:74" x14ac:dyDescent="0.75">
      <c r="B834" s="43" t="s">
        <v>319</v>
      </c>
      <c r="C834" s="43" t="s">
        <v>320</v>
      </c>
      <c r="D834" s="43" t="s">
        <v>632</v>
      </c>
      <c r="E834" s="43" t="s">
        <v>633</v>
      </c>
      <c r="F834" s="43">
        <v>1.9273014488226168</v>
      </c>
      <c r="G834" s="43"/>
      <c r="H834" s="43"/>
      <c r="I834" s="43"/>
      <c r="J834" s="43"/>
      <c r="K834" s="43"/>
      <c r="L834" s="43"/>
      <c r="M834" s="43"/>
      <c r="N834" s="43"/>
      <c r="O834" s="43"/>
      <c r="P834" s="43">
        <v>1.9178855601321714</v>
      </c>
      <c r="Q834" s="43"/>
      <c r="R834" s="43"/>
      <c r="S834" s="43"/>
      <c r="T834" s="43"/>
      <c r="U834" s="43">
        <v>1.5838141938869765</v>
      </c>
      <c r="V834" s="43"/>
      <c r="W834" s="43"/>
      <c r="X834" s="43"/>
      <c r="Y834" s="43"/>
      <c r="Z834" s="43"/>
      <c r="AA834" s="43">
        <v>1.7076106017146033</v>
      </c>
      <c r="AB834" s="43"/>
      <c r="AC834" s="43"/>
      <c r="AD834" s="43"/>
      <c r="AE834" s="43"/>
      <c r="AF834" s="43"/>
      <c r="AG834" s="43"/>
      <c r="AH834" s="43"/>
      <c r="AI834" s="43"/>
      <c r="AJ834" s="43">
        <v>1.7955814029383479</v>
      </c>
      <c r="AK834" s="43"/>
      <c r="AL834" s="43"/>
      <c r="AM834" s="43"/>
      <c r="AN834" s="43"/>
      <c r="AO834" s="43"/>
      <c r="AP834" s="43"/>
      <c r="AQ834" s="43"/>
      <c r="AR834" s="43"/>
      <c r="AS834" s="43"/>
      <c r="AT834" s="43">
        <v>1.5979110469803108</v>
      </c>
      <c r="AU834" s="43">
        <v>1.639466763962274</v>
      </c>
      <c r="AV834" s="43">
        <v>1.5747993164633365</v>
      </c>
      <c r="AW834" s="43">
        <v>1.5740629780330366</v>
      </c>
      <c r="AX834" s="43">
        <v>1.6123290377657571</v>
      </c>
      <c r="AY834" s="43">
        <v>1.6302612357670523</v>
      </c>
      <c r="AZ834" s="43">
        <v>1.6525176858459851</v>
      </c>
      <c r="BA834" s="43">
        <v>1.6171139714320726</v>
      </c>
      <c r="BB834" s="43">
        <v>1.6360572270794793</v>
      </c>
      <c r="BC834" s="43">
        <v>1.5288537576491594</v>
      </c>
      <c r="BD834" s="43">
        <v>1.5295228608156684</v>
      </c>
      <c r="BE834" s="43">
        <v>1.1602230655564261</v>
      </c>
      <c r="BF834" s="43">
        <v>1.1583826709097418</v>
      </c>
      <c r="BG834" s="43">
        <v>1.1518991930072484</v>
      </c>
      <c r="BH834" s="43">
        <v>1.6245235818549295</v>
      </c>
      <c r="BI834" s="43"/>
      <c r="BJ834" s="43"/>
      <c r="BK834" s="43"/>
      <c r="BL834" s="43"/>
      <c r="BM834" s="43"/>
      <c r="BN834" s="56">
        <f t="shared" si="25"/>
        <v>1.6245235818549295</v>
      </c>
      <c r="BO834" s="428">
        <f>IF(BN834="No reported value",INDEX('WB HCW &amp; Beds'!$BU$831:$BU$835,MATCH($BP834,'WB HCW &amp; Beds'!$BS$831:$BS$835,0)),$BN834)</f>
        <v>1.6245235818549295</v>
      </c>
      <c r="BP834" s="132" t="str">
        <f>INDEX('HCW + Staff Summary'!$E$7:$E$270,MATCH($B834,'HCW + Staff Summary'!$B$7:$B$270,0))</f>
        <v>OUT</v>
      </c>
      <c r="BQ834" s="429">
        <f>INDEX('WB HCW &amp; Beds'!$BU$838:$BU$842,MATCH($BP834,'WB HCW &amp; Beds'!$BS$838:$BS$842,0))*100</f>
        <v>2.7250000000000001</v>
      </c>
      <c r="BS834" s="43" t="s">
        <v>453</v>
      </c>
      <c r="BT834" s="43"/>
      <c r="BU834" s="1190">
        <v>1.24</v>
      </c>
      <c r="BV834" s="43" t="s">
        <v>833</v>
      </c>
    </row>
    <row r="835" spans="2:74" x14ac:dyDescent="0.75">
      <c r="B835" s="43" t="s">
        <v>555</v>
      </c>
      <c r="C835" s="43" t="s">
        <v>2</v>
      </c>
      <c r="D835" s="43" t="s">
        <v>632</v>
      </c>
      <c r="E835" s="43" t="s">
        <v>633</v>
      </c>
      <c r="F835" s="43"/>
      <c r="G835" s="43"/>
      <c r="H835" s="43"/>
      <c r="I835" s="43"/>
      <c r="J835" s="43"/>
      <c r="K835" s="43"/>
      <c r="L835" s="43"/>
      <c r="M835" s="43"/>
      <c r="N835" s="43"/>
      <c r="O835" s="43"/>
      <c r="P835" s="43"/>
      <c r="Q835" s="43"/>
      <c r="R835" s="43"/>
      <c r="S835" s="43"/>
      <c r="T835" s="43"/>
      <c r="U835" s="43"/>
      <c r="V835" s="43"/>
      <c r="W835" s="43"/>
      <c r="X835" s="43"/>
      <c r="Y835" s="43"/>
      <c r="Z835" s="43">
        <v>2.8494999408721902</v>
      </c>
      <c r="AA835" s="43">
        <v>2.87509989738464</v>
      </c>
      <c r="AB835" s="43"/>
      <c r="AC835" s="43"/>
      <c r="AD835" s="43"/>
      <c r="AE835" s="43"/>
      <c r="AF835" s="43"/>
      <c r="AG835" s="43"/>
      <c r="AH835" s="43"/>
      <c r="AI835" s="43"/>
      <c r="AJ835" s="43">
        <v>2.6400001048999999</v>
      </c>
      <c r="AK835" s="43"/>
      <c r="AL835" s="43">
        <v>3.0604999065</v>
      </c>
      <c r="AM835" s="43"/>
      <c r="AN835" s="43"/>
      <c r="AO835" s="43"/>
      <c r="AP835" s="43">
        <v>2.6400001048999999</v>
      </c>
      <c r="AQ835" s="43"/>
      <c r="AR835" s="43"/>
      <c r="AS835" s="43"/>
      <c r="AT835" s="43">
        <v>2.4</v>
      </c>
      <c r="AU835" s="43">
        <v>2.2999999999999998</v>
      </c>
      <c r="AV835" s="43">
        <v>2.2000000000000002</v>
      </c>
      <c r="AW835" s="43">
        <v>2.2000000000000002</v>
      </c>
      <c r="AX835" s="43">
        <v>2.2000000000000002</v>
      </c>
      <c r="AY835" s="43">
        <v>2.2000000000000002</v>
      </c>
      <c r="AZ835" s="43">
        <v>1.9</v>
      </c>
      <c r="BA835" s="43">
        <v>1.9</v>
      </c>
      <c r="BB835" s="43">
        <v>1.9</v>
      </c>
      <c r="BC835" s="43">
        <v>1.9</v>
      </c>
      <c r="BD835" s="43">
        <v>1.9</v>
      </c>
      <c r="BE835" s="43">
        <v>1.1000000000000001</v>
      </c>
      <c r="BF835" s="43">
        <v>1.1000000000000001</v>
      </c>
      <c r="BG835" s="43">
        <v>1.2</v>
      </c>
      <c r="BH835" s="43"/>
      <c r="BI835" s="43"/>
      <c r="BJ835" s="43"/>
      <c r="BK835" s="43"/>
      <c r="BL835" s="43"/>
      <c r="BM835" s="43"/>
      <c r="BN835" s="56">
        <f t="shared" si="25"/>
        <v>1.2</v>
      </c>
      <c r="BO835" s="428">
        <f>IF(BN835="No reported value",INDEX('WB HCW &amp; Beds'!$BU$831:$BU$835,MATCH($BP835,'WB HCW &amp; Beds'!$BS$831:$BS$835,0)),$BN835)</f>
        <v>1.2</v>
      </c>
      <c r="BP835" s="132" t="str">
        <f>INDEX('HCW + Staff Summary'!$E$7:$E$270,MATCH($B835,'HCW + Staff Summary'!$B$7:$B$270,0))</f>
        <v>High income</v>
      </c>
      <c r="BQ835" s="429">
        <f>INDEX('WB HCW &amp; Beds'!$BU$838:$BU$842,MATCH($BP835,'WB HCW &amp; Beds'!$BS$838:$BS$842,0))*100</f>
        <v>3.5700000000000003</v>
      </c>
      <c r="BS835" s="43" t="s">
        <v>750</v>
      </c>
      <c r="BT835" s="82"/>
      <c r="BU835" s="1190">
        <v>2.7</v>
      </c>
      <c r="BV835" s="43" t="s">
        <v>1552</v>
      </c>
    </row>
    <row r="836" spans="2:74" x14ac:dyDescent="0.75">
      <c r="B836" s="43" t="s">
        <v>321</v>
      </c>
      <c r="C836" s="43" t="s">
        <v>322</v>
      </c>
      <c r="D836" s="43" t="s">
        <v>632</v>
      </c>
      <c r="E836" s="43" t="s">
        <v>633</v>
      </c>
      <c r="F836" s="43">
        <v>6.3522505760192898</v>
      </c>
      <c r="G836" s="43"/>
      <c r="H836" s="43"/>
      <c r="I836" s="43"/>
      <c r="J836" s="43"/>
      <c r="K836" s="43"/>
      <c r="L836" s="43"/>
      <c r="M836" s="43"/>
      <c r="N836" s="43"/>
      <c r="O836" s="43"/>
      <c r="P836" s="43">
        <v>5.5858001708984402</v>
      </c>
      <c r="Q836" s="43"/>
      <c r="R836" s="43"/>
      <c r="S836" s="43"/>
      <c r="T836" s="43"/>
      <c r="U836" s="43"/>
      <c r="V836" s="43"/>
      <c r="W836" s="43"/>
      <c r="X836" s="43"/>
      <c r="Y836" s="43"/>
      <c r="Z836" s="43"/>
      <c r="AA836" s="43"/>
      <c r="AB836" s="43"/>
      <c r="AC836" s="43"/>
      <c r="AD836" s="43"/>
      <c r="AE836" s="43"/>
      <c r="AF836" s="43"/>
      <c r="AG836" s="43"/>
      <c r="AH836" s="43"/>
      <c r="AI836" s="43"/>
      <c r="AJ836" s="43">
        <v>4.5942997932000003</v>
      </c>
      <c r="AK836" s="43"/>
      <c r="AL836" s="43"/>
      <c r="AM836" s="43">
        <v>4.5999999045999997</v>
      </c>
      <c r="AN836" s="43"/>
      <c r="AO836" s="43"/>
      <c r="AP836" s="43">
        <v>3.2899999619</v>
      </c>
      <c r="AQ836" s="43"/>
      <c r="AR836" s="43"/>
      <c r="AS836" s="43"/>
      <c r="AT836" s="43">
        <v>4.0999999999999996</v>
      </c>
      <c r="AU836" s="43"/>
      <c r="AV836" s="43"/>
      <c r="AW836" s="43"/>
      <c r="AX836" s="43"/>
      <c r="AY836" s="43">
        <v>4</v>
      </c>
      <c r="AZ836" s="43"/>
      <c r="BA836" s="43"/>
      <c r="BB836" s="43"/>
      <c r="BC836" s="43"/>
      <c r="BD836" s="43">
        <v>4.5</v>
      </c>
      <c r="BE836" s="43">
        <v>4.5</v>
      </c>
      <c r="BF836" s="43">
        <v>4.7</v>
      </c>
      <c r="BG836" s="43">
        <v>4.9000000000000004</v>
      </c>
      <c r="BH836" s="43">
        <v>5</v>
      </c>
      <c r="BI836" s="43"/>
      <c r="BJ836" s="43"/>
      <c r="BK836" s="43"/>
      <c r="BL836" s="43"/>
      <c r="BM836" s="43"/>
      <c r="BN836" s="56">
        <f t="shared" si="25"/>
        <v>5</v>
      </c>
      <c r="BO836" s="428">
        <f>IF(BN836="No reported value",INDEX('WB HCW &amp; Beds'!$BU$831:$BU$835,MATCH($BP836,'WB HCW &amp; Beds'!$BS$831:$BS$835,0)),$BN836)</f>
        <v>5</v>
      </c>
      <c r="BP836" s="132" t="str">
        <f>INDEX('HCW + Staff Summary'!$E$7:$E$270,MATCH($B836,'HCW + Staff Summary'!$B$7:$B$270,0))</f>
        <v>Upper middle income</v>
      </c>
      <c r="BQ836" s="429">
        <f>INDEX('WB HCW &amp; Beds'!$BU$838:$BU$842,MATCH($BP836,'WB HCW &amp; Beds'!$BS$838:$BS$842,0))*100</f>
        <v>3.32</v>
      </c>
      <c r="BS836" s="43"/>
      <c r="BT836" s="43"/>
      <c r="BU836" s="43"/>
      <c r="BV836" s="43"/>
    </row>
    <row r="837" spans="2:74" x14ac:dyDescent="0.75">
      <c r="B837" s="43" t="s">
        <v>234</v>
      </c>
      <c r="C837" s="43" t="s">
        <v>3</v>
      </c>
      <c r="D837" s="43" t="s">
        <v>632</v>
      </c>
      <c r="E837" s="43" t="s">
        <v>633</v>
      </c>
      <c r="F837" s="43"/>
      <c r="G837" s="43"/>
      <c r="H837" s="43"/>
      <c r="I837" s="43"/>
      <c r="J837" s="43"/>
      <c r="K837" s="43"/>
      <c r="L837" s="43"/>
      <c r="M837" s="43"/>
      <c r="N837" s="43"/>
      <c r="O837" s="43"/>
      <c r="P837" s="43"/>
      <c r="Q837" s="43"/>
      <c r="R837" s="43"/>
      <c r="S837" s="43"/>
      <c r="T837" s="43"/>
      <c r="U837" s="43"/>
      <c r="V837" s="43"/>
      <c r="W837" s="43"/>
      <c r="X837" s="43"/>
      <c r="Y837" s="43"/>
      <c r="Z837" s="43">
        <v>8.3954000473022496</v>
      </c>
      <c r="AA837" s="43">
        <v>8.5783996582031303</v>
      </c>
      <c r="AB837" s="43">
        <v>8.68280029296875</v>
      </c>
      <c r="AC837" s="43">
        <v>8.5481004714965803</v>
      </c>
      <c r="AD837" s="43">
        <v>8.6600999832153303</v>
      </c>
      <c r="AE837" s="43">
        <v>8.6991996765136701</v>
      </c>
      <c r="AF837" s="43">
        <v>9.0242004394531303</v>
      </c>
      <c r="AG837" s="43">
        <v>8.9966001510620099</v>
      </c>
      <c r="AH837" s="43">
        <v>9.1904001235961896</v>
      </c>
      <c r="AI837" s="43">
        <v>9.0357999801635707</v>
      </c>
      <c r="AJ837" s="43">
        <v>9.0947999954000007</v>
      </c>
      <c r="AK837" s="43">
        <v>8.5292997360000005</v>
      </c>
      <c r="AL837" s="43">
        <v>8.3676996231</v>
      </c>
      <c r="AM837" s="43">
        <v>8.2146997452000008</v>
      </c>
      <c r="AN837" s="43">
        <v>7.7659997939999998</v>
      </c>
      <c r="AO837" s="43">
        <v>7.6399998665000002</v>
      </c>
      <c r="AP837" s="43">
        <v>7.1300001143999996</v>
      </c>
      <c r="AQ837" s="43">
        <v>6.75</v>
      </c>
      <c r="AR837" s="43">
        <v>6.6599998474</v>
      </c>
      <c r="AS837" s="43">
        <v>6.1999998093000004</v>
      </c>
      <c r="AT837" s="43">
        <v>6.4</v>
      </c>
      <c r="AU837" s="43">
        <v>5</v>
      </c>
      <c r="AV837" s="43">
        <v>4.3</v>
      </c>
      <c r="AW837" s="43">
        <v>4.4000000000000004</v>
      </c>
      <c r="AX837" s="43">
        <v>4.4000000000000004</v>
      </c>
      <c r="AY837" s="43">
        <v>4.5</v>
      </c>
      <c r="AZ837" s="43">
        <v>4.4000000000000004</v>
      </c>
      <c r="BA837" s="43">
        <v>4.0999999999999996</v>
      </c>
      <c r="BB837" s="43">
        <v>3.8</v>
      </c>
      <c r="BC837" s="43">
        <v>3.7</v>
      </c>
      <c r="BD837" s="43">
        <v>3.7</v>
      </c>
      <c r="BE837" s="43">
        <v>3.7</v>
      </c>
      <c r="BF837" s="43">
        <v>4</v>
      </c>
      <c r="BG837" s="43">
        <v>4.0999999999999996</v>
      </c>
      <c r="BH837" s="43"/>
      <c r="BI837" s="43">
        <v>4.2</v>
      </c>
      <c r="BJ837" s="43"/>
      <c r="BK837" s="43"/>
      <c r="BL837" s="43"/>
      <c r="BM837" s="43"/>
      <c r="BN837" s="56">
        <f t="shared" si="25"/>
        <v>4.2</v>
      </c>
      <c r="BO837" s="428">
        <f>IF(BN837="No reported value",INDEX('WB HCW &amp; Beds'!$BU$831:$BU$835,MATCH($BP837,'WB HCW &amp; Beds'!$BS$831:$BS$835,0)),$BN837)</f>
        <v>4.2</v>
      </c>
      <c r="BP837" s="132" t="str">
        <f>INDEX('HCW + Staff Summary'!$E$7:$E$270,MATCH($B837,'HCW + Staff Summary'!$B$7:$B$270,0))</f>
        <v>Upper middle income</v>
      </c>
      <c r="BQ837" s="429">
        <f>INDEX('WB HCW &amp; Beds'!$BU$838:$BU$842,MATCH($BP837,'WB HCW &amp; Beds'!$BS$838:$BS$842,0))*100</f>
        <v>3.32</v>
      </c>
      <c r="BS837" s="8" t="s">
        <v>1408</v>
      </c>
      <c r="BT837" s="43"/>
      <c r="BU837" s="43"/>
      <c r="BV837" s="43"/>
    </row>
    <row r="838" spans="2:74" x14ac:dyDescent="0.75">
      <c r="B838" s="43" t="s">
        <v>315</v>
      </c>
      <c r="C838" s="43" t="s">
        <v>193</v>
      </c>
      <c r="D838" s="43" t="s">
        <v>632</v>
      </c>
      <c r="E838" s="43" t="s">
        <v>633</v>
      </c>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56" t="str">
        <f t="shared" si="25"/>
        <v>No reported value</v>
      </c>
      <c r="BO838" s="428">
        <f>IF(BN838="No reported value",INDEX('WB HCW &amp; Beds'!$BU$831:$BU$835,MATCH($BP838,'WB HCW &amp; Beds'!$BS$831:$BS$835,0)),$BN838)</f>
        <v>3.41</v>
      </c>
      <c r="BP838" s="132" t="str">
        <f>INDEX('HCW + Staff Summary'!$E$7:$E$270,MATCH($B838,'HCW + Staff Summary'!$B$7:$B$270,0))</f>
        <v>Upper middle income</v>
      </c>
      <c r="BQ838" s="429">
        <f>INDEX('WB HCW &amp; Beds'!$BU$838:$BU$842,MATCH($BP838,'WB HCW &amp; Beds'!$BS$838:$BS$842,0))*100</f>
        <v>3.32</v>
      </c>
      <c r="BS838" s="5" t="s">
        <v>411</v>
      </c>
      <c r="BT838" s="43"/>
      <c r="BU838" s="1191">
        <v>3.5700000000000003E-2</v>
      </c>
      <c r="BV838" s="43" t="s">
        <v>1409</v>
      </c>
    </row>
    <row r="839" spans="2:74" x14ac:dyDescent="0.75">
      <c r="B839" s="43" t="s">
        <v>317</v>
      </c>
      <c r="C839" s="43" t="s">
        <v>318</v>
      </c>
      <c r="D839" s="43" t="s">
        <v>632</v>
      </c>
      <c r="E839" s="43" t="s">
        <v>633</v>
      </c>
      <c r="F839" s="43">
        <v>7.70642185211182</v>
      </c>
      <c r="G839" s="43"/>
      <c r="H839" s="43"/>
      <c r="I839" s="43"/>
      <c r="J839" s="43"/>
      <c r="K839" s="43"/>
      <c r="L839" s="43"/>
      <c r="M839" s="43"/>
      <c r="N839" s="43"/>
      <c r="O839" s="43"/>
      <c r="P839" s="43">
        <v>6.5300002098083496</v>
      </c>
      <c r="Q839" s="43"/>
      <c r="R839" s="43"/>
      <c r="S839" s="43"/>
      <c r="T839" s="43"/>
      <c r="U839" s="43"/>
      <c r="V839" s="43"/>
      <c r="W839" s="43"/>
      <c r="X839" s="43"/>
      <c r="Y839" s="43"/>
      <c r="Z839" s="43"/>
      <c r="AA839" s="43"/>
      <c r="AB839" s="43"/>
      <c r="AC839" s="43"/>
      <c r="AD839" s="43"/>
      <c r="AE839" s="43"/>
      <c r="AF839" s="43"/>
      <c r="AG839" s="43"/>
      <c r="AH839" s="43"/>
      <c r="AI839" s="43"/>
      <c r="AJ839" s="43">
        <v>6.5999999045999997</v>
      </c>
      <c r="AK839" s="43"/>
      <c r="AL839" s="43"/>
      <c r="AM839" s="43">
        <v>6.1048002242999999</v>
      </c>
      <c r="AN839" s="43"/>
      <c r="AO839" s="43"/>
      <c r="AP839" s="43">
        <v>3.8800001144</v>
      </c>
      <c r="AQ839" s="43"/>
      <c r="AR839" s="43"/>
      <c r="AS839" s="43"/>
      <c r="AT839" s="43"/>
      <c r="AU839" s="43">
        <v>2.6</v>
      </c>
      <c r="AV839" s="43">
        <v>2.2999999999999998</v>
      </c>
      <c r="AW839" s="43">
        <v>2.5</v>
      </c>
      <c r="AX839" s="43">
        <v>2.4</v>
      </c>
      <c r="AY839" s="43">
        <v>2.4</v>
      </c>
      <c r="AZ839" s="43">
        <v>2.4</v>
      </c>
      <c r="BA839" s="43">
        <v>2</v>
      </c>
      <c r="BB839" s="43">
        <v>1.7</v>
      </c>
      <c r="BC839" s="43">
        <v>2.2000000000000002</v>
      </c>
      <c r="BD839" s="43">
        <v>2.2000000000000002</v>
      </c>
      <c r="BE839" s="43">
        <v>2.1</v>
      </c>
      <c r="BF839" s="43"/>
      <c r="BG839" s="43">
        <v>3.9</v>
      </c>
      <c r="BH839" s="43">
        <v>3.8</v>
      </c>
      <c r="BI839" s="43"/>
      <c r="BJ839" s="43"/>
      <c r="BK839" s="43"/>
      <c r="BL839" s="43"/>
      <c r="BM839" s="43"/>
      <c r="BN839" s="56">
        <f t="shared" si="25"/>
        <v>3.8</v>
      </c>
      <c r="BO839" s="428">
        <f>IF(BN839="No reported value",INDEX('WB HCW &amp; Beds'!$BU$831:$BU$835,MATCH($BP839,'WB HCW &amp; Beds'!$BS$831:$BS$835,0)),$BN839)</f>
        <v>3.8</v>
      </c>
      <c r="BP839" s="132" t="str">
        <f>INDEX('HCW + Staff Summary'!$E$7:$E$270,MATCH($B839,'HCW + Staff Summary'!$B$7:$B$270,0))</f>
        <v>High income</v>
      </c>
      <c r="BQ839" s="429">
        <f>INDEX('WB HCW &amp; Beds'!$BU$838:$BU$842,MATCH($BP839,'WB HCW &amp; Beds'!$BS$838:$BS$842,0))*100</f>
        <v>3.5700000000000003</v>
      </c>
      <c r="BS839" s="132" t="s">
        <v>558</v>
      </c>
      <c r="BT839" s="43"/>
      <c r="BU839" s="1191">
        <v>3.32E-2</v>
      </c>
      <c r="BV839" s="132" t="s">
        <v>1409</v>
      </c>
    </row>
    <row r="840" spans="2:74" x14ac:dyDescent="0.75">
      <c r="B840" s="43" t="s">
        <v>325</v>
      </c>
      <c r="C840" s="43" t="s">
        <v>4</v>
      </c>
      <c r="D840" s="43" t="s">
        <v>632</v>
      </c>
      <c r="E840" s="43" t="s">
        <v>633</v>
      </c>
      <c r="F840" s="43">
        <v>11.199999809265099</v>
      </c>
      <c r="G840" s="43">
        <v>11.300000190734901</v>
      </c>
      <c r="H840" s="43">
        <v>11.3999996185303</v>
      </c>
      <c r="I840" s="43">
        <v>11.699999809265099</v>
      </c>
      <c r="J840" s="43">
        <v>11.800000190734901</v>
      </c>
      <c r="K840" s="43">
        <v>11.8999996185303</v>
      </c>
      <c r="L840" s="43">
        <v>11.800000190734901</v>
      </c>
      <c r="M840" s="43">
        <v>11.800000190734901</v>
      </c>
      <c r="N840" s="43">
        <v>11.800000190734901</v>
      </c>
      <c r="O840" s="43">
        <v>11.699999809265099</v>
      </c>
      <c r="P840" s="43">
        <v>11.699999809265099</v>
      </c>
      <c r="Q840" s="43">
        <v>11.6000003814697</v>
      </c>
      <c r="R840" s="43">
        <v>11.800000190734901</v>
      </c>
      <c r="S840" s="43">
        <v>11.800000190734901</v>
      </c>
      <c r="T840" s="43">
        <v>12</v>
      </c>
      <c r="U840" s="43">
        <v>11.8999996185303</v>
      </c>
      <c r="V840" s="43">
        <v>11.8999996185303</v>
      </c>
      <c r="W840" s="43">
        <v>12.1000003814697</v>
      </c>
      <c r="X840" s="43">
        <v>12.1000003814697</v>
      </c>
      <c r="Y840" s="43">
        <v>12.199999809265099</v>
      </c>
      <c r="Z840" s="43">
        <v>12.300000190734901</v>
      </c>
      <c r="AA840" s="43">
        <v>12.199999809265099</v>
      </c>
      <c r="AB840" s="43">
        <v>12.1000003814697</v>
      </c>
      <c r="AC840" s="43">
        <v>11.8999996185303</v>
      </c>
      <c r="AD840" s="43">
        <v>11.699999809265099</v>
      </c>
      <c r="AE840" s="43">
        <v>10.8999996185303</v>
      </c>
      <c r="AF840" s="43"/>
      <c r="AG840" s="43">
        <v>10.5</v>
      </c>
      <c r="AH840" s="43"/>
      <c r="AI840" s="43">
        <v>9.8000001907348597</v>
      </c>
      <c r="AJ840" s="43"/>
      <c r="AK840" s="43">
        <v>9.1999998092999995</v>
      </c>
      <c r="AL840" s="43">
        <v>8.8999996185000008</v>
      </c>
      <c r="AM840" s="43">
        <v>8.8999996185000008</v>
      </c>
      <c r="AN840" s="43">
        <v>8.6999998092999995</v>
      </c>
      <c r="AO840" s="43">
        <v>8.6999998092999995</v>
      </c>
      <c r="AP840" s="43">
        <v>8.5</v>
      </c>
      <c r="AQ840" s="43">
        <v>8.3000001907000005</v>
      </c>
      <c r="AR840" s="43">
        <v>8.1999998092999995</v>
      </c>
      <c r="AS840" s="43">
        <v>7.9000000954000003</v>
      </c>
      <c r="AT840" s="43">
        <v>7.8000001906999996</v>
      </c>
      <c r="AU840" s="43">
        <v>7.5999999045999997</v>
      </c>
      <c r="AV840" s="43">
        <v>4</v>
      </c>
      <c r="AW840" s="43"/>
      <c r="AX840" s="43">
        <v>3.9</v>
      </c>
      <c r="AY840" s="43">
        <v>4</v>
      </c>
      <c r="AZ840" s="43">
        <v>3.97</v>
      </c>
      <c r="BA840" s="43"/>
      <c r="BB840" s="43"/>
      <c r="BC840" s="43">
        <v>3.8</v>
      </c>
      <c r="BD840" s="43">
        <v>3.9</v>
      </c>
      <c r="BE840" s="43">
        <v>3.8</v>
      </c>
      <c r="BF840" s="43"/>
      <c r="BG840" s="43"/>
      <c r="BH840" s="43">
        <v>3.8</v>
      </c>
      <c r="BI840" s="43"/>
      <c r="BJ840" s="43"/>
      <c r="BK840" s="43"/>
      <c r="BL840" s="43"/>
      <c r="BM840" s="43"/>
      <c r="BN840" s="56">
        <f t="shared" si="25"/>
        <v>3.8</v>
      </c>
      <c r="BO840" s="428">
        <f>IF(BN840="No reported value",INDEX('WB HCW &amp; Beds'!$BU$831:$BU$835,MATCH($BP840,'WB HCW &amp; Beds'!$BS$831:$BS$835,0)),$BN840)</f>
        <v>3.8</v>
      </c>
      <c r="BP840" s="132" t="str">
        <f>INDEX('HCW + Staff Summary'!$E$7:$E$270,MATCH($B840,'HCW + Staff Summary'!$B$7:$B$270,0))</f>
        <v>High income</v>
      </c>
      <c r="BQ840" s="429">
        <f>INDEX('WB HCW &amp; Beds'!$BU$838:$BU$842,MATCH($BP840,'WB HCW &amp; Beds'!$BS$838:$BS$842,0))*100</f>
        <v>3.5700000000000003</v>
      </c>
      <c r="BS840" s="132" t="s">
        <v>455</v>
      </c>
      <c r="BT840" s="43"/>
      <c r="BU840" s="1191">
        <v>2.3800000000000002E-2</v>
      </c>
      <c r="BV840" s="132" t="s">
        <v>1409</v>
      </c>
    </row>
    <row r="841" spans="2:74" x14ac:dyDescent="0.75">
      <c r="B841" s="43" t="s">
        <v>326</v>
      </c>
      <c r="C841" s="43" t="s">
        <v>5</v>
      </c>
      <c r="D841" s="43" t="s">
        <v>632</v>
      </c>
      <c r="E841" s="43" t="s">
        <v>633</v>
      </c>
      <c r="F841" s="43">
        <v>10.800000190734901</v>
      </c>
      <c r="G841" s="43"/>
      <c r="H841" s="43"/>
      <c r="I841" s="43"/>
      <c r="J841" s="43"/>
      <c r="K841" s="43"/>
      <c r="L841" s="43"/>
      <c r="M841" s="43"/>
      <c r="N841" s="43"/>
      <c r="O841" s="43"/>
      <c r="P841" s="43">
        <v>10.800000190734901</v>
      </c>
      <c r="Q841" s="43"/>
      <c r="R841" s="43"/>
      <c r="S841" s="43"/>
      <c r="T841" s="43"/>
      <c r="U841" s="43"/>
      <c r="V841" s="43"/>
      <c r="W841" s="43"/>
      <c r="X841" s="43"/>
      <c r="Y841" s="43"/>
      <c r="Z841" s="43">
        <v>11.199999809265099</v>
      </c>
      <c r="AA841" s="43"/>
      <c r="AB841" s="43"/>
      <c r="AC841" s="43"/>
      <c r="AD841" s="43"/>
      <c r="AE841" s="43">
        <v>10.8999996185303</v>
      </c>
      <c r="AF841" s="43">
        <v>10.800000190734901</v>
      </c>
      <c r="AG841" s="43">
        <v>10.699999809265099</v>
      </c>
      <c r="AH841" s="43">
        <v>10.6000003814697</v>
      </c>
      <c r="AI841" s="43">
        <v>10.3999996185303</v>
      </c>
      <c r="AJ841" s="43">
        <v>10.199999809299999</v>
      </c>
      <c r="AK841" s="43">
        <v>9.8999996185000008</v>
      </c>
      <c r="AL841" s="43">
        <v>9.6999998092999995</v>
      </c>
      <c r="AM841" s="43">
        <v>9.3999996185000008</v>
      </c>
      <c r="AN841" s="43">
        <v>9.5</v>
      </c>
      <c r="AO841" s="43">
        <v>9.3999996185000008</v>
      </c>
      <c r="AP841" s="43">
        <v>9.3000001907000005</v>
      </c>
      <c r="AQ841" s="43">
        <v>9.1999998092999995</v>
      </c>
      <c r="AR841" s="43">
        <v>9</v>
      </c>
      <c r="AS841" s="43">
        <v>8.8999996185000008</v>
      </c>
      <c r="AT841" s="43">
        <v>7.9</v>
      </c>
      <c r="AU841" s="43">
        <v>7.8</v>
      </c>
      <c r="AV841" s="43">
        <v>7.8</v>
      </c>
      <c r="AW841" s="43">
        <v>7.7</v>
      </c>
      <c r="AX841" s="43">
        <v>7.7</v>
      </c>
      <c r="AY841" s="43">
        <v>7.7</v>
      </c>
      <c r="AZ841" s="43">
        <v>7.7</v>
      </c>
      <c r="BA841" s="43">
        <v>7.8</v>
      </c>
      <c r="BB841" s="43">
        <v>7.7</v>
      </c>
      <c r="BC841" s="43">
        <v>7.7</v>
      </c>
      <c r="BD841" s="43">
        <v>7.7</v>
      </c>
      <c r="BE841" s="43">
        <v>7.7</v>
      </c>
      <c r="BF841" s="43">
        <v>7.7</v>
      </c>
      <c r="BG841" s="43">
        <v>7.6</v>
      </c>
      <c r="BH841" s="43"/>
      <c r="BI841" s="43"/>
      <c r="BJ841" s="43"/>
      <c r="BK841" s="43"/>
      <c r="BL841" s="43"/>
      <c r="BM841" s="43"/>
      <c r="BN841" s="56">
        <f t="shared" si="25"/>
        <v>7.6</v>
      </c>
      <c r="BO841" s="428">
        <f>IF(BN841="No reported value",INDEX('WB HCW &amp; Beds'!$BU$831:$BU$835,MATCH($BP841,'WB HCW &amp; Beds'!$BS$831:$BS$835,0)),$BN841)</f>
        <v>7.6</v>
      </c>
      <c r="BP841" s="132" t="str">
        <f>INDEX('HCW + Staff Summary'!$E$7:$E$270,MATCH($B841,'HCW + Staff Summary'!$B$7:$B$270,0))</f>
        <v>High income</v>
      </c>
      <c r="BQ841" s="429">
        <f>INDEX('WB HCW &amp; Beds'!$BU$838:$BU$842,MATCH($BP841,'WB HCW &amp; Beds'!$BS$838:$BS$842,0))*100</f>
        <v>3.5700000000000003</v>
      </c>
      <c r="BS841" s="132" t="s">
        <v>453</v>
      </c>
      <c r="BT841" s="43"/>
      <c r="BU841" s="1191">
        <v>1.6299999999999999E-2</v>
      </c>
      <c r="BV841" s="132" t="s">
        <v>1409</v>
      </c>
    </row>
    <row r="842" spans="2:74" x14ac:dyDescent="0.75">
      <c r="B842" s="43" t="s">
        <v>235</v>
      </c>
      <c r="C842" s="43" t="s">
        <v>6</v>
      </c>
      <c r="D842" s="43" t="s">
        <v>632</v>
      </c>
      <c r="E842" s="43" t="s">
        <v>633</v>
      </c>
      <c r="F842" s="43"/>
      <c r="G842" s="43"/>
      <c r="H842" s="43"/>
      <c r="I842" s="43"/>
      <c r="J842" s="43"/>
      <c r="K842" s="43"/>
      <c r="L842" s="43"/>
      <c r="M842" s="43"/>
      <c r="N842" s="43"/>
      <c r="O842" s="43"/>
      <c r="P842" s="43"/>
      <c r="Q842" s="43"/>
      <c r="R842" s="43"/>
      <c r="S842" s="43"/>
      <c r="T842" s="43"/>
      <c r="U842" s="43"/>
      <c r="V842" s="43"/>
      <c r="W842" s="43"/>
      <c r="X842" s="43"/>
      <c r="Y842" s="43"/>
      <c r="Z842" s="43">
        <v>9.7452001571655291</v>
      </c>
      <c r="AA842" s="43"/>
      <c r="AB842" s="43"/>
      <c r="AC842" s="43"/>
      <c r="AD842" s="43"/>
      <c r="AE842" s="43">
        <v>9.8968000411987305</v>
      </c>
      <c r="AF842" s="43">
        <v>9.8410997390747106</v>
      </c>
      <c r="AG842" s="43">
        <v>9.8821001052856392</v>
      </c>
      <c r="AH842" s="43">
        <v>9.9663000106811506</v>
      </c>
      <c r="AI842" s="43">
        <v>10.204400062561</v>
      </c>
      <c r="AJ842" s="43">
        <v>10.099200248700001</v>
      </c>
      <c r="AK842" s="43">
        <v>10.0208997726</v>
      </c>
      <c r="AL842" s="43">
        <v>10.542799949600001</v>
      </c>
      <c r="AM842" s="43">
        <v>10.487500190700001</v>
      </c>
      <c r="AN842" s="43">
        <v>10.070599555999999</v>
      </c>
      <c r="AO842" s="43">
        <v>10.0200004578</v>
      </c>
      <c r="AP842" s="43">
        <v>9.8100004195999997</v>
      </c>
      <c r="AQ842" s="43">
        <v>9.6099996566999994</v>
      </c>
      <c r="AR842" s="43">
        <v>9.0600004195999997</v>
      </c>
      <c r="AS842" s="43">
        <v>8.8999996185000008</v>
      </c>
      <c r="AT842" s="43">
        <v>8.6999999999999993</v>
      </c>
      <c r="AU842" s="43">
        <v>8.5</v>
      </c>
      <c r="AV842" s="43">
        <v>8.4</v>
      </c>
      <c r="AW842" s="43">
        <v>8.3000000000000007</v>
      </c>
      <c r="AX842" s="43">
        <v>8.1999999999999993</v>
      </c>
      <c r="AY842" s="43">
        <v>8.1999999999999993</v>
      </c>
      <c r="AZ842" s="43">
        <v>7.9</v>
      </c>
      <c r="BA842" s="43">
        <v>7.9</v>
      </c>
      <c r="BB842" s="43">
        <v>7.7</v>
      </c>
      <c r="BC842" s="43">
        <v>7.5</v>
      </c>
      <c r="BD842" s="43">
        <v>5.0999999999999996</v>
      </c>
      <c r="BE842" s="43">
        <v>4.5999999999999996</v>
      </c>
      <c r="BF842" s="43">
        <v>4.5999999999999996</v>
      </c>
      <c r="BG842" s="43">
        <v>4.7</v>
      </c>
      <c r="BH842" s="43"/>
      <c r="BI842" s="43"/>
      <c r="BJ842" s="43"/>
      <c r="BK842" s="43"/>
      <c r="BL842" s="43"/>
      <c r="BM842" s="43"/>
      <c r="BN842" s="56">
        <f t="shared" si="25"/>
        <v>4.7</v>
      </c>
      <c r="BO842" s="428">
        <f>IF(BN842="No reported value",INDEX('WB HCW &amp; Beds'!$BU$831:$BU$835,MATCH($BP842,'WB HCW &amp; Beds'!$BS$831:$BS$835,0)),$BN842)</f>
        <v>4.7</v>
      </c>
      <c r="BP842" s="132" t="str">
        <f>INDEX('HCW + Staff Summary'!$E$7:$E$270,MATCH($B842,'HCW + Staff Summary'!$B$7:$B$270,0))</f>
        <v>Upper middle income</v>
      </c>
      <c r="BQ842" s="429">
        <f>INDEX('WB HCW &amp; Beds'!$BU$838:$BU$842,MATCH($BP842,'WB HCW &amp; Beds'!$BS$838:$BS$842,0))*100</f>
        <v>3.32</v>
      </c>
      <c r="BS842" s="132" t="s">
        <v>750</v>
      </c>
      <c r="BT842" s="43"/>
      <c r="BU842" s="1191">
        <f>AVERAGE(BU838:BU841)</f>
        <v>2.725E-2</v>
      </c>
      <c r="BV842" s="132" t="s">
        <v>765</v>
      </c>
    </row>
    <row r="843" spans="2:74" x14ac:dyDescent="0.75">
      <c r="B843" s="43" t="s">
        <v>186</v>
      </c>
      <c r="C843" s="43" t="s">
        <v>7</v>
      </c>
      <c r="D843" s="43" t="s">
        <v>632</v>
      </c>
      <c r="E843" s="43" t="s">
        <v>633</v>
      </c>
      <c r="F843" s="43">
        <v>1.1224073171615601</v>
      </c>
      <c r="G843" s="43"/>
      <c r="H843" s="43"/>
      <c r="I843" s="43"/>
      <c r="J843" s="43"/>
      <c r="K843" s="43"/>
      <c r="L843" s="43"/>
      <c r="M843" s="43"/>
      <c r="N843" s="43"/>
      <c r="O843" s="43"/>
      <c r="P843" s="43">
        <v>1.28059995174408</v>
      </c>
      <c r="Q843" s="43"/>
      <c r="R843" s="43"/>
      <c r="S843" s="43"/>
      <c r="T843" s="43"/>
      <c r="U843" s="43">
        <v>1.1232000589370701</v>
      </c>
      <c r="V843" s="43"/>
      <c r="W843" s="43"/>
      <c r="X843" s="43"/>
      <c r="Y843" s="43"/>
      <c r="Z843" s="43"/>
      <c r="AA843" s="43"/>
      <c r="AB843" s="43"/>
      <c r="AC843" s="43"/>
      <c r="AD843" s="43"/>
      <c r="AE843" s="43"/>
      <c r="AF843" s="43">
        <v>0.67919999361038197</v>
      </c>
      <c r="AG843" s="43"/>
      <c r="AH843" s="43"/>
      <c r="AI843" s="43"/>
      <c r="AJ843" s="43"/>
      <c r="AK843" s="43">
        <v>0.66310000420000004</v>
      </c>
      <c r="AL843" s="43"/>
      <c r="AM843" s="43"/>
      <c r="AN843" s="43"/>
      <c r="AO843" s="43"/>
      <c r="AP843" s="43"/>
      <c r="AQ843" s="43"/>
      <c r="AR843" s="43"/>
      <c r="AS843" s="43"/>
      <c r="AT843" s="43"/>
      <c r="AU843" s="43"/>
      <c r="AV843" s="43"/>
      <c r="AW843" s="43"/>
      <c r="AX843" s="43"/>
      <c r="AY843" s="43"/>
      <c r="AZ843" s="43">
        <v>0.7</v>
      </c>
      <c r="BA843" s="43"/>
      <c r="BB843" s="43"/>
      <c r="BC843" s="43"/>
      <c r="BD843" s="43"/>
      <c r="BE843" s="43">
        <v>1.9</v>
      </c>
      <c r="BF843" s="43"/>
      <c r="BG843" s="43"/>
      <c r="BH843" s="43">
        <v>0.8</v>
      </c>
      <c r="BI843" s="43"/>
      <c r="BJ843" s="43"/>
      <c r="BK843" s="43"/>
      <c r="BL843" s="43"/>
      <c r="BM843" s="43"/>
      <c r="BN843" s="56">
        <f t="shared" si="25"/>
        <v>0.8</v>
      </c>
      <c r="BO843" s="428">
        <f>IF(BN843="No reported value",INDEX('WB HCW &amp; Beds'!$BU$831:$BU$835,MATCH($BP843,'WB HCW &amp; Beds'!$BS$831:$BS$835,0)),$BN843)</f>
        <v>0.8</v>
      </c>
      <c r="BP843" s="132" t="str">
        <f>INDEX('HCW + Staff Summary'!$E$7:$E$270,MATCH($B843,'HCW + Staff Summary'!$B$7:$B$270,0))</f>
        <v>Low income</v>
      </c>
      <c r="BQ843" s="429">
        <f>INDEX('WB HCW &amp; Beds'!$BU$838:$BU$842,MATCH($BP843,'WB HCW &amp; Beds'!$BS$838:$BS$842,0))*100</f>
        <v>1.63</v>
      </c>
    </row>
    <row r="844" spans="2:74" x14ac:dyDescent="0.75">
      <c r="B844" s="43" t="s">
        <v>332</v>
      </c>
      <c r="C844" s="43" t="s">
        <v>8</v>
      </c>
      <c r="D844" s="43" t="s">
        <v>632</v>
      </c>
      <c r="E844" s="43" t="s">
        <v>633</v>
      </c>
      <c r="F844" s="43"/>
      <c r="G844" s="43"/>
      <c r="H844" s="43"/>
      <c r="I844" s="43"/>
      <c r="J844" s="43"/>
      <c r="K844" s="43"/>
      <c r="L844" s="43"/>
      <c r="M844" s="43"/>
      <c r="N844" s="43"/>
      <c r="O844" s="43"/>
      <c r="P844" s="43">
        <v>8.3000001907348597</v>
      </c>
      <c r="Q844" s="43"/>
      <c r="R844" s="43"/>
      <c r="S844" s="43"/>
      <c r="T844" s="43"/>
      <c r="U844" s="43"/>
      <c r="V844" s="43"/>
      <c r="W844" s="43"/>
      <c r="X844" s="43"/>
      <c r="Y844" s="43"/>
      <c r="Z844" s="43">
        <v>9.3999996185302699</v>
      </c>
      <c r="AA844" s="43"/>
      <c r="AB844" s="43"/>
      <c r="AC844" s="43"/>
      <c r="AD844" s="43"/>
      <c r="AE844" s="43">
        <v>9.1000003814697301</v>
      </c>
      <c r="AF844" s="43"/>
      <c r="AG844" s="43"/>
      <c r="AH844" s="43"/>
      <c r="AI844" s="43"/>
      <c r="AJ844" s="43">
        <v>8</v>
      </c>
      <c r="AK844" s="43">
        <v>7.9000000954000003</v>
      </c>
      <c r="AL844" s="43">
        <v>7.6999998093000004</v>
      </c>
      <c r="AM844" s="43">
        <v>7.6999998093000004</v>
      </c>
      <c r="AN844" s="43">
        <v>7.5999999045999997</v>
      </c>
      <c r="AO844" s="43"/>
      <c r="AP844" s="43"/>
      <c r="AQ844" s="43">
        <v>7.1999998093000004</v>
      </c>
      <c r="AR844" s="43">
        <v>7.1999998093000004</v>
      </c>
      <c r="AS844" s="43">
        <v>7.0999999045999997</v>
      </c>
      <c r="AT844" s="43">
        <v>7.8</v>
      </c>
      <c r="AU844" s="43">
        <v>7.7</v>
      </c>
      <c r="AV844" s="43">
        <v>7.6</v>
      </c>
      <c r="AW844" s="43">
        <v>7.5</v>
      </c>
      <c r="AX844" s="43">
        <v>7.5</v>
      </c>
      <c r="AY844" s="43">
        <v>7.4</v>
      </c>
      <c r="AZ844" s="43">
        <v>6.7</v>
      </c>
      <c r="BA844" s="43">
        <v>6.6</v>
      </c>
      <c r="BB844" s="43">
        <v>6.6</v>
      </c>
      <c r="BC844" s="43">
        <v>6.5</v>
      </c>
      <c r="BD844" s="43">
        <v>6.5</v>
      </c>
      <c r="BE844" s="43">
        <v>6.4</v>
      </c>
      <c r="BF844" s="43">
        <v>6.3</v>
      </c>
      <c r="BG844" s="43">
        <v>6.3</v>
      </c>
      <c r="BH844" s="43">
        <v>6.2</v>
      </c>
      <c r="BI844" s="43"/>
      <c r="BJ844" s="43"/>
      <c r="BK844" s="43"/>
      <c r="BL844" s="43"/>
      <c r="BM844" s="43"/>
      <c r="BN844" s="56">
        <f t="shared" si="25"/>
        <v>6.2</v>
      </c>
      <c r="BO844" s="428">
        <f>IF(BN844="No reported value",INDEX('WB HCW &amp; Beds'!$BU$831:$BU$835,MATCH($BP844,'WB HCW &amp; Beds'!$BS$831:$BS$835,0)),$BN844)</f>
        <v>6.2</v>
      </c>
      <c r="BP844" s="132" t="str">
        <f>INDEX('HCW + Staff Summary'!$E$7:$E$270,MATCH($B844,'HCW + Staff Summary'!$B$7:$B$270,0))</f>
        <v>High income</v>
      </c>
      <c r="BQ844" s="429">
        <f>INDEX('WB HCW &amp; Beds'!$BU$838:$BU$842,MATCH($BP844,'WB HCW &amp; Beds'!$BS$838:$BS$842,0))*100</f>
        <v>3.5700000000000003</v>
      </c>
    </row>
    <row r="845" spans="2:74" x14ac:dyDescent="0.75">
      <c r="B845" s="43" t="s">
        <v>183</v>
      </c>
      <c r="C845" s="43" t="s">
        <v>9</v>
      </c>
      <c r="D845" s="43" t="s">
        <v>632</v>
      </c>
      <c r="E845" s="43" t="s">
        <v>633</v>
      </c>
      <c r="F845" s="43">
        <v>1.2257487773895299</v>
      </c>
      <c r="G845" s="43"/>
      <c r="H845" s="43"/>
      <c r="I845" s="43"/>
      <c r="J845" s="43"/>
      <c r="K845" s="43"/>
      <c r="L845" s="43"/>
      <c r="M845" s="43"/>
      <c r="N845" s="43"/>
      <c r="O845" s="43"/>
      <c r="P845" s="43">
        <v>1.1548999547958401</v>
      </c>
      <c r="Q845" s="43"/>
      <c r="R845" s="43"/>
      <c r="S845" s="43"/>
      <c r="T845" s="43"/>
      <c r="U845" s="43"/>
      <c r="V845" s="43"/>
      <c r="W845" s="43"/>
      <c r="X845" s="43"/>
      <c r="Y845" s="43"/>
      <c r="Z845" s="43">
        <v>1.46490001678467</v>
      </c>
      <c r="AA845" s="43">
        <v>1.1311999559402499</v>
      </c>
      <c r="AB845" s="43"/>
      <c r="AC845" s="43"/>
      <c r="AD845" s="43"/>
      <c r="AE845" s="43">
        <v>0.35960000753402699</v>
      </c>
      <c r="AF845" s="43"/>
      <c r="AG845" s="43"/>
      <c r="AH845" s="43"/>
      <c r="AI845" s="43"/>
      <c r="AJ845" s="43">
        <v>0.8338999748</v>
      </c>
      <c r="AK845" s="43">
        <v>0.50050002339999999</v>
      </c>
      <c r="AL845" s="43">
        <v>0.22310000660000001</v>
      </c>
      <c r="AM845" s="43">
        <v>0.23909999430000001</v>
      </c>
      <c r="AN845" s="43">
        <v>0.23360000550000001</v>
      </c>
      <c r="AO845" s="43"/>
      <c r="AP845" s="43"/>
      <c r="AQ845" s="43"/>
      <c r="AR845" s="43"/>
      <c r="AS845" s="43"/>
      <c r="AT845" s="43"/>
      <c r="AU845" s="43"/>
      <c r="AV845" s="43"/>
      <c r="AW845" s="43"/>
      <c r="AX845" s="43"/>
      <c r="AY845" s="43">
        <v>0.5</v>
      </c>
      <c r="AZ845" s="43"/>
      <c r="BA845" s="43"/>
      <c r="BB845" s="43"/>
      <c r="BC845" s="43"/>
      <c r="BD845" s="43">
        <v>0.5</v>
      </c>
      <c r="BE845" s="43"/>
      <c r="BF845" s="43"/>
      <c r="BG845" s="43"/>
      <c r="BH845" s="43"/>
      <c r="BI845" s="43"/>
      <c r="BJ845" s="43"/>
      <c r="BK845" s="43"/>
      <c r="BL845" s="43"/>
      <c r="BM845" s="43"/>
      <c r="BN845" s="56">
        <f t="shared" si="25"/>
        <v>0.5</v>
      </c>
      <c r="BO845" s="428">
        <f>IF(BN845="No reported value",INDEX('WB HCW &amp; Beds'!$BU$831:$BU$835,MATCH($BP845,'WB HCW &amp; Beds'!$BS$831:$BS$835,0)),$BN845)</f>
        <v>0.5</v>
      </c>
      <c r="BP845" s="132" t="str">
        <f>INDEX('HCW + Staff Summary'!$E$7:$E$270,MATCH($B845,'HCW + Staff Summary'!$B$7:$B$270,0))</f>
        <v>Low income</v>
      </c>
      <c r="BQ845" s="429">
        <f>INDEX('WB HCW &amp; Beds'!$BU$838:$BU$842,MATCH($BP845,'WB HCW &amp; Beds'!$BS$838:$BS$842,0))*100</f>
        <v>1.63</v>
      </c>
    </row>
    <row r="846" spans="2:74" x14ac:dyDescent="0.75">
      <c r="B846" s="43" t="s">
        <v>185</v>
      </c>
      <c r="C846" s="43" t="s">
        <v>10</v>
      </c>
      <c r="D846" s="43" t="s">
        <v>632</v>
      </c>
      <c r="E846" s="43" t="s">
        <v>633</v>
      </c>
      <c r="F846" s="43">
        <v>0.52375811338424705</v>
      </c>
      <c r="G846" s="43"/>
      <c r="H846" s="43"/>
      <c r="I846" s="43"/>
      <c r="J846" s="43"/>
      <c r="K846" s="43"/>
      <c r="L846" s="43"/>
      <c r="M846" s="43"/>
      <c r="N846" s="43"/>
      <c r="O846" s="43"/>
      <c r="P846" s="43">
        <v>0.57150000333786</v>
      </c>
      <c r="Q846" s="43"/>
      <c r="R846" s="43"/>
      <c r="S846" s="43"/>
      <c r="T846" s="43"/>
      <c r="U846" s="43"/>
      <c r="V846" s="43"/>
      <c r="W846" s="43"/>
      <c r="X846" s="43"/>
      <c r="Y846" s="43"/>
      <c r="Z846" s="43"/>
      <c r="AA846" s="43"/>
      <c r="AB846" s="43"/>
      <c r="AC846" s="43"/>
      <c r="AD846" s="43"/>
      <c r="AE846" s="43"/>
      <c r="AF846" s="43"/>
      <c r="AG846" s="43"/>
      <c r="AH846" s="43"/>
      <c r="AI846" s="43">
        <v>0.30640000104904203</v>
      </c>
      <c r="AJ846" s="43">
        <v>0.29929998520000001</v>
      </c>
      <c r="AK846" s="43"/>
      <c r="AL846" s="43"/>
      <c r="AM846" s="43"/>
      <c r="AN846" s="43"/>
      <c r="AO846" s="43">
        <v>1.2999999523000001</v>
      </c>
      <c r="AP846" s="43">
        <v>1.4199999570999999</v>
      </c>
      <c r="AQ846" s="43"/>
      <c r="AR846" s="43"/>
      <c r="AS846" s="43"/>
      <c r="AT846" s="43"/>
      <c r="AU846" s="43"/>
      <c r="AV846" s="43"/>
      <c r="AW846" s="43"/>
      <c r="AX846" s="43"/>
      <c r="AY846" s="43"/>
      <c r="AZ846" s="43">
        <v>0.9</v>
      </c>
      <c r="BA846" s="43"/>
      <c r="BB846" s="43"/>
      <c r="BC846" s="43"/>
      <c r="BD846" s="43">
        <v>0.4</v>
      </c>
      <c r="BE846" s="43"/>
      <c r="BF846" s="43"/>
      <c r="BG846" s="43"/>
      <c r="BH846" s="43"/>
      <c r="BI846" s="43"/>
      <c r="BJ846" s="43"/>
      <c r="BK846" s="43"/>
      <c r="BL846" s="43"/>
      <c r="BM846" s="43"/>
      <c r="BN846" s="56">
        <f t="shared" si="25"/>
        <v>0.4</v>
      </c>
      <c r="BO846" s="428">
        <f>IF(BN846="No reported value",INDEX('WB HCW &amp; Beds'!$BU$831:$BU$835,MATCH($BP846,'WB HCW &amp; Beds'!$BS$831:$BS$835,0)),$BN846)</f>
        <v>0.4</v>
      </c>
      <c r="BP846" s="132" t="str">
        <f>INDEX('HCW + Staff Summary'!$E$7:$E$270,MATCH($B846,'HCW + Staff Summary'!$B$7:$B$270,0))</f>
        <v>Low income</v>
      </c>
      <c r="BQ846" s="429">
        <f>INDEX('WB HCW &amp; Beds'!$BU$838:$BU$842,MATCH($BP846,'WB HCW &amp; Beds'!$BS$838:$BS$842,0))*100</f>
        <v>1.63</v>
      </c>
    </row>
    <row r="847" spans="2:74" x14ac:dyDescent="0.75">
      <c r="B847" s="43" t="s">
        <v>240</v>
      </c>
      <c r="C847" s="43" t="s">
        <v>11</v>
      </c>
      <c r="D847" s="43" t="s">
        <v>632</v>
      </c>
      <c r="E847" s="43" t="s">
        <v>633</v>
      </c>
      <c r="F847" s="43"/>
      <c r="G847" s="43"/>
      <c r="H847" s="43"/>
      <c r="I847" s="43"/>
      <c r="J847" s="43"/>
      <c r="K847" s="43"/>
      <c r="L847" s="43"/>
      <c r="M847" s="43"/>
      <c r="N847" s="43"/>
      <c r="O847" s="43"/>
      <c r="P847" s="43">
        <v>0.155100002884865</v>
      </c>
      <c r="Q847" s="43"/>
      <c r="R847" s="43"/>
      <c r="S847" s="43"/>
      <c r="T847" s="43"/>
      <c r="U847" s="43"/>
      <c r="V847" s="43"/>
      <c r="W847" s="43"/>
      <c r="X847" s="43"/>
      <c r="Y847" s="43"/>
      <c r="Z847" s="43">
        <v>0.21580000221729301</v>
      </c>
      <c r="AA847" s="43">
        <v>0.22519999742507901</v>
      </c>
      <c r="AB847" s="43"/>
      <c r="AC847" s="43"/>
      <c r="AD847" s="43"/>
      <c r="AE847" s="43">
        <v>0.28780001401901201</v>
      </c>
      <c r="AF847" s="43"/>
      <c r="AG847" s="43"/>
      <c r="AH847" s="43"/>
      <c r="AI847" s="43"/>
      <c r="AJ847" s="43">
        <v>0.3041999936</v>
      </c>
      <c r="AK847" s="43">
        <v>0.30809998509999997</v>
      </c>
      <c r="AL847" s="43"/>
      <c r="AM847" s="43"/>
      <c r="AN847" s="43">
        <v>0.3048999906</v>
      </c>
      <c r="AO847" s="43"/>
      <c r="AP847" s="43"/>
      <c r="AQ847" s="43"/>
      <c r="AR847" s="43"/>
      <c r="AS847" s="43">
        <v>0.30000001189999997</v>
      </c>
      <c r="AT847" s="43"/>
      <c r="AU847" s="43">
        <v>0.3</v>
      </c>
      <c r="AV847" s="43">
        <v>0.34</v>
      </c>
      <c r="AW847" s="43"/>
      <c r="AX847" s="43"/>
      <c r="AY847" s="43">
        <v>0.3</v>
      </c>
      <c r="AZ847" s="43"/>
      <c r="BA847" s="43"/>
      <c r="BB847" s="43"/>
      <c r="BC847" s="43"/>
      <c r="BD847" s="43"/>
      <c r="BE847" s="43">
        <v>0.6</v>
      </c>
      <c r="BF847" s="43"/>
      <c r="BG847" s="43"/>
      <c r="BH847" s="43">
        <v>0.6</v>
      </c>
      <c r="BI847" s="43">
        <v>0.8</v>
      </c>
      <c r="BJ847" s="43"/>
      <c r="BK847" s="43"/>
      <c r="BL847" s="43"/>
      <c r="BM847" s="43"/>
      <c r="BN847" s="56">
        <f t="shared" si="25"/>
        <v>0.8</v>
      </c>
      <c r="BO847" s="428">
        <f>IF(BN847="No reported value",INDEX('WB HCW &amp; Beds'!$BU$831:$BU$835,MATCH($BP847,'WB HCW &amp; Beds'!$BS$831:$BS$835,0)),$BN847)</f>
        <v>0.8</v>
      </c>
      <c r="BP847" s="132" t="str">
        <f>INDEX('HCW + Staff Summary'!$E$7:$E$270,MATCH($B847,'HCW + Staff Summary'!$B$7:$B$270,0))</f>
        <v>Lower middle income</v>
      </c>
      <c r="BQ847" s="429">
        <f>INDEX('WB HCW &amp; Beds'!$BU$838:$BU$842,MATCH($BP847,'WB HCW &amp; Beds'!$BS$838:$BS$842,0))*100</f>
        <v>2.3800000000000003</v>
      </c>
    </row>
    <row r="848" spans="2:74" x14ac:dyDescent="0.75">
      <c r="B848" s="43" t="s">
        <v>341</v>
      </c>
      <c r="C848" s="43" t="s">
        <v>12</v>
      </c>
      <c r="D848" s="43" t="s">
        <v>632</v>
      </c>
      <c r="E848" s="43" t="s">
        <v>633</v>
      </c>
      <c r="F848" s="43">
        <v>6.2136774063110396</v>
      </c>
      <c r="G848" s="43"/>
      <c r="H848" s="43"/>
      <c r="I848" s="43"/>
      <c r="J848" s="43"/>
      <c r="K848" s="43"/>
      <c r="L848" s="43"/>
      <c r="M848" s="43"/>
      <c r="N848" s="43"/>
      <c r="O848" s="43"/>
      <c r="P848" s="43"/>
      <c r="Q848" s="43"/>
      <c r="R848" s="43"/>
      <c r="S848" s="43"/>
      <c r="T848" s="43"/>
      <c r="U848" s="43"/>
      <c r="V848" s="43"/>
      <c r="W848" s="43"/>
      <c r="X848" s="43"/>
      <c r="Y848" s="43"/>
      <c r="Z848" s="43">
        <v>8.8506002426147496</v>
      </c>
      <c r="AA848" s="43">
        <v>8.8590002059936506</v>
      </c>
      <c r="AB848" s="43">
        <v>8.8866996765136701</v>
      </c>
      <c r="AC848" s="43">
        <v>8.8767995834350604</v>
      </c>
      <c r="AD848" s="43">
        <v>8.9630002975463903</v>
      </c>
      <c r="AE848" s="43">
        <v>9.1140003204345703</v>
      </c>
      <c r="AF848" s="43">
        <v>9.4520998001098597</v>
      </c>
      <c r="AG848" s="43">
        <v>9.5642004013061506</v>
      </c>
      <c r="AH848" s="43">
        <v>9.5601997375488299</v>
      </c>
      <c r="AI848" s="43">
        <v>9.7020998001098597</v>
      </c>
      <c r="AJ848" s="43">
        <v>9.7908000945999998</v>
      </c>
      <c r="AK848" s="43">
        <v>9.7681999207000008</v>
      </c>
      <c r="AL848" s="43">
        <v>10.206399917600001</v>
      </c>
      <c r="AM848" s="43">
        <v>10.4941997528</v>
      </c>
      <c r="AN848" s="43">
        <v>10.196100234999999</v>
      </c>
      <c r="AO848" s="43">
        <v>10.3699998856</v>
      </c>
      <c r="AP848" s="43">
        <v>10.470000267</v>
      </c>
      <c r="AQ848" s="43">
        <v>10.279999733</v>
      </c>
      <c r="AR848" s="43">
        <v>8.4099998474</v>
      </c>
      <c r="AS848" s="43">
        <v>7.4899997710999999</v>
      </c>
      <c r="AT848" s="43">
        <v>7.4</v>
      </c>
      <c r="AU848" s="43">
        <v>7.2</v>
      </c>
      <c r="AV848" s="43">
        <v>6.5</v>
      </c>
      <c r="AW848" s="43">
        <v>6.3</v>
      </c>
      <c r="AX848" s="43">
        <v>6.1</v>
      </c>
      <c r="AY848" s="43">
        <v>6.4</v>
      </c>
      <c r="AZ848" s="43">
        <v>6.2</v>
      </c>
      <c r="BA848" s="43">
        <v>6.4</v>
      </c>
      <c r="BB848" s="43">
        <v>6.5</v>
      </c>
      <c r="BC848" s="43">
        <v>6.6</v>
      </c>
      <c r="BD848" s="43">
        <v>6.5</v>
      </c>
      <c r="BE848" s="43">
        <v>6.4</v>
      </c>
      <c r="BF848" s="43">
        <v>6.6</v>
      </c>
      <c r="BG848" s="43">
        <v>6.8</v>
      </c>
      <c r="BH848" s="43"/>
      <c r="BI848" s="43"/>
      <c r="BJ848" s="43"/>
      <c r="BK848" s="43"/>
      <c r="BL848" s="43"/>
      <c r="BM848" s="43"/>
      <c r="BN848" s="56">
        <f t="shared" si="25"/>
        <v>6.8</v>
      </c>
      <c r="BO848" s="428">
        <f>IF(BN848="No reported value",INDEX('WB HCW &amp; Beds'!$BU$831:$BU$835,MATCH($BP848,'WB HCW &amp; Beds'!$BS$831:$BS$835,0)),$BN848)</f>
        <v>6.8</v>
      </c>
      <c r="BP848" s="132" t="str">
        <f>INDEX('HCW + Staff Summary'!$E$7:$E$270,MATCH($B848,'HCW + Staff Summary'!$B$7:$B$270,0))</f>
        <v>Upper middle income</v>
      </c>
      <c r="BQ848" s="429">
        <f>INDEX('WB HCW &amp; Beds'!$BU$838:$BU$842,MATCH($BP848,'WB HCW &amp; Beds'!$BS$838:$BS$842,0))*100</f>
        <v>3.32</v>
      </c>
    </row>
    <row r="849" spans="2:69" x14ac:dyDescent="0.75">
      <c r="B849" s="43" t="s">
        <v>328</v>
      </c>
      <c r="C849" s="43" t="s">
        <v>13</v>
      </c>
      <c r="D849" s="43" t="s">
        <v>632</v>
      </c>
      <c r="E849" s="43" t="s">
        <v>633</v>
      </c>
      <c r="F849" s="43">
        <v>4.7114095687866202</v>
      </c>
      <c r="G849" s="43"/>
      <c r="H849" s="43"/>
      <c r="I849" s="43"/>
      <c r="J849" s="43"/>
      <c r="K849" s="43"/>
      <c r="L849" s="43"/>
      <c r="M849" s="43"/>
      <c r="N849" s="43"/>
      <c r="O849" s="43"/>
      <c r="P849" s="43">
        <v>4.3428997993469203</v>
      </c>
      <c r="Q849" s="43"/>
      <c r="R849" s="43"/>
      <c r="S849" s="43"/>
      <c r="T849" s="43"/>
      <c r="U849" s="43"/>
      <c r="V849" s="43"/>
      <c r="W849" s="43"/>
      <c r="X849" s="43"/>
      <c r="Y849" s="43"/>
      <c r="Z849" s="43">
        <v>3.3143999576568599</v>
      </c>
      <c r="AA849" s="43"/>
      <c r="AB849" s="43"/>
      <c r="AC849" s="43"/>
      <c r="AD849" s="43"/>
      <c r="AE849" s="43"/>
      <c r="AF849" s="43"/>
      <c r="AG849" s="43"/>
      <c r="AH849" s="43"/>
      <c r="AI849" s="43">
        <v>3.33949995040894</v>
      </c>
      <c r="AJ849" s="43"/>
      <c r="AK849" s="43"/>
      <c r="AL849" s="43"/>
      <c r="AM849" s="43"/>
      <c r="AN849" s="43"/>
      <c r="AO849" s="43"/>
      <c r="AP849" s="43"/>
      <c r="AQ849" s="43">
        <v>2.9000000953999998</v>
      </c>
      <c r="AR849" s="43"/>
      <c r="AS849" s="43"/>
      <c r="AT849" s="43">
        <v>2.8</v>
      </c>
      <c r="AU849" s="43">
        <v>2.8</v>
      </c>
      <c r="AV849" s="43">
        <v>2.9</v>
      </c>
      <c r="AW849" s="43">
        <v>2.8</v>
      </c>
      <c r="AX849" s="43">
        <v>2.8</v>
      </c>
      <c r="AY849" s="43">
        <v>2.8</v>
      </c>
      <c r="AZ849" s="43">
        <v>2.7</v>
      </c>
      <c r="BA849" s="43">
        <v>2.7</v>
      </c>
      <c r="BB849" s="43">
        <v>2</v>
      </c>
      <c r="BC849" s="43">
        <v>1.8</v>
      </c>
      <c r="BD849" s="43">
        <v>1.8</v>
      </c>
      <c r="BE849" s="43">
        <v>1.7</v>
      </c>
      <c r="BF849" s="43">
        <v>2.1</v>
      </c>
      <c r="BG849" s="43">
        <v>2.1</v>
      </c>
      <c r="BH849" s="43">
        <v>2</v>
      </c>
      <c r="BI849" s="43"/>
      <c r="BJ849" s="43"/>
      <c r="BK849" s="43"/>
      <c r="BL849" s="43"/>
      <c r="BM849" s="43"/>
      <c r="BN849" s="56">
        <f t="shared" si="25"/>
        <v>2</v>
      </c>
      <c r="BO849" s="428">
        <f>IF(BN849="No reported value",INDEX('WB HCW &amp; Beds'!$BU$831:$BU$835,MATCH($BP849,'WB HCW &amp; Beds'!$BS$831:$BS$835,0)),$BN849)</f>
        <v>2</v>
      </c>
      <c r="BP849" s="132" t="str">
        <f>INDEX('HCW + Staff Summary'!$E$7:$E$270,MATCH($B849,'HCW + Staff Summary'!$B$7:$B$270,0))</f>
        <v>High income</v>
      </c>
      <c r="BQ849" s="429">
        <f>INDEX('WB HCW &amp; Beds'!$BU$838:$BU$842,MATCH($BP849,'WB HCW &amp; Beds'!$BS$838:$BS$842,0))*100</f>
        <v>3.5700000000000003</v>
      </c>
    </row>
    <row r="850" spans="2:69" x14ac:dyDescent="0.75">
      <c r="B850" s="43" t="s">
        <v>327</v>
      </c>
      <c r="C850" s="43" t="s">
        <v>14</v>
      </c>
      <c r="D850" s="43" t="s">
        <v>632</v>
      </c>
      <c r="E850" s="43" t="s">
        <v>633</v>
      </c>
      <c r="F850" s="43">
        <v>5.7256636619567898</v>
      </c>
      <c r="G850" s="43"/>
      <c r="H850" s="43"/>
      <c r="I850" s="43"/>
      <c r="J850" s="43"/>
      <c r="K850" s="43"/>
      <c r="L850" s="43"/>
      <c r="M850" s="43"/>
      <c r="N850" s="43"/>
      <c r="O850" s="43"/>
      <c r="P850" s="43">
        <v>5.0935997962951696</v>
      </c>
      <c r="Q850" s="43"/>
      <c r="R850" s="43"/>
      <c r="S850" s="43"/>
      <c r="T850" s="43"/>
      <c r="U850" s="43"/>
      <c r="V850" s="43"/>
      <c r="W850" s="43"/>
      <c r="X850" s="43"/>
      <c r="Y850" s="43"/>
      <c r="Z850" s="43">
        <v>4.4047999382018999</v>
      </c>
      <c r="AA850" s="43"/>
      <c r="AB850" s="43"/>
      <c r="AC850" s="43"/>
      <c r="AD850" s="43"/>
      <c r="AE850" s="43"/>
      <c r="AF850" s="43"/>
      <c r="AG850" s="43"/>
      <c r="AH850" s="43"/>
      <c r="AI850" s="43"/>
      <c r="AJ850" s="43">
        <v>4</v>
      </c>
      <c r="AK850" s="43"/>
      <c r="AL850" s="43"/>
      <c r="AM850" s="43">
        <v>3.8838999270999999</v>
      </c>
      <c r="AN850" s="43"/>
      <c r="AO850" s="43">
        <v>3.6</v>
      </c>
      <c r="AP850" s="43">
        <v>3.9400000571999998</v>
      </c>
      <c r="AQ850" s="43"/>
      <c r="AR850" s="43"/>
      <c r="AS850" s="43"/>
      <c r="AT850" s="43">
        <v>3.5</v>
      </c>
      <c r="AU850" s="43">
        <v>3.4</v>
      </c>
      <c r="AV850" s="43">
        <v>3.4000000953999998</v>
      </c>
      <c r="AW850" s="43">
        <v>3.4</v>
      </c>
      <c r="AX850" s="43">
        <v>3.4</v>
      </c>
      <c r="AY850" s="43"/>
      <c r="AZ850" s="43">
        <v>3.2</v>
      </c>
      <c r="BA850" s="43">
        <v>3.2</v>
      </c>
      <c r="BB850" s="43">
        <v>3.1</v>
      </c>
      <c r="BC850" s="43">
        <v>3.2</v>
      </c>
      <c r="BD850" s="43">
        <v>3.1</v>
      </c>
      <c r="BE850" s="43">
        <v>2.9</v>
      </c>
      <c r="BF850" s="43">
        <v>2.9</v>
      </c>
      <c r="BG850" s="43">
        <v>2.9</v>
      </c>
      <c r="BH850" s="43"/>
      <c r="BI850" s="43"/>
      <c r="BJ850" s="43"/>
      <c r="BK850" s="43"/>
      <c r="BL850" s="43"/>
      <c r="BM850" s="43"/>
      <c r="BN850" s="56">
        <f t="shared" si="25"/>
        <v>2.9</v>
      </c>
      <c r="BO850" s="428">
        <f>IF(BN850="No reported value",INDEX('WB HCW &amp; Beds'!$BU$831:$BU$835,MATCH($BP850,'WB HCW &amp; Beds'!$BS$831:$BS$835,0)),$BN850)</f>
        <v>2.9</v>
      </c>
      <c r="BP850" s="132" t="str">
        <f>INDEX('HCW + Staff Summary'!$E$7:$E$270,MATCH($B850,'HCW + Staff Summary'!$B$7:$B$270,0))</f>
        <v>High income</v>
      </c>
      <c r="BQ850" s="429">
        <f>INDEX('WB HCW &amp; Beds'!$BU$838:$BU$842,MATCH($BP850,'WB HCW &amp; Beds'!$BS$838:$BS$842,0))*100</f>
        <v>3.5700000000000003</v>
      </c>
    </row>
    <row r="851" spans="2:69" x14ac:dyDescent="0.75">
      <c r="B851" s="43" t="s">
        <v>336</v>
      </c>
      <c r="C851" s="43" t="s">
        <v>15</v>
      </c>
      <c r="D851" s="43" t="s">
        <v>632</v>
      </c>
      <c r="E851" s="43" t="s">
        <v>633</v>
      </c>
      <c r="F851" s="43"/>
      <c r="G851" s="43"/>
      <c r="H851" s="43"/>
      <c r="I851" s="43"/>
      <c r="J851" s="43"/>
      <c r="K851" s="43"/>
      <c r="L851" s="43"/>
      <c r="M851" s="43"/>
      <c r="N851" s="43"/>
      <c r="O851" s="43"/>
      <c r="P851" s="43"/>
      <c r="Q851" s="43"/>
      <c r="R851" s="43"/>
      <c r="S851" s="43"/>
      <c r="T851" s="43"/>
      <c r="U851" s="43"/>
      <c r="V851" s="43"/>
      <c r="W851" s="43"/>
      <c r="X851" s="43"/>
      <c r="Y851" s="43"/>
      <c r="Z851" s="43">
        <v>4.8310999870300302</v>
      </c>
      <c r="AA851" s="43">
        <v>4.9228000640869096</v>
      </c>
      <c r="AB851" s="43">
        <v>4.9179000854492196</v>
      </c>
      <c r="AC851" s="43">
        <v>4.9046998023986799</v>
      </c>
      <c r="AD851" s="43">
        <v>4.8137001991271999</v>
      </c>
      <c r="AE851" s="43">
        <v>4.71810007095337</v>
      </c>
      <c r="AF851" s="43">
        <v>4.7420001029968297</v>
      </c>
      <c r="AG851" s="43">
        <v>4.5935001373290998</v>
      </c>
      <c r="AH851" s="43">
        <v>4.5781998634338397</v>
      </c>
      <c r="AI851" s="43">
        <v>4.4983000755310103</v>
      </c>
      <c r="AJ851" s="43">
        <v>4.4590997695999999</v>
      </c>
      <c r="AK851" s="43">
        <v>4.3779997825999999</v>
      </c>
      <c r="AL851" s="43"/>
      <c r="AM851" s="43"/>
      <c r="AN851" s="43"/>
      <c r="AO851" s="43"/>
      <c r="AP851" s="43"/>
      <c r="AQ851" s="43"/>
      <c r="AR851" s="43">
        <v>3.8199999332000001</v>
      </c>
      <c r="AS851" s="43">
        <v>3.7999999522999999</v>
      </c>
      <c r="AT851" s="43">
        <v>3.4</v>
      </c>
      <c r="AU851" s="43">
        <v>3.2</v>
      </c>
      <c r="AV851" s="43">
        <v>3.2</v>
      </c>
      <c r="AW851" s="43">
        <v>3.2</v>
      </c>
      <c r="AX851" s="43">
        <v>3.1</v>
      </c>
      <c r="AY851" s="43">
        <v>3</v>
      </c>
      <c r="AZ851" s="43">
        <v>3.3</v>
      </c>
      <c r="BA851" s="43">
        <v>3.4</v>
      </c>
      <c r="BB851" s="43">
        <v>3.4</v>
      </c>
      <c r="BC851" s="43">
        <v>3.3</v>
      </c>
      <c r="BD851" s="43">
        <v>3.4</v>
      </c>
      <c r="BE851" s="43">
        <v>3.5</v>
      </c>
      <c r="BF851" s="43">
        <v>3.5</v>
      </c>
      <c r="BG851" s="43">
        <v>3.5</v>
      </c>
      <c r="BH851" s="43"/>
      <c r="BI851" s="43"/>
      <c r="BJ851" s="43"/>
      <c r="BK851" s="43"/>
      <c r="BL851" s="43"/>
      <c r="BM851" s="43"/>
      <c r="BN851" s="56">
        <f t="shared" si="25"/>
        <v>3.5</v>
      </c>
      <c r="BO851" s="428">
        <f>IF(BN851="No reported value",INDEX('WB HCW &amp; Beds'!$BU$831:$BU$835,MATCH($BP851,'WB HCW &amp; Beds'!$BS$831:$BS$835,0)),$BN851)</f>
        <v>3.5</v>
      </c>
      <c r="BP851" s="132" t="str">
        <f>INDEX('HCW + Staff Summary'!$E$7:$E$270,MATCH($B851,'HCW + Staff Summary'!$B$7:$B$270,0))</f>
        <v>Upper middle income</v>
      </c>
      <c r="BQ851" s="429">
        <f>INDEX('WB HCW &amp; Beds'!$BU$838:$BU$842,MATCH($BP851,'WB HCW &amp; Beds'!$BS$838:$BS$842,0))*100</f>
        <v>3.32</v>
      </c>
    </row>
    <row r="852" spans="2:69" x14ac:dyDescent="0.75">
      <c r="B852" s="43" t="s">
        <v>331</v>
      </c>
      <c r="C852" s="43" t="s">
        <v>16</v>
      </c>
      <c r="D852" s="43" t="s">
        <v>632</v>
      </c>
      <c r="E852" s="43" t="s">
        <v>633</v>
      </c>
      <c r="F852" s="43"/>
      <c r="G852" s="43"/>
      <c r="H852" s="43"/>
      <c r="I852" s="43"/>
      <c r="J852" s="43"/>
      <c r="K852" s="43"/>
      <c r="L852" s="43"/>
      <c r="M852" s="43"/>
      <c r="N852" s="43"/>
      <c r="O852" s="43"/>
      <c r="P852" s="43"/>
      <c r="Q852" s="43"/>
      <c r="R852" s="43"/>
      <c r="S852" s="43"/>
      <c r="T852" s="43"/>
      <c r="U852" s="43"/>
      <c r="V852" s="43"/>
      <c r="W852" s="43"/>
      <c r="X852" s="43"/>
      <c r="Y852" s="43"/>
      <c r="Z852" s="43">
        <v>12.546099662780801</v>
      </c>
      <c r="AA852" s="43"/>
      <c r="AB852" s="43"/>
      <c r="AC852" s="43"/>
      <c r="AD852" s="43"/>
      <c r="AE852" s="43">
        <v>13.0712995529175</v>
      </c>
      <c r="AF852" s="43">
        <v>13.260499954223601</v>
      </c>
      <c r="AG852" s="43">
        <v>13.4562997817993</v>
      </c>
      <c r="AH852" s="43">
        <v>13.3729000091553</v>
      </c>
      <c r="AI852" s="43">
        <v>13.5795001983643</v>
      </c>
      <c r="AJ852" s="43">
        <v>13.226400375400001</v>
      </c>
      <c r="AK852" s="43">
        <v>13.204700470000001</v>
      </c>
      <c r="AL852" s="43">
        <v>12.6906995773</v>
      </c>
      <c r="AM852" s="43">
        <v>12.4762001038</v>
      </c>
      <c r="AN852" s="43">
        <v>12.463899612400001</v>
      </c>
      <c r="AO852" s="43">
        <v>12.3800001144</v>
      </c>
      <c r="AP852" s="43">
        <v>12.2700004578</v>
      </c>
      <c r="AQ852" s="43">
        <v>12.359999656699999</v>
      </c>
      <c r="AR852" s="43">
        <v>12.420000076299999</v>
      </c>
      <c r="AS852" s="43">
        <v>12.640000343300001</v>
      </c>
      <c r="AT852" s="43">
        <v>12.6</v>
      </c>
      <c r="AU852" s="43">
        <v>12.6</v>
      </c>
      <c r="AV852" s="43">
        <v>11.9</v>
      </c>
      <c r="AW852" s="43">
        <v>11.3</v>
      </c>
      <c r="AX852" s="43">
        <v>10.7</v>
      </c>
      <c r="AY852" s="43">
        <v>11.1</v>
      </c>
      <c r="AZ852" s="43">
        <v>11.2</v>
      </c>
      <c r="BA852" s="43">
        <v>11.2</v>
      </c>
      <c r="BB852" s="43">
        <v>11.1</v>
      </c>
      <c r="BC852" s="43">
        <v>11.1</v>
      </c>
      <c r="BD852" s="43">
        <v>11.5</v>
      </c>
      <c r="BE852" s="43">
        <v>11.3</v>
      </c>
      <c r="BF852" s="43">
        <v>11.3</v>
      </c>
      <c r="BG852" s="43">
        <v>11</v>
      </c>
      <c r="BH852" s="43"/>
      <c r="BI852" s="43"/>
      <c r="BJ852" s="43"/>
      <c r="BK852" s="43"/>
      <c r="BL852" s="43"/>
      <c r="BM852" s="43"/>
      <c r="BN852" s="56">
        <f t="shared" si="25"/>
        <v>11</v>
      </c>
      <c r="BO852" s="428">
        <f>IF(BN852="No reported value",INDEX('WB HCW &amp; Beds'!$BU$831:$BU$835,MATCH($BP852,'WB HCW &amp; Beds'!$BS$831:$BS$835,0)),$BN852)</f>
        <v>11</v>
      </c>
      <c r="BP852" s="132" t="str">
        <f>INDEX('HCW + Staff Summary'!$E$7:$E$270,MATCH($B852,'HCW + Staff Summary'!$B$7:$B$270,0))</f>
        <v>Upper middle income</v>
      </c>
      <c r="BQ852" s="429">
        <f>INDEX('WB HCW &amp; Beds'!$BU$838:$BU$842,MATCH($BP852,'WB HCW &amp; Beds'!$BS$838:$BS$842,0))*100</f>
        <v>3.32</v>
      </c>
    </row>
    <row r="853" spans="2:69" x14ac:dyDescent="0.75">
      <c r="B853" s="43" t="s">
        <v>333</v>
      </c>
      <c r="C853" s="43" t="s">
        <v>17</v>
      </c>
      <c r="D853" s="43" t="s">
        <v>632</v>
      </c>
      <c r="E853" s="43" t="s">
        <v>633</v>
      </c>
      <c r="F853" s="43">
        <v>4.6677651405334499</v>
      </c>
      <c r="G853" s="43"/>
      <c r="H853" s="43"/>
      <c r="I853" s="43"/>
      <c r="J853" s="43"/>
      <c r="K853" s="43"/>
      <c r="L853" s="43"/>
      <c r="M853" s="43"/>
      <c r="N853" s="43"/>
      <c r="O853" s="43"/>
      <c r="P853" s="43">
        <v>5.4014000892639196</v>
      </c>
      <c r="Q853" s="43"/>
      <c r="R853" s="43"/>
      <c r="S853" s="43"/>
      <c r="T853" s="43"/>
      <c r="U853" s="43"/>
      <c r="V853" s="43"/>
      <c r="W853" s="43"/>
      <c r="X853" s="43"/>
      <c r="Y853" s="43"/>
      <c r="Z853" s="43"/>
      <c r="AA853" s="43"/>
      <c r="AB853" s="43"/>
      <c r="AC853" s="43"/>
      <c r="AD853" s="43"/>
      <c r="AE853" s="43"/>
      <c r="AF853" s="43">
        <v>3.3168001174926802</v>
      </c>
      <c r="AG853" s="43"/>
      <c r="AH853" s="43"/>
      <c r="AI853" s="43"/>
      <c r="AJ853" s="43">
        <v>2.7000000477000001</v>
      </c>
      <c r="AK853" s="43"/>
      <c r="AL853" s="43"/>
      <c r="AM853" s="43">
        <v>2.7999999522999999</v>
      </c>
      <c r="AN853" s="43"/>
      <c r="AO853" s="43">
        <v>2.5</v>
      </c>
      <c r="AP853" s="43">
        <v>2.1300001144</v>
      </c>
      <c r="AQ853" s="43"/>
      <c r="AR853" s="43"/>
      <c r="AS853" s="43"/>
      <c r="AT853" s="43">
        <v>1.9</v>
      </c>
      <c r="AU853" s="43"/>
      <c r="AV853" s="43"/>
      <c r="AW853" s="43">
        <v>1.2999999523000001</v>
      </c>
      <c r="AX853" s="43">
        <v>1.3</v>
      </c>
      <c r="AY853" s="43">
        <v>1.2</v>
      </c>
      <c r="AZ853" s="43">
        <v>1.3</v>
      </c>
      <c r="BA853" s="43">
        <v>1.2</v>
      </c>
      <c r="BB853" s="43">
        <v>1.2</v>
      </c>
      <c r="BC853" s="43">
        <v>1.1000000000000001</v>
      </c>
      <c r="BD853" s="43">
        <v>1.2</v>
      </c>
      <c r="BE853" s="43">
        <v>1.1000000000000001</v>
      </c>
      <c r="BF853" s="43">
        <v>1.1000000000000001</v>
      </c>
      <c r="BG853" s="43">
        <v>0.9</v>
      </c>
      <c r="BH853" s="43">
        <v>1.3</v>
      </c>
      <c r="BI853" s="43"/>
      <c r="BJ853" s="43"/>
      <c r="BK853" s="43"/>
      <c r="BL853" s="43"/>
      <c r="BM853" s="43"/>
      <c r="BN853" s="56">
        <f t="shared" si="25"/>
        <v>1.3</v>
      </c>
      <c r="BO853" s="428">
        <f>IF(BN853="No reported value",INDEX('WB HCW &amp; Beds'!$BU$831:$BU$835,MATCH($BP853,'WB HCW &amp; Beds'!$BS$831:$BS$835,0)),$BN853)</f>
        <v>1.3</v>
      </c>
      <c r="BP853" s="132" t="str">
        <f>INDEX('HCW + Staff Summary'!$E$7:$E$270,MATCH($B853,'HCW + Staff Summary'!$B$7:$B$270,0))</f>
        <v>Upper middle income</v>
      </c>
      <c r="BQ853" s="429">
        <f>INDEX('WB HCW &amp; Beds'!$BU$838:$BU$842,MATCH($BP853,'WB HCW &amp; Beds'!$BS$838:$BS$842,0))*100</f>
        <v>3.32</v>
      </c>
    </row>
    <row r="854" spans="2:69" x14ac:dyDescent="0.75">
      <c r="B854" s="43" t="s">
        <v>334</v>
      </c>
      <c r="C854" s="43" t="s">
        <v>335</v>
      </c>
      <c r="D854" s="43" t="s">
        <v>632</v>
      </c>
      <c r="E854" s="43" t="s">
        <v>633</v>
      </c>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v>6.3000001906999996</v>
      </c>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56">
        <f t="shared" si="25"/>
        <v>6.3000001906999996</v>
      </c>
      <c r="BO854" s="428">
        <f>IF(BN854="No reported value",INDEX('WB HCW &amp; Beds'!$BU$831:$BU$835,MATCH($BP854,'WB HCW &amp; Beds'!$BS$831:$BS$835,0)),$BN854)</f>
        <v>6.3000001906999996</v>
      </c>
      <c r="BP854" s="132" t="str">
        <f>INDEX('HCW + Staff Summary'!$E$7:$E$270,MATCH($B854,'HCW + Staff Summary'!$B$7:$B$270,0))</f>
        <v>High income</v>
      </c>
      <c r="BQ854" s="429">
        <f>INDEX('WB HCW &amp; Beds'!$BU$838:$BU$842,MATCH($BP854,'WB HCW &amp; Beds'!$BS$838:$BS$842,0))*100</f>
        <v>3.5700000000000003</v>
      </c>
    </row>
    <row r="855" spans="2:69" x14ac:dyDescent="0.75">
      <c r="B855" s="43" t="s">
        <v>219</v>
      </c>
      <c r="C855" s="43" t="s">
        <v>18</v>
      </c>
      <c r="D855" s="43" t="s">
        <v>632</v>
      </c>
      <c r="E855" s="43" t="s">
        <v>633</v>
      </c>
      <c r="F855" s="43">
        <v>1.84541928768158</v>
      </c>
      <c r="G855" s="43"/>
      <c r="H855" s="43"/>
      <c r="I855" s="43"/>
      <c r="J855" s="43"/>
      <c r="K855" s="43"/>
      <c r="L855" s="43"/>
      <c r="M855" s="43"/>
      <c r="N855" s="43"/>
      <c r="O855" s="43"/>
      <c r="P855" s="43">
        <v>2.3217000961303702</v>
      </c>
      <c r="Q855" s="43"/>
      <c r="R855" s="43"/>
      <c r="S855" s="43"/>
      <c r="T855" s="43"/>
      <c r="U855" s="43">
        <v>2.0587999820709202</v>
      </c>
      <c r="V855" s="43"/>
      <c r="W855" s="43"/>
      <c r="X855" s="43"/>
      <c r="Y855" s="43"/>
      <c r="Z855" s="43"/>
      <c r="AA855" s="43"/>
      <c r="AB855" s="43"/>
      <c r="AC855" s="43"/>
      <c r="AD855" s="43"/>
      <c r="AE855" s="43"/>
      <c r="AF855" s="43"/>
      <c r="AG855" s="43"/>
      <c r="AH855" s="43"/>
      <c r="AI855" s="43"/>
      <c r="AJ855" s="43">
        <v>1.317800045</v>
      </c>
      <c r="AK855" s="43">
        <v>1.4110000134</v>
      </c>
      <c r="AL855" s="43"/>
      <c r="AM855" s="43">
        <v>1.3999999761999999</v>
      </c>
      <c r="AN855" s="43"/>
      <c r="AO855" s="43"/>
      <c r="AP855" s="43">
        <v>1.6699999570999999</v>
      </c>
      <c r="AQ855" s="43"/>
      <c r="AR855" s="43"/>
      <c r="AS855" s="43"/>
      <c r="AT855" s="43"/>
      <c r="AU855" s="43"/>
      <c r="AV855" s="43"/>
      <c r="AW855" s="43">
        <v>1</v>
      </c>
      <c r="AX855" s="43">
        <v>1</v>
      </c>
      <c r="AY855" s="43"/>
      <c r="AZ855" s="43">
        <v>1.1000000000000001</v>
      </c>
      <c r="BA855" s="43">
        <v>1.1000000000000001</v>
      </c>
      <c r="BB855" s="43">
        <v>1.1000000000000001</v>
      </c>
      <c r="BC855" s="43">
        <v>1.1000000000000001</v>
      </c>
      <c r="BD855" s="43"/>
      <c r="BE855" s="43">
        <v>1.1000000000000001</v>
      </c>
      <c r="BF855" s="43">
        <v>1.1000000000000001</v>
      </c>
      <c r="BG855" s="43">
        <v>1.1000000000000001</v>
      </c>
      <c r="BH855" s="43">
        <v>1.1000000000000001</v>
      </c>
      <c r="BI855" s="43"/>
      <c r="BJ855" s="43"/>
      <c r="BK855" s="43"/>
      <c r="BL855" s="43"/>
      <c r="BM855" s="43"/>
      <c r="BN855" s="56">
        <f t="shared" si="25"/>
        <v>1.1000000000000001</v>
      </c>
      <c r="BO855" s="428">
        <f>IF(BN855="No reported value",INDEX('WB HCW &amp; Beds'!$BU$831:$BU$835,MATCH($BP855,'WB HCW &amp; Beds'!$BS$831:$BS$835,0)),$BN855)</f>
        <v>1.1000000000000001</v>
      </c>
      <c r="BP855" s="132" t="str">
        <f>INDEX('HCW + Staff Summary'!$E$7:$E$270,MATCH($B855,'HCW + Staff Summary'!$B$7:$B$270,0))</f>
        <v>Lower middle income</v>
      </c>
      <c r="BQ855" s="429">
        <f>INDEX('WB HCW &amp; Beds'!$BU$838:$BU$842,MATCH($BP855,'WB HCW &amp; Beds'!$BS$838:$BS$842,0))*100</f>
        <v>2.3800000000000003</v>
      </c>
    </row>
    <row r="856" spans="2:69" x14ac:dyDescent="0.75">
      <c r="B856" s="43" t="s">
        <v>337</v>
      </c>
      <c r="C856" s="43" t="s">
        <v>19</v>
      </c>
      <c r="D856" s="43" t="s">
        <v>632</v>
      </c>
      <c r="E856" s="43" t="s">
        <v>633</v>
      </c>
      <c r="F856" s="43">
        <v>3.2017953395843501</v>
      </c>
      <c r="G856" s="43"/>
      <c r="H856" s="43"/>
      <c r="I856" s="43"/>
      <c r="J856" s="43"/>
      <c r="K856" s="43"/>
      <c r="L856" s="43"/>
      <c r="M856" s="43"/>
      <c r="N856" s="43"/>
      <c r="O856" s="43"/>
      <c r="P856" s="43">
        <v>3.6918001174926802</v>
      </c>
      <c r="Q856" s="43"/>
      <c r="R856" s="43"/>
      <c r="S856" s="43"/>
      <c r="T856" s="43"/>
      <c r="U856" s="43">
        <v>4.9951000213623002</v>
      </c>
      <c r="V856" s="43"/>
      <c r="W856" s="43"/>
      <c r="X856" s="43"/>
      <c r="Y856" s="43"/>
      <c r="Z856" s="43"/>
      <c r="AA856" s="43"/>
      <c r="AB856" s="43"/>
      <c r="AC856" s="43"/>
      <c r="AD856" s="43"/>
      <c r="AE856" s="43"/>
      <c r="AF856" s="43"/>
      <c r="AG856" s="43">
        <v>3.5603001117706299</v>
      </c>
      <c r="AH856" s="43"/>
      <c r="AI856" s="43"/>
      <c r="AJ856" s="43">
        <v>3.3452999592000001</v>
      </c>
      <c r="AK856" s="43"/>
      <c r="AL856" s="43"/>
      <c r="AM856" s="43">
        <v>3.5</v>
      </c>
      <c r="AN856" s="43"/>
      <c r="AO856" s="43"/>
      <c r="AP856" s="43">
        <v>3.1099998951000001</v>
      </c>
      <c r="AQ856" s="43"/>
      <c r="AR856" s="43"/>
      <c r="AS856" s="43"/>
      <c r="AT856" s="43"/>
      <c r="AU856" s="43"/>
      <c r="AV856" s="43">
        <v>2.6</v>
      </c>
      <c r="AW856" s="43"/>
      <c r="AX856" s="43"/>
      <c r="AY856" s="43">
        <v>2.4</v>
      </c>
      <c r="AZ856" s="43"/>
      <c r="BA856" s="43"/>
      <c r="BB856" s="43"/>
      <c r="BC856" s="43">
        <v>2.4</v>
      </c>
      <c r="BD856" s="43">
        <v>2.4</v>
      </c>
      <c r="BE856" s="43">
        <v>2.2999999999999998</v>
      </c>
      <c r="BF856" s="43">
        <v>2.2999999999999998</v>
      </c>
      <c r="BG856" s="43">
        <v>2.2999999999999998</v>
      </c>
      <c r="BH856" s="43">
        <v>2.2000000000000002</v>
      </c>
      <c r="BI856" s="43"/>
      <c r="BJ856" s="43"/>
      <c r="BK856" s="43"/>
      <c r="BL856" s="43"/>
      <c r="BM856" s="43"/>
      <c r="BN856" s="56">
        <f t="shared" si="25"/>
        <v>2.2000000000000002</v>
      </c>
      <c r="BO856" s="428">
        <f>IF(BN856="No reported value",INDEX('WB HCW &amp; Beds'!$BU$831:$BU$835,MATCH($BP856,'WB HCW &amp; Beds'!$BS$831:$BS$835,0)),$BN856)</f>
        <v>2.2000000000000002</v>
      </c>
      <c r="BP856" s="132" t="str">
        <f>INDEX('HCW + Staff Summary'!$E$7:$E$270,MATCH($B856,'HCW + Staff Summary'!$B$7:$B$270,0))</f>
        <v>Upper middle income</v>
      </c>
      <c r="BQ856" s="429">
        <f>INDEX('WB HCW &amp; Beds'!$BU$838:$BU$842,MATCH($BP856,'WB HCW &amp; Beds'!$BS$838:$BS$842,0))*100</f>
        <v>3.32</v>
      </c>
    </row>
    <row r="857" spans="2:69" x14ac:dyDescent="0.75">
      <c r="B857" s="43" t="s">
        <v>329</v>
      </c>
      <c r="C857" s="43" t="s">
        <v>330</v>
      </c>
      <c r="D857" s="43" t="s">
        <v>632</v>
      </c>
      <c r="E857" s="43" t="s">
        <v>633</v>
      </c>
      <c r="F857" s="43">
        <v>5.9297790527343803</v>
      </c>
      <c r="G857" s="43"/>
      <c r="H857" s="43"/>
      <c r="I857" s="43"/>
      <c r="J857" s="43"/>
      <c r="K857" s="43"/>
      <c r="L857" s="43"/>
      <c r="M857" s="43"/>
      <c r="N857" s="43"/>
      <c r="O857" s="43"/>
      <c r="P857" s="43">
        <v>10.221599578857401</v>
      </c>
      <c r="Q857" s="43"/>
      <c r="R857" s="43"/>
      <c r="S857" s="43"/>
      <c r="T857" s="43"/>
      <c r="U857" s="43"/>
      <c r="V857" s="43"/>
      <c r="W857" s="43"/>
      <c r="X857" s="43"/>
      <c r="Y857" s="43"/>
      <c r="Z857" s="43">
        <v>8.5347003936767596</v>
      </c>
      <c r="AA857" s="43"/>
      <c r="AB857" s="43"/>
      <c r="AC857" s="43"/>
      <c r="AD857" s="43"/>
      <c r="AE857" s="43"/>
      <c r="AF857" s="43"/>
      <c r="AG857" s="43"/>
      <c r="AH857" s="43"/>
      <c r="AI857" s="43"/>
      <c r="AJ857" s="43">
        <v>8.3999996185000008</v>
      </c>
      <c r="AK857" s="43"/>
      <c r="AL857" s="43"/>
      <c r="AM857" s="43">
        <v>1.2676000595000001</v>
      </c>
      <c r="AN857" s="43"/>
      <c r="AO857" s="43">
        <v>7.4</v>
      </c>
      <c r="AP857" s="43">
        <v>7.5599999428000002</v>
      </c>
      <c r="AQ857" s="43"/>
      <c r="AR857" s="43"/>
      <c r="AS857" s="43"/>
      <c r="AT857" s="43"/>
      <c r="AU857" s="43"/>
      <c r="AV857" s="43"/>
      <c r="AW857" s="43">
        <v>7.3</v>
      </c>
      <c r="AX857" s="43">
        <v>7.3</v>
      </c>
      <c r="AY857" s="43">
        <v>6.7</v>
      </c>
      <c r="AZ857" s="43">
        <v>6.6</v>
      </c>
      <c r="BA857" s="43"/>
      <c r="BB857" s="43">
        <v>7.6</v>
      </c>
      <c r="BC857" s="43">
        <v>6.8</v>
      </c>
      <c r="BD857" s="43">
        <v>6.6</v>
      </c>
      <c r="BE857" s="43"/>
      <c r="BF857" s="43">
        <v>6.2</v>
      </c>
      <c r="BG857" s="43">
        <v>6.2</v>
      </c>
      <c r="BH857" s="43">
        <v>5.8</v>
      </c>
      <c r="BI857" s="43"/>
      <c r="BJ857" s="43"/>
      <c r="BK857" s="43"/>
      <c r="BL857" s="43"/>
      <c r="BM857" s="43"/>
      <c r="BN857" s="56">
        <f t="shared" si="25"/>
        <v>5.8</v>
      </c>
      <c r="BO857" s="428">
        <f>IF(BN857="No reported value",INDEX('WB HCW &amp; Beds'!$BU$831:$BU$835,MATCH($BP857,'WB HCW &amp; Beds'!$BS$831:$BS$835,0)),$BN857)</f>
        <v>5.8</v>
      </c>
      <c r="BP857" s="132" t="str">
        <f>INDEX('HCW + Staff Summary'!$E$7:$E$270,MATCH($B857,'HCW + Staff Summary'!$B$7:$B$270,0))</f>
        <v>High income</v>
      </c>
      <c r="BQ857" s="429">
        <f>INDEX('WB HCW &amp; Beds'!$BU$838:$BU$842,MATCH($BP857,'WB HCW &amp; Beds'!$BS$838:$BS$842,0))*100</f>
        <v>3.5700000000000003</v>
      </c>
    </row>
    <row r="858" spans="2:69" x14ac:dyDescent="0.75">
      <c r="B858" s="43" t="s">
        <v>340</v>
      </c>
      <c r="C858" s="43" t="s">
        <v>20</v>
      </c>
      <c r="D858" s="43" t="s">
        <v>632</v>
      </c>
      <c r="E858" s="43" t="s">
        <v>633</v>
      </c>
      <c r="F858" s="43">
        <v>4.9024391174316397</v>
      </c>
      <c r="G858" s="43"/>
      <c r="H858" s="43"/>
      <c r="I858" s="43"/>
      <c r="J858" s="43"/>
      <c r="K858" s="43"/>
      <c r="L858" s="43"/>
      <c r="M858" s="43"/>
      <c r="N858" s="43"/>
      <c r="O858" s="43"/>
      <c r="P858" s="43">
        <v>3.5076999664306601</v>
      </c>
      <c r="Q858" s="43"/>
      <c r="R858" s="43"/>
      <c r="S858" s="43"/>
      <c r="T858" s="43"/>
      <c r="U858" s="43"/>
      <c r="V858" s="43"/>
      <c r="W858" s="43"/>
      <c r="X858" s="43"/>
      <c r="Y858" s="43"/>
      <c r="Z858" s="43"/>
      <c r="AA858" s="43">
        <v>2.9358999729156499</v>
      </c>
      <c r="AB858" s="43">
        <v>2.9939999580383301</v>
      </c>
      <c r="AC858" s="43"/>
      <c r="AD858" s="43"/>
      <c r="AE858" s="43"/>
      <c r="AF858" s="43"/>
      <c r="AG858" s="43"/>
      <c r="AH858" s="43"/>
      <c r="AI858" s="43"/>
      <c r="AJ858" s="43"/>
      <c r="AK858" s="43"/>
      <c r="AL858" s="43"/>
      <c r="AM858" s="43"/>
      <c r="AN858" s="43"/>
      <c r="AO858" s="43"/>
      <c r="AP858" s="43"/>
      <c r="AQ858" s="43"/>
      <c r="AR858" s="43"/>
      <c r="AS858" s="43"/>
      <c r="AT858" s="43">
        <v>2.5999999046000002</v>
      </c>
      <c r="AU858" s="43"/>
      <c r="AV858" s="43">
        <v>2.7</v>
      </c>
      <c r="AW858" s="43"/>
      <c r="AX858" s="43">
        <v>2.6</v>
      </c>
      <c r="AY858" s="43">
        <v>3</v>
      </c>
      <c r="AZ858" s="43">
        <v>2.79</v>
      </c>
      <c r="BA858" s="43"/>
      <c r="BB858" s="43">
        <v>2.7</v>
      </c>
      <c r="BC858" s="43">
        <v>2.6</v>
      </c>
      <c r="BD858" s="43"/>
      <c r="BE858" s="43">
        <v>2.79</v>
      </c>
      <c r="BF858" s="43">
        <v>2.7</v>
      </c>
      <c r="BG858" s="43"/>
      <c r="BH858" s="43"/>
      <c r="BI858" s="43">
        <v>2.7</v>
      </c>
      <c r="BJ858" s="43"/>
      <c r="BK858" s="43"/>
      <c r="BL858" s="43"/>
      <c r="BM858" s="43"/>
      <c r="BN858" s="56">
        <f t="shared" si="25"/>
        <v>2.7</v>
      </c>
      <c r="BO858" s="428">
        <f>IF(BN858="No reported value",INDEX('WB HCW &amp; Beds'!$BU$831:$BU$835,MATCH($BP858,'WB HCW &amp; Beds'!$BS$831:$BS$835,0)),$BN858)</f>
        <v>2.7</v>
      </c>
      <c r="BP858" s="132" t="str">
        <f>INDEX('HCW + Staff Summary'!$E$7:$E$270,MATCH($B858,'HCW + Staff Summary'!$B$7:$B$270,0))</f>
        <v>High income</v>
      </c>
      <c r="BQ858" s="429">
        <f>INDEX('WB HCW &amp; Beds'!$BU$838:$BU$842,MATCH($BP858,'WB HCW &amp; Beds'!$BS$838:$BS$842,0))*100</f>
        <v>3.5700000000000003</v>
      </c>
    </row>
    <row r="859" spans="2:69" x14ac:dyDescent="0.75">
      <c r="B859" s="43" t="s">
        <v>241</v>
      </c>
      <c r="C859" s="43" t="s">
        <v>21</v>
      </c>
      <c r="D859" s="43" t="s">
        <v>632</v>
      </c>
      <c r="E859" s="43" t="s">
        <v>633</v>
      </c>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v>1.70589995384216</v>
      </c>
      <c r="AG859" s="43"/>
      <c r="AH859" s="43"/>
      <c r="AI859" s="43"/>
      <c r="AJ859" s="43">
        <v>0.84670001269999995</v>
      </c>
      <c r="AK859" s="43"/>
      <c r="AL859" s="43"/>
      <c r="AM859" s="43"/>
      <c r="AN859" s="43">
        <v>1.6147999763000001</v>
      </c>
      <c r="AO859" s="43"/>
      <c r="AP859" s="43"/>
      <c r="AQ859" s="43"/>
      <c r="AR859" s="43"/>
      <c r="AS859" s="43">
        <v>1.6000000238000001</v>
      </c>
      <c r="AT859" s="43"/>
      <c r="AU859" s="43">
        <v>1.6</v>
      </c>
      <c r="AV859" s="43">
        <v>1.6</v>
      </c>
      <c r="AW859" s="43"/>
      <c r="AX859" s="43"/>
      <c r="AY859" s="43"/>
      <c r="AZ859" s="43">
        <v>1.7</v>
      </c>
      <c r="BA859" s="43"/>
      <c r="BB859" s="43"/>
      <c r="BC859" s="43"/>
      <c r="BD859" s="43"/>
      <c r="BE859" s="43">
        <v>1.8</v>
      </c>
      <c r="BF859" s="43">
        <v>1.7</v>
      </c>
      <c r="BG859" s="43"/>
      <c r="BH859" s="43"/>
      <c r="BI859" s="43"/>
      <c r="BJ859" s="43"/>
      <c r="BK859" s="43"/>
      <c r="BL859" s="43"/>
      <c r="BM859" s="43"/>
      <c r="BN859" s="56">
        <f t="shared" si="25"/>
        <v>1.7</v>
      </c>
      <c r="BO859" s="428">
        <f>IF(BN859="No reported value",INDEX('WB HCW &amp; Beds'!$BU$831:$BU$835,MATCH($BP859,'WB HCW &amp; Beds'!$BS$831:$BS$835,0)),$BN859)</f>
        <v>1.7</v>
      </c>
      <c r="BP859" s="132" t="str">
        <f>INDEX('HCW + Staff Summary'!$E$7:$E$270,MATCH($B859,'HCW + Staff Summary'!$B$7:$B$270,0))</f>
        <v>Lower middle income</v>
      </c>
      <c r="BQ859" s="429">
        <f>INDEX('WB HCW &amp; Beds'!$BU$838:$BU$842,MATCH($BP859,'WB HCW &amp; Beds'!$BS$838:$BS$842,0))*100</f>
        <v>2.3800000000000003</v>
      </c>
    </row>
    <row r="860" spans="2:69" x14ac:dyDescent="0.75">
      <c r="B860" s="43" t="s">
        <v>184</v>
      </c>
      <c r="C860" s="43" t="s">
        <v>22</v>
      </c>
      <c r="D860" s="43" t="s">
        <v>632</v>
      </c>
      <c r="E860" s="43" t="s">
        <v>633</v>
      </c>
      <c r="F860" s="43">
        <v>2.1229166984558101</v>
      </c>
      <c r="G860" s="43"/>
      <c r="H860" s="43"/>
      <c r="I860" s="43"/>
      <c r="J860" s="43"/>
      <c r="K860" s="43"/>
      <c r="L860" s="43"/>
      <c r="M860" s="43"/>
      <c r="N860" s="43"/>
      <c r="O860" s="43"/>
      <c r="P860" s="43"/>
      <c r="Q860" s="43"/>
      <c r="R860" s="43"/>
      <c r="S860" s="43"/>
      <c r="T860" s="43"/>
      <c r="U860" s="43"/>
      <c r="V860" s="43"/>
      <c r="W860" s="43"/>
      <c r="X860" s="43"/>
      <c r="Y860" s="43"/>
      <c r="Z860" s="43">
        <v>2.3631000518798801</v>
      </c>
      <c r="AA860" s="43"/>
      <c r="AB860" s="43"/>
      <c r="AC860" s="43"/>
      <c r="AD860" s="43"/>
      <c r="AE860" s="43"/>
      <c r="AF860" s="43"/>
      <c r="AG860" s="43"/>
      <c r="AH860" s="43"/>
      <c r="AI860" s="43"/>
      <c r="AJ860" s="43">
        <v>1.5751999617000001</v>
      </c>
      <c r="AK860" s="43"/>
      <c r="AL860" s="43"/>
      <c r="AM860" s="43"/>
      <c r="AN860" s="43"/>
      <c r="AO860" s="43"/>
      <c r="AP860" s="43"/>
      <c r="AQ860" s="43"/>
      <c r="AR860" s="43"/>
      <c r="AS860" s="43"/>
      <c r="AT860" s="43"/>
      <c r="AU860" s="43"/>
      <c r="AV860" s="43"/>
      <c r="AW860" s="43">
        <v>2.2000000000000002</v>
      </c>
      <c r="AX860" s="43"/>
      <c r="AY860" s="43"/>
      <c r="AZ860" s="43"/>
      <c r="BA860" s="43">
        <v>2.4</v>
      </c>
      <c r="BB860" s="43">
        <v>1.8</v>
      </c>
      <c r="BC860" s="43"/>
      <c r="BD860" s="43">
        <v>1.8</v>
      </c>
      <c r="BE860" s="43"/>
      <c r="BF860" s="43"/>
      <c r="BG860" s="43"/>
      <c r="BH860" s="43"/>
      <c r="BI860" s="43"/>
      <c r="BJ860" s="43"/>
      <c r="BK860" s="43"/>
      <c r="BL860" s="43"/>
      <c r="BM860" s="43"/>
      <c r="BN860" s="56">
        <f t="shared" si="25"/>
        <v>1.8</v>
      </c>
      <c r="BO860" s="428">
        <f>IF(BN860="No reported value",INDEX('WB HCW &amp; Beds'!$BU$831:$BU$835,MATCH($BP860,'WB HCW &amp; Beds'!$BS$831:$BS$835,0)),$BN860)</f>
        <v>1.8</v>
      </c>
      <c r="BP860" s="132" t="str">
        <f>INDEX('HCW + Staff Summary'!$E$7:$E$270,MATCH($B860,'HCW + Staff Summary'!$B$7:$B$270,0))</f>
        <v>Upper middle income</v>
      </c>
      <c r="BQ860" s="429">
        <f>INDEX('WB HCW &amp; Beds'!$BU$838:$BU$842,MATCH($BP860,'WB HCW &amp; Beds'!$BS$838:$BS$842,0))*100</f>
        <v>3.32</v>
      </c>
    </row>
    <row r="861" spans="2:69" x14ac:dyDescent="0.75">
      <c r="B861" s="43" t="s">
        <v>188</v>
      </c>
      <c r="C861" s="43" t="s">
        <v>173</v>
      </c>
      <c r="D861" s="43" t="s">
        <v>632</v>
      </c>
      <c r="E861" s="43" t="s">
        <v>633</v>
      </c>
      <c r="F861" s="43">
        <v>1.2314211130142201</v>
      </c>
      <c r="G861" s="43"/>
      <c r="H861" s="43"/>
      <c r="I861" s="43"/>
      <c r="J861" s="43"/>
      <c r="K861" s="43"/>
      <c r="L861" s="43"/>
      <c r="M861" s="43"/>
      <c r="N861" s="43"/>
      <c r="O861" s="43"/>
      <c r="P861" s="43">
        <v>1.87559998035431</v>
      </c>
      <c r="Q861" s="43"/>
      <c r="R861" s="43"/>
      <c r="S861" s="43"/>
      <c r="T861" s="43"/>
      <c r="U861" s="43"/>
      <c r="V861" s="43"/>
      <c r="W861" s="43"/>
      <c r="X861" s="43"/>
      <c r="Y861" s="43"/>
      <c r="Z861" s="43">
        <v>1.55859994888306</v>
      </c>
      <c r="AA861" s="43"/>
      <c r="AB861" s="43"/>
      <c r="AC861" s="43"/>
      <c r="AD861" s="43"/>
      <c r="AE861" s="43"/>
      <c r="AF861" s="43"/>
      <c r="AG861" s="43"/>
      <c r="AH861" s="43"/>
      <c r="AI861" s="43"/>
      <c r="AJ861" s="43">
        <v>0.87319999930000003</v>
      </c>
      <c r="AK861" s="43"/>
      <c r="AL861" s="43"/>
      <c r="AM861" s="43"/>
      <c r="AN861" s="43"/>
      <c r="AO861" s="43"/>
      <c r="AP861" s="43"/>
      <c r="AQ861" s="43"/>
      <c r="AR861" s="43"/>
      <c r="AS861" s="43"/>
      <c r="AT861" s="43"/>
      <c r="AU861" s="43"/>
      <c r="AV861" s="43"/>
      <c r="AW861" s="43"/>
      <c r="AX861" s="43"/>
      <c r="AY861" s="43"/>
      <c r="AZ861" s="43">
        <v>1.2</v>
      </c>
      <c r="BA861" s="43"/>
      <c r="BB861" s="43"/>
      <c r="BC861" s="43"/>
      <c r="BD861" s="43"/>
      <c r="BE861" s="43">
        <v>1</v>
      </c>
      <c r="BF861" s="43"/>
      <c r="BG861" s="43"/>
      <c r="BH861" s="43"/>
      <c r="BI861" s="43"/>
      <c r="BJ861" s="43"/>
      <c r="BK861" s="43"/>
      <c r="BL861" s="43"/>
      <c r="BM861" s="43"/>
      <c r="BN861" s="56">
        <f t="shared" si="25"/>
        <v>1</v>
      </c>
      <c r="BO861" s="428">
        <f>IF(BN861="No reported value",INDEX('WB HCW &amp; Beds'!$BU$831:$BU$835,MATCH($BP861,'WB HCW &amp; Beds'!$BS$831:$BS$835,0)),$BN861)</f>
        <v>1</v>
      </c>
      <c r="BP861" s="132" t="str">
        <f>INDEX('HCW + Staff Summary'!$E$7:$E$270,MATCH($B861,'HCW + Staff Summary'!$B$7:$B$270,0))</f>
        <v>Low income</v>
      </c>
      <c r="BQ861" s="429">
        <f>INDEX('WB HCW &amp; Beds'!$BU$838:$BU$842,MATCH($BP861,'WB HCW &amp; Beds'!$BS$838:$BS$842,0))*100</f>
        <v>1.63</v>
      </c>
    </row>
    <row r="862" spans="2:69" x14ac:dyDescent="0.75">
      <c r="B862" s="43" t="s">
        <v>343</v>
      </c>
      <c r="C862" s="43" t="s">
        <v>159</v>
      </c>
      <c r="D862" s="43" t="s">
        <v>632</v>
      </c>
      <c r="E862" s="43" t="s">
        <v>633</v>
      </c>
      <c r="F862" s="43">
        <v>6.1999998092651403</v>
      </c>
      <c r="G862" s="43"/>
      <c r="H862" s="43"/>
      <c r="I862" s="43"/>
      <c r="J862" s="43"/>
      <c r="K862" s="43"/>
      <c r="L862" s="43"/>
      <c r="M862" s="43"/>
      <c r="N862" s="43"/>
      <c r="O862" s="43"/>
      <c r="P862" s="43">
        <v>7</v>
      </c>
      <c r="Q862" s="43"/>
      <c r="R862" s="43"/>
      <c r="S862" s="43"/>
      <c r="T862" s="43"/>
      <c r="U862" s="43"/>
      <c r="V862" s="43">
        <v>6.9000000953674299</v>
      </c>
      <c r="W862" s="43">
        <v>6.9000000953674299</v>
      </c>
      <c r="X862" s="43">
        <v>6.9000000953674299</v>
      </c>
      <c r="Y862" s="43">
        <v>6.8000001907348597</v>
      </c>
      <c r="Z862" s="43">
        <v>6.8000001907348597</v>
      </c>
      <c r="AA862" s="43">
        <v>6.9000000953674299</v>
      </c>
      <c r="AB862" s="43">
        <v>6.8000001907348597</v>
      </c>
      <c r="AC862" s="43">
        <v>6.8000001907348597</v>
      </c>
      <c r="AD862" s="43">
        <v>6.8000001907348597</v>
      </c>
      <c r="AE862" s="43">
        <v>6.8000001907348597</v>
      </c>
      <c r="AF862" s="43">
        <v>6.6999998092651403</v>
      </c>
      <c r="AG862" s="43">
        <v>6.5999999046325701</v>
      </c>
      <c r="AH862" s="43">
        <v>6.5</v>
      </c>
      <c r="AI862" s="43">
        <v>6.3000001907348597</v>
      </c>
      <c r="AJ862" s="43">
        <v>6</v>
      </c>
      <c r="AK862" s="43">
        <v>5.8000001906999996</v>
      </c>
      <c r="AL862" s="43">
        <v>5.5</v>
      </c>
      <c r="AM862" s="43">
        <v>5.4000000954000003</v>
      </c>
      <c r="AN862" s="43"/>
      <c r="AO862" s="43">
        <v>5</v>
      </c>
      <c r="AP862" s="43">
        <v>4.5999999045999997</v>
      </c>
      <c r="AQ862" s="43">
        <v>4.4000000954000003</v>
      </c>
      <c r="AR862" s="43">
        <v>4.1999998093000004</v>
      </c>
      <c r="AS862" s="43">
        <v>3.9000000953999998</v>
      </c>
      <c r="AT862" s="43">
        <v>3.4</v>
      </c>
      <c r="AU862" s="43">
        <v>3.7000000477000001</v>
      </c>
      <c r="AV862" s="43">
        <v>3.7000000477000001</v>
      </c>
      <c r="AW862" s="43">
        <v>3.6</v>
      </c>
      <c r="AX862" s="43"/>
      <c r="AY862" s="43">
        <v>3.4</v>
      </c>
      <c r="AZ862" s="43">
        <v>3.4</v>
      </c>
      <c r="BA862" s="43"/>
      <c r="BB862" s="43">
        <v>3.4</v>
      </c>
      <c r="BC862" s="43">
        <v>3.2</v>
      </c>
      <c r="BD862" s="43">
        <v>2.7</v>
      </c>
      <c r="BE862" s="43">
        <v>2.7</v>
      </c>
      <c r="BF862" s="43">
        <v>2.7</v>
      </c>
      <c r="BG862" s="43"/>
      <c r="BH862" s="43"/>
      <c r="BI862" s="43"/>
      <c r="BJ862" s="43"/>
      <c r="BK862" s="43"/>
      <c r="BL862" s="43"/>
      <c r="BM862" s="43"/>
      <c r="BN862" s="56">
        <f t="shared" si="25"/>
        <v>2.7</v>
      </c>
      <c r="BO862" s="428">
        <f>IF(BN862="No reported value",INDEX('WB HCW &amp; Beds'!$BU$831:$BU$835,MATCH($BP862,'WB HCW &amp; Beds'!$BS$831:$BS$835,0)),$BN862)</f>
        <v>2.7</v>
      </c>
      <c r="BP862" s="132" t="str">
        <f>INDEX('HCW + Staff Summary'!$E$7:$E$270,MATCH($B862,'HCW + Staff Summary'!$B$7:$B$270,0))</f>
        <v>High income</v>
      </c>
      <c r="BQ862" s="429">
        <f>INDEX('WB HCW &amp; Beds'!$BU$838:$BU$842,MATCH($BP862,'WB HCW &amp; Beds'!$BS$838:$BS$842,0))*100</f>
        <v>3.5700000000000003</v>
      </c>
    </row>
    <row r="863" spans="2:69" x14ac:dyDescent="0.75">
      <c r="B863" s="43" t="s">
        <v>348</v>
      </c>
      <c r="C863" s="43" t="s">
        <v>349</v>
      </c>
      <c r="D863" s="43" t="s">
        <v>632</v>
      </c>
      <c r="E863" s="43" t="s">
        <v>633</v>
      </c>
      <c r="F863" s="43"/>
      <c r="G863" s="43"/>
      <c r="H863" s="43"/>
      <c r="I863" s="43"/>
      <c r="J863" s="43"/>
      <c r="K863" s="43"/>
      <c r="L863" s="43"/>
      <c r="M863" s="43"/>
      <c r="N863" s="43"/>
      <c r="O863" s="43"/>
      <c r="P863" s="43"/>
      <c r="Q863" s="43"/>
      <c r="R863" s="43"/>
      <c r="S863" s="43"/>
      <c r="T863" s="43"/>
      <c r="U863" s="43"/>
      <c r="V863" s="43"/>
      <c r="W863" s="43"/>
      <c r="X863" s="43"/>
      <c r="Y863" s="43"/>
      <c r="Z863" s="43">
        <v>8.0305355221948531</v>
      </c>
      <c r="AA863" s="43"/>
      <c r="AB863" s="43"/>
      <c r="AC863" s="43"/>
      <c r="AD863" s="43"/>
      <c r="AE863" s="43">
        <v>8.2006632015622518</v>
      </c>
      <c r="AF863" s="43"/>
      <c r="AG863" s="43"/>
      <c r="AH863" s="43"/>
      <c r="AI863" s="43"/>
      <c r="AJ863" s="43">
        <v>8.1198405040173611</v>
      </c>
      <c r="AK863" s="43">
        <v>8.0388287647443555</v>
      </c>
      <c r="AL863" s="43">
        <v>7.6722857567347456</v>
      </c>
      <c r="AM863" s="43">
        <v>7.6428860583175275</v>
      </c>
      <c r="AN863" s="43">
        <v>7.6306715967644534</v>
      </c>
      <c r="AO863" s="43">
        <v>7.2386886995594271</v>
      </c>
      <c r="AP863" s="43">
        <v>7.268246556785571</v>
      </c>
      <c r="AQ863" s="43">
        <v>7.023065449365304</v>
      </c>
      <c r="AR863" s="43">
        <v>6.7973288388091033</v>
      </c>
      <c r="AS863" s="43">
        <v>6.6165306786963418</v>
      </c>
      <c r="AT863" s="43">
        <v>6.6976154731317905</v>
      </c>
      <c r="AU863" s="43"/>
      <c r="AV863" s="43">
        <v>6.751321661667137</v>
      </c>
      <c r="AW863" s="43">
        <v>6.8828985796437694</v>
      </c>
      <c r="AX863" s="43">
        <v>6.823980197968404</v>
      </c>
      <c r="AY863" s="43">
        <v>6.7752422737836167</v>
      </c>
      <c r="AZ863" s="43">
        <v>6.7199624267109703</v>
      </c>
      <c r="BA863" s="43">
        <v>6.5774607504351827</v>
      </c>
      <c r="BB863" s="43">
        <v>6.6377943260312762</v>
      </c>
      <c r="BC863" s="43">
        <v>6.6334882985978831</v>
      </c>
      <c r="BD863" s="43">
        <v>6.4870682504524178</v>
      </c>
      <c r="BE863" s="43">
        <v>6.4207815070008127</v>
      </c>
      <c r="BF863" s="43">
        <v>6.4230466048124288</v>
      </c>
      <c r="BG863" s="43">
        <v>6.4214466607823937</v>
      </c>
      <c r="BH863" s="43"/>
      <c r="BI863" s="43"/>
      <c r="BJ863" s="43"/>
      <c r="BK863" s="43"/>
      <c r="BL863" s="43"/>
      <c r="BM863" s="43"/>
      <c r="BN863" s="56">
        <f t="shared" si="25"/>
        <v>6.4214466607823937</v>
      </c>
      <c r="BO863" s="428">
        <f>IF(BN863="No reported value",INDEX('WB HCW &amp; Beds'!$BU$831:$BU$835,MATCH($BP863,'WB HCW &amp; Beds'!$BS$831:$BS$835,0)),$BN863)</f>
        <v>6.4214466607823937</v>
      </c>
      <c r="BP863" s="132" t="str">
        <f>INDEX('HCW + Staff Summary'!$E$7:$E$270,MATCH($B863,'HCW + Staff Summary'!$B$7:$B$270,0))</f>
        <v>OUT</v>
      </c>
      <c r="BQ863" s="429">
        <f>INDEX('WB HCW &amp; Beds'!$BU$838:$BU$842,MATCH($BP863,'WB HCW &amp; Beds'!$BS$838:$BS$842,0))*100</f>
        <v>2.7250000000000001</v>
      </c>
    </row>
    <row r="864" spans="2:69" x14ac:dyDescent="0.75">
      <c r="B864" s="43" t="s">
        <v>545</v>
      </c>
      <c r="C864" s="43" t="s">
        <v>23</v>
      </c>
      <c r="D864" s="43" t="s">
        <v>632</v>
      </c>
      <c r="E864" s="43" t="s">
        <v>633</v>
      </c>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v>19.899999618500001</v>
      </c>
      <c r="AL864" s="43"/>
      <c r="AM864" s="43"/>
      <c r="AN864" s="43"/>
      <c r="AO864" s="43"/>
      <c r="AP864" s="43"/>
      <c r="AQ864" s="43"/>
      <c r="AR864" s="43"/>
      <c r="AS864" s="43"/>
      <c r="AT864" s="43">
        <v>6.3</v>
      </c>
      <c r="AU864" s="43">
        <v>6</v>
      </c>
      <c r="AV864" s="43">
        <v>5.9</v>
      </c>
      <c r="AW864" s="43">
        <v>5.8</v>
      </c>
      <c r="AX864" s="43">
        <v>5.7</v>
      </c>
      <c r="AY864" s="43">
        <v>5.5</v>
      </c>
      <c r="AZ864" s="43">
        <v>5.4</v>
      </c>
      <c r="BA864" s="43">
        <v>5.4</v>
      </c>
      <c r="BB864" s="43">
        <v>5.3</v>
      </c>
      <c r="BC864" s="43">
        <v>5.0999999999999996</v>
      </c>
      <c r="BD864" s="43">
        <v>5</v>
      </c>
      <c r="BE864" s="43">
        <v>4.9000000000000004</v>
      </c>
      <c r="BF864" s="43">
        <v>4.8</v>
      </c>
      <c r="BG864" s="43">
        <v>4.7</v>
      </c>
      <c r="BH864" s="43"/>
      <c r="BI864" s="43"/>
      <c r="BJ864" s="43"/>
      <c r="BK864" s="43"/>
      <c r="BL864" s="43"/>
      <c r="BM864" s="43"/>
      <c r="BN864" s="56">
        <f t="shared" si="25"/>
        <v>4.7</v>
      </c>
      <c r="BO864" s="428">
        <f>IF(BN864="No reported value",INDEX('WB HCW &amp; Beds'!$BU$831:$BU$835,MATCH($BP864,'WB HCW &amp; Beds'!$BS$831:$BS$835,0)),$BN864)</f>
        <v>4.7</v>
      </c>
      <c r="BP864" s="132" t="str">
        <f>INDEX('HCW + Staff Summary'!$E$7:$E$270,MATCH($B864,'HCW + Staff Summary'!$B$7:$B$270,0))</f>
        <v>High income</v>
      </c>
      <c r="BQ864" s="429">
        <f>INDEX('WB HCW &amp; Beds'!$BU$838:$BU$842,MATCH($BP864,'WB HCW &amp; Beds'!$BS$838:$BS$842,0))*100</f>
        <v>3.5700000000000003</v>
      </c>
    </row>
    <row r="865" spans="2:69" x14ac:dyDescent="0.75">
      <c r="B865" s="43" t="s">
        <v>350</v>
      </c>
      <c r="C865" s="43" t="s">
        <v>351</v>
      </c>
      <c r="D865" s="43" t="s">
        <v>632</v>
      </c>
      <c r="E865" s="43" t="s">
        <v>633</v>
      </c>
      <c r="F865" s="43">
        <v>11.153845787048301</v>
      </c>
      <c r="G865" s="43"/>
      <c r="H865" s="43"/>
      <c r="I865" s="43"/>
      <c r="J865" s="43"/>
      <c r="K865" s="43"/>
      <c r="L865" s="43"/>
      <c r="M865" s="43"/>
      <c r="N865" s="43"/>
      <c r="O865" s="43"/>
      <c r="P865" s="43">
        <v>11.2250003814697</v>
      </c>
      <c r="Q865" s="43"/>
      <c r="R865" s="43"/>
      <c r="S865" s="43"/>
      <c r="T865" s="43"/>
      <c r="U865" s="43"/>
      <c r="V865" s="43"/>
      <c r="W865" s="43"/>
      <c r="X865" s="43"/>
      <c r="Y865" s="43"/>
      <c r="Z865" s="43">
        <v>10.6512002944946</v>
      </c>
      <c r="AA865" s="43">
        <v>10.595100402831999</v>
      </c>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56">
        <f t="shared" si="25"/>
        <v>10.595100402831999</v>
      </c>
      <c r="BO865" s="428">
        <f>IF(BN865="No reported value",INDEX('WB HCW &amp; Beds'!$BU$831:$BU$835,MATCH($BP865,'WB HCW &amp; Beds'!$BS$831:$BS$835,0)),$BN865)</f>
        <v>10.595100402831999</v>
      </c>
      <c r="BP865" s="132" t="str">
        <f>INDEX('HCW + Staff Summary'!$E$7:$E$270,MATCH($B865,'HCW + Staff Summary'!$B$7:$B$270,0))</f>
        <v>High income</v>
      </c>
      <c r="BQ865" s="429">
        <f>INDEX('WB HCW &amp; Beds'!$BU$838:$BU$842,MATCH($BP865,'WB HCW &amp; Beds'!$BS$838:$BS$842,0))*100</f>
        <v>3.5700000000000003</v>
      </c>
    </row>
    <row r="866" spans="2:69" x14ac:dyDescent="0.75">
      <c r="B866" s="43" t="s">
        <v>220</v>
      </c>
      <c r="C866" s="43" t="s">
        <v>24</v>
      </c>
      <c r="D866" s="43" t="s">
        <v>632</v>
      </c>
      <c r="E866" s="43" t="s">
        <v>633</v>
      </c>
      <c r="F866" s="43">
        <v>3.6742901802063002</v>
      </c>
      <c r="G866" s="43"/>
      <c r="H866" s="43"/>
      <c r="I866" s="43"/>
      <c r="J866" s="43"/>
      <c r="K866" s="43"/>
      <c r="L866" s="43"/>
      <c r="M866" s="43"/>
      <c r="N866" s="43"/>
      <c r="O866" s="43"/>
      <c r="P866" s="43">
        <v>3.77640008926392</v>
      </c>
      <c r="Q866" s="43"/>
      <c r="R866" s="43"/>
      <c r="S866" s="43"/>
      <c r="T866" s="43"/>
      <c r="U866" s="43"/>
      <c r="V866" s="43"/>
      <c r="W866" s="43"/>
      <c r="X866" s="43"/>
      <c r="Y866" s="43"/>
      <c r="Z866" s="43">
        <v>3.40639996528625</v>
      </c>
      <c r="AA866" s="43"/>
      <c r="AB866" s="43"/>
      <c r="AC866" s="43"/>
      <c r="AD866" s="43"/>
      <c r="AE866" s="43"/>
      <c r="AF866" s="43"/>
      <c r="AG866" s="43"/>
      <c r="AH866" s="43"/>
      <c r="AI866" s="43">
        <v>3.1767001152038601</v>
      </c>
      <c r="AJ866" s="43">
        <v>3.1586000918999999</v>
      </c>
      <c r="AK866" s="43"/>
      <c r="AL866" s="43"/>
      <c r="AM866" s="43">
        <v>3.0999999046000002</v>
      </c>
      <c r="AN866" s="43"/>
      <c r="AO866" s="43"/>
      <c r="AP866" s="43">
        <v>2.6700000763</v>
      </c>
      <c r="AQ866" s="43"/>
      <c r="AR866" s="43"/>
      <c r="AS866" s="43"/>
      <c r="AT866" s="43"/>
      <c r="AU866" s="43"/>
      <c r="AV866" s="43">
        <v>2.5999999046000002</v>
      </c>
      <c r="AW866" s="43"/>
      <c r="AX866" s="43">
        <v>2.4</v>
      </c>
      <c r="AY866" s="43">
        <v>2.2999999999999998</v>
      </c>
      <c r="AZ866" s="43">
        <v>2.2999999999999998</v>
      </c>
      <c r="BA866" s="43"/>
      <c r="BB866" s="43"/>
      <c r="BC866" s="43">
        <v>2.1</v>
      </c>
      <c r="BD866" s="43">
        <v>2</v>
      </c>
      <c r="BE866" s="43">
        <v>2.1</v>
      </c>
      <c r="BF866" s="43">
        <v>2.2000000000000002</v>
      </c>
      <c r="BG866" s="43">
        <v>2.2000000000000002</v>
      </c>
      <c r="BH866" s="43"/>
      <c r="BI866" s="43"/>
      <c r="BJ866" s="43"/>
      <c r="BK866" s="43"/>
      <c r="BL866" s="43"/>
      <c r="BM866" s="43"/>
      <c r="BN866" s="56">
        <f t="shared" si="25"/>
        <v>2.2000000000000002</v>
      </c>
      <c r="BO866" s="428">
        <f>IF(BN866="No reported value",INDEX('WB HCW &amp; Beds'!$BU$831:$BU$835,MATCH($BP866,'WB HCW &amp; Beds'!$BS$831:$BS$835,0)),$BN866)</f>
        <v>2.2000000000000002</v>
      </c>
      <c r="BP866" s="132" t="str">
        <f>INDEX('HCW + Staff Summary'!$E$7:$E$270,MATCH($B866,'HCW + Staff Summary'!$B$7:$B$270,0))</f>
        <v>High income</v>
      </c>
      <c r="BQ866" s="429">
        <f>INDEX('WB HCW &amp; Beds'!$BU$838:$BU$842,MATCH($BP866,'WB HCW &amp; Beds'!$BS$838:$BS$842,0))*100</f>
        <v>3.5700000000000003</v>
      </c>
    </row>
    <row r="867" spans="2:69" x14ac:dyDescent="0.75">
      <c r="B867" s="43" t="s">
        <v>352</v>
      </c>
      <c r="C867" s="43" t="s">
        <v>25</v>
      </c>
      <c r="D867" s="43" t="s">
        <v>632</v>
      </c>
      <c r="E867" s="43" t="s">
        <v>633</v>
      </c>
      <c r="F867" s="43"/>
      <c r="G867" s="43"/>
      <c r="H867" s="43"/>
      <c r="I867" s="43"/>
      <c r="J867" s="43"/>
      <c r="K867" s="43">
        <v>1.4400000572204601</v>
      </c>
      <c r="L867" s="43">
        <v>1.5199999809265099</v>
      </c>
      <c r="M867" s="43">
        <v>1.5</v>
      </c>
      <c r="N867" s="43">
        <v>1.45000004768372</v>
      </c>
      <c r="O867" s="43">
        <v>1.45000004768372</v>
      </c>
      <c r="P867" s="43">
        <v>1.53999996185303</v>
      </c>
      <c r="Q867" s="43">
        <v>1.58000004291534</v>
      </c>
      <c r="R867" s="43">
        <v>1.71000003814697</v>
      </c>
      <c r="S867" s="43">
        <v>1.7699999809265099</v>
      </c>
      <c r="T867" s="43">
        <v>1.8500000238418599</v>
      </c>
      <c r="U867" s="43">
        <v>1.91999995708466</v>
      </c>
      <c r="V867" s="43">
        <v>2</v>
      </c>
      <c r="W867" s="43">
        <v>2.0699999332428001</v>
      </c>
      <c r="X867" s="43">
        <v>2.1400001049041699</v>
      </c>
      <c r="Y867" s="43">
        <v>2.2000000476837198</v>
      </c>
      <c r="Z867" s="43">
        <v>2.2300000190734899</v>
      </c>
      <c r="AA867" s="43">
        <v>2.25</v>
      </c>
      <c r="AB867" s="43">
        <v>2.2599999904632599</v>
      </c>
      <c r="AC867" s="43">
        <v>2.28999996185303</v>
      </c>
      <c r="AD867" s="43">
        <v>2.3299999237060498</v>
      </c>
      <c r="AE867" s="43">
        <v>2.3699998855590798</v>
      </c>
      <c r="AF867" s="43">
        <v>2.4000000953674299</v>
      </c>
      <c r="AG867" s="43">
        <v>2.4800000190734899</v>
      </c>
      <c r="AH867" s="43">
        <v>2.53999996185303</v>
      </c>
      <c r="AI867" s="43">
        <v>2.5599999427795401</v>
      </c>
      <c r="AJ867" s="43">
        <v>2.5799999237</v>
      </c>
      <c r="AK867" s="43">
        <v>2.5999999046000002</v>
      </c>
      <c r="AL867" s="43">
        <v>2.6199998856</v>
      </c>
      <c r="AM867" s="43">
        <v>2.6300001144</v>
      </c>
      <c r="AN867" s="43">
        <v>2.6300001144</v>
      </c>
      <c r="AO867" s="43">
        <v>2.6099998951000001</v>
      </c>
      <c r="AP867" s="43">
        <v>2.5499999522999999</v>
      </c>
      <c r="AQ867" s="43">
        <v>2.5499999522999999</v>
      </c>
      <c r="AR867" s="43">
        <v>2.5299999714000001</v>
      </c>
      <c r="AS867" s="43">
        <v>2.5199999809000002</v>
      </c>
      <c r="AT867" s="43">
        <v>2.5199999809000002</v>
      </c>
      <c r="AU867" s="43">
        <v>2.5199999809000002</v>
      </c>
      <c r="AV867" s="43">
        <v>2.4500000477000001</v>
      </c>
      <c r="AW867" s="43">
        <v>2.2000000000000002</v>
      </c>
      <c r="AX867" s="43">
        <v>3</v>
      </c>
      <c r="AY867" s="43">
        <v>2.4500000000000002</v>
      </c>
      <c r="AZ867" s="43">
        <v>2.23</v>
      </c>
      <c r="BA867" s="43"/>
      <c r="BB867" s="43"/>
      <c r="BC867" s="43">
        <v>4.2</v>
      </c>
      <c r="BD867" s="43">
        <v>3.56</v>
      </c>
      <c r="BE867" s="43">
        <v>3.8</v>
      </c>
      <c r="BF867" s="43">
        <v>4.2</v>
      </c>
      <c r="BG867" s="43"/>
      <c r="BH867" s="43"/>
      <c r="BI867" s="43"/>
      <c r="BJ867" s="43"/>
      <c r="BK867" s="43"/>
      <c r="BL867" s="43"/>
      <c r="BM867" s="43"/>
      <c r="BN867" s="56">
        <f t="shared" si="25"/>
        <v>4.2</v>
      </c>
      <c r="BO867" s="428">
        <f>IF(BN867="No reported value",INDEX('WB HCW &amp; Beds'!$BU$831:$BU$835,MATCH($BP867,'WB HCW &amp; Beds'!$BS$831:$BS$835,0)),$BN867)</f>
        <v>4.2</v>
      </c>
      <c r="BP867" s="132" t="str">
        <f>INDEX('HCW + Staff Summary'!$E$7:$E$270,MATCH($B867,'HCW + Staff Summary'!$B$7:$B$270,0))</f>
        <v>Upper middle income</v>
      </c>
      <c r="BQ867" s="429">
        <f>INDEX('WB HCW &amp; Beds'!$BU$838:$BU$842,MATCH($BP867,'WB HCW &amp; Beds'!$BS$838:$BS$842,0))*100</f>
        <v>3.32</v>
      </c>
    </row>
    <row r="868" spans="2:69" x14ac:dyDescent="0.75">
      <c r="B868" s="43" t="s">
        <v>358</v>
      </c>
      <c r="C868" s="43" t="s">
        <v>26</v>
      </c>
      <c r="D868" s="43" t="s">
        <v>632</v>
      </c>
      <c r="E868" s="43" t="s">
        <v>633</v>
      </c>
      <c r="F868" s="43">
        <v>1.3487695455551101</v>
      </c>
      <c r="G868" s="43"/>
      <c r="H868" s="43"/>
      <c r="I868" s="43"/>
      <c r="J868" s="43"/>
      <c r="K868" s="43"/>
      <c r="L868" s="43"/>
      <c r="M868" s="43"/>
      <c r="N868" s="43"/>
      <c r="O868" s="43"/>
      <c r="P868" s="43">
        <v>1.15610003471375</v>
      </c>
      <c r="Q868" s="43"/>
      <c r="R868" s="43"/>
      <c r="S868" s="43"/>
      <c r="T868" s="43"/>
      <c r="U868" s="43"/>
      <c r="V868" s="43"/>
      <c r="W868" s="43"/>
      <c r="X868" s="43"/>
      <c r="Y868" s="43"/>
      <c r="Z868" s="43"/>
      <c r="AA868" s="43"/>
      <c r="AB868" s="43"/>
      <c r="AC868" s="43"/>
      <c r="AD868" s="43"/>
      <c r="AE868" s="43"/>
      <c r="AF868" s="43"/>
      <c r="AG868" s="43"/>
      <c r="AH868" s="43"/>
      <c r="AI868" s="43">
        <v>0.82849997282028198</v>
      </c>
      <c r="AJ868" s="43">
        <v>0.81160002949999999</v>
      </c>
      <c r="AK868" s="43"/>
      <c r="AL868" s="43"/>
      <c r="AM868" s="43"/>
      <c r="AN868" s="43"/>
      <c r="AO868" s="43"/>
      <c r="AP868" s="43"/>
      <c r="AQ868" s="43"/>
      <c r="AR868" s="43"/>
      <c r="AS868" s="43"/>
      <c r="AT868" s="43"/>
      <c r="AU868" s="43"/>
      <c r="AV868" s="43"/>
      <c r="AW868" s="43"/>
      <c r="AX868" s="43"/>
      <c r="AY868" s="43"/>
      <c r="AZ868" s="43">
        <v>0.4</v>
      </c>
      <c r="BA868" s="43"/>
      <c r="BB868" s="43"/>
      <c r="BC868" s="43"/>
      <c r="BD868" s="43"/>
      <c r="BE868" s="43"/>
      <c r="BF868" s="43"/>
      <c r="BG868" s="43"/>
      <c r="BH868" s="43"/>
      <c r="BI868" s="43"/>
      <c r="BJ868" s="43"/>
      <c r="BK868" s="43"/>
      <c r="BL868" s="43"/>
      <c r="BM868" s="43"/>
      <c r="BN868" s="56">
        <f t="shared" si="25"/>
        <v>0.4</v>
      </c>
      <c r="BO868" s="428">
        <f>IF(BN868="No reported value",INDEX('WB HCW &amp; Beds'!$BU$831:$BU$835,MATCH($BP868,'WB HCW &amp; Beds'!$BS$831:$BS$835,0)),$BN868)</f>
        <v>0.4</v>
      </c>
      <c r="BP868" s="132" t="str">
        <f>INDEX('HCW + Staff Summary'!$E$7:$E$270,MATCH($B868,'HCW + Staff Summary'!$B$7:$B$270,0))</f>
        <v>Lower middle income</v>
      </c>
      <c r="BQ868" s="429">
        <f>INDEX('WB HCW &amp; Beds'!$BU$838:$BU$842,MATCH($BP868,'WB HCW &amp; Beds'!$BS$838:$BS$842,0))*100</f>
        <v>2.3800000000000003</v>
      </c>
    </row>
    <row r="869" spans="2:69" x14ac:dyDescent="0.75">
      <c r="B869" s="43" t="s">
        <v>187</v>
      </c>
      <c r="C869" s="43" t="s">
        <v>27</v>
      </c>
      <c r="D869" s="43" t="s">
        <v>632</v>
      </c>
      <c r="E869" s="43" t="s">
        <v>633</v>
      </c>
      <c r="F869" s="43">
        <v>2.0022659301757799</v>
      </c>
      <c r="G869" s="43"/>
      <c r="H869" s="43"/>
      <c r="I869" s="43"/>
      <c r="J869" s="43"/>
      <c r="K869" s="43"/>
      <c r="L869" s="43"/>
      <c r="M869" s="43"/>
      <c r="N869" s="43"/>
      <c r="O869" s="43"/>
      <c r="P869" s="43">
        <v>1.7515000104904199</v>
      </c>
      <c r="Q869" s="43"/>
      <c r="R869" s="43"/>
      <c r="S869" s="43"/>
      <c r="T869" s="43"/>
      <c r="U869" s="43">
        <v>2.4658999443054199</v>
      </c>
      <c r="V869" s="43"/>
      <c r="W869" s="43"/>
      <c r="X869" s="43"/>
      <c r="Y869" s="43"/>
      <c r="Z869" s="43"/>
      <c r="AA869" s="43"/>
      <c r="AB869" s="43"/>
      <c r="AC869" s="43"/>
      <c r="AD869" s="43"/>
      <c r="AE869" s="43"/>
      <c r="AF869" s="43"/>
      <c r="AG869" s="43"/>
      <c r="AH869" s="43"/>
      <c r="AI869" s="43">
        <v>2.5982999801635698</v>
      </c>
      <c r="AJ869" s="43">
        <v>2.5532999039000002</v>
      </c>
      <c r="AK869" s="43"/>
      <c r="AL869" s="43"/>
      <c r="AM869" s="43"/>
      <c r="AN869" s="43"/>
      <c r="AO869" s="43"/>
      <c r="AP869" s="43"/>
      <c r="AQ869" s="43"/>
      <c r="AR869" s="43"/>
      <c r="AS869" s="43"/>
      <c r="AT869" s="43"/>
      <c r="AU869" s="43"/>
      <c r="AV869" s="43"/>
      <c r="AW869" s="43"/>
      <c r="AX869" s="43"/>
      <c r="AY869" s="43"/>
      <c r="AZ869" s="43">
        <v>1.5</v>
      </c>
      <c r="BA869" s="43"/>
      <c r="BB869" s="43"/>
      <c r="BC869" s="43"/>
      <c r="BD869" s="43">
        <v>1.3</v>
      </c>
      <c r="BE869" s="43"/>
      <c r="BF869" s="43"/>
      <c r="BG869" s="43"/>
      <c r="BH869" s="43"/>
      <c r="BI869" s="43"/>
      <c r="BJ869" s="43"/>
      <c r="BK869" s="43"/>
      <c r="BL869" s="43"/>
      <c r="BM869" s="43"/>
      <c r="BN869" s="56">
        <f t="shared" si="25"/>
        <v>1.3</v>
      </c>
      <c r="BO869" s="428">
        <f>IF(BN869="No reported value",INDEX('WB HCW &amp; Beds'!$BU$831:$BU$835,MATCH($BP869,'WB HCW &amp; Beds'!$BS$831:$BS$835,0)),$BN869)</f>
        <v>1.3</v>
      </c>
      <c r="BP869" s="132" t="str">
        <f>INDEX('HCW + Staff Summary'!$E$7:$E$270,MATCH($B869,'HCW + Staff Summary'!$B$7:$B$270,0))</f>
        <v>Lower middle income</v>
      </c>
      <c r="BQ869" s="429">
        <f>INDEX('WB HCW &amp; Beds'!$BU$838:$BU$842,MATCH($BP869,'WB HCW &amp; Beds'!$BS$838:$BS$842,0))*100</f>
        <v>2.3800000000000003</v>
      </c>
    </row>
    <row r="870" spans="2:69" x14ac:dyDescent="0.75">
      <c r="B870" s="43" t="s">
        <v>355</v>
      </c>
      <c r="C870" s="43" t="s">
        <v>28</v>
      </c>
      <c r="D870" s="43" t="s">
        <v>632</v>
      </c>
      <c r="E870" s="43" t="s">
        <v>633</v>
      </c>
      <c r="F870" s="43">
        <v>5.6740365028381303</v>
      </c>
      <c r="G870" s="43"/>
      <c r="H870" s="43"/>
      <c r="I870" s="43"/>
      <c r="J870" s="43"/>
      <c r="K870" s="43"/>
      <c r="L870" s="43"/>
      <c r="M870" s="43"/>
      <c r="N870" s="43"/>
      <c r="O870" s="43"/>
      <c r="P870" s="43">
        <v>3.3234000205993701</v>
      </c>
      <c r="Q870" s="43"/>
      <c r="R870" s="43"/>
      <c r="S870" s="43"/>
      <c r="T870" s="43"/>
      <c r="U870" s="43">
        <v>3.2253000736236599</v>
      </c>
      <c r="V870" s="43"/>
      <c r="W870" s="43"/>
      <c r="X870" s="43"/>
      <c r="Y870" s="43"/>
      <c r="Z870" s="43"/>
      <c r="AA870" s="43"/>
      <c r="AB870" s="43"/>
      <c r="AC870" s="43"/>
      <c r="AD870" s="43"/>
      <c r="AE870" s="43"/>
      <c r="AF870" s="43"/>
      <c r="AG870" s="43">
        <v>1.59309995174408</v>
      </c>
      <c r="AH870" s="43"/>
      <c r="AI870" s="43"/>
      <c r="AJ870" s="43">
        <v>1.4268000126</v>
      </c>
      <c r="AK870" s="43"/>
      <c r="AL870" s="43"/>
      <c r="AM870" s="43"/>
      <c r="AN870" s="43"/>
      <c r="AO870" s="43"/>
      <c r="AP870" s="43"/>
      <c r="AQ870" s="43"/>
      <c r="AR870" s="43"/>
      <c r="AS870" s="43"/>
      <c r="AT870" s="43"/>
      <c r="AU870" s="43"/>
      <c r="AV870" s="43"/>
      <c r="AW870" s="43"/>
      <c r="AX870" s="43"/>
      <c r="AY870" s="43">
        <v>1.1000000000000001</v>
      </c>
      <c r="AZ870" s="43">
        <v>0.8</v>
      </c>
      <c r="BA870" s="43"/>
      <c r="BB870" s="43"/>
      <c r="BC870" s="43"/>
      <c r="BD870" s="43"/>
      <c r="BE870" s="43"/>
      <c r="BF870" s="43"/>
      <c r="BG870" s="43"/>
      <c r="BH870" s="43"/>
      <c r="BI870" s="43"/>
      <c r="BJ870" s="43"/>
      <c r="BK870" s="43"/>
      <c r="BL870" s="43"/>
      <c r="BM870" s="43"/>
      <c r="BN870" s="56">
        <f t="shared" si="25"/>
        <v>0.8</v>
      </c>
      <c r="BO870" s="428">
        <f>IF(BN870="No reported value",INDEX('WB HCW &amp; Beds'!$BU$831:$BU$835,MATCH($BP870,'WB HCW &amp; Beds'!$BS$831:$BS$835,0)),$BN870)</f>
        <v>0.8</v>
      </c>
      <c r="BP870" s="132" t="str">
        <f>INDEX('HCW + Staff Summary'!$E$7:$E$270,MATCH($B870,'HCW + Staff Summary'!$B$7:$B$270,0))</f>
        <v>Low income</v>
      </c>
      <c r="BQ870" s="429">
        <f>INDEX('WB HCW &amp; Beds'!$BU$838:$BU$842,MATCH($BP870,'WB HCW &amp; Beds'!$BS$838:$BS$842,0))*100</f>
        <v>1.63</v>
      </c>
    </row>
    <row r="871" spans="2:69" x14ac:dyDescent="0.75">
      <c r="B871" s="43" t="s">
        <v>356</v>
      </c>
      <c r="C871" s="43" t="s">
        <v>29</v>
      </c>
      <c r="D871" s="43" t="s">
        <v>632</v>
      </c>
      <c r="E871" s="43" t="s">
        <v>633</v>
      </c>
      <c r="F871" s="43">
        <v>3.7570850849151598</v>
      </c>
      <c r="G871" s="43"/>
      <c r="H871" s="43"/>
      <c r="I871" s="43"/>
      <c r="J871" s="43"/>
      <c r="K871" s="43"/>
      <c r="L871" s="43"/>
      <c r="M871" s="43"/>
      <c r="N871" s="43"/>
      <c r="O871" s="43"/>
      <c r="P871" s="43">
        <v>4.3871998786926296</v>
      </c>
      <c r="Q871" s="43"/>
      <c r="R871" s="43"/>
      <c r="S871" s="43"/>
      <c r="T871" s="43"/>
      <c r="U871" s="43"/>
      <c r="V871" s="43"/>
      <c r="W871" s="43"/>
      <c r="X871" s="43"/>
      <c r="Y871" s="43"/>
      <c r="Z871" s="43"/>
      <c r="AA871" s="43"/>
      <c r="AB871" s="43"/>
      <c r="AC871" s="43"/>
      <c r="AD871" s="43"/>
      <c r="AE871" s="43"/>
      <c r="AF871" s="43"/>
      <c r="AG871" s="43"/>
      <c r="AH871" s="43"/>
      <c r="AI871" s="43"/>
      <c r="AJ871" s="43">
        <v>3.3499999046000002</v>
      </c>
      <c r="AK871" s="43"/>
      <c r="AL871" s="43"/>
      <c r="AM871" s="43"/>
      <c r="AN871" s="43"/>
      <c r="AO871" s="43"/>
      <c r="AP871" s="43"/>
      <c r="AQ871" s="43"/>
      <c r="AR871" s="43"/>
      <c r="AS871" s="43"/>
      <c r="AT871" s="43"/>
      <c r="AU871" s="43"/>
      <c r="AV871" s="43"/>
      <c r="AW871" s="43"/>
      <c r="AX871" s="43"/>
      <c r="AY871" s="43">
        <v>1.6</v>
      </c>
      <c r="AZ871" s="43"/>
      <c r="BA871" s="43"/>
      <c r="BB871" s="43"/>
      <c r="BC871" s="43"/>
      <c r="BD871" s="43"/>
      <c r="BE871" s="43"/>
      <c r="BF871" s="43"/>
      <c r="BG871" s="43"/>
      <c r="BH871" s="43"/>
      <c r="BI871" s="43"/>
      <c r="BJ871" s="43"/>
      <c r="BK871" s="43"/>
      <c r="BL871" s="43"/>
      <c r="BM871" s="43"/>
      <c r="BN871" s="56">
        <f t="shared" si="25"/>
        <v>1.6</v>
      </c>
      <c r="BO871" s="428">
        <f>IF(BN871="No reported value",INDEX('WB HCW &amp; Beds'!$BU$831:$BU$835,MATCH($BP871,'WB HCW &amp; Beds'!$BS$831:$BS$835,0)),$BN871)</f>
        <v>1.6</v>
      </c>
      <c r="BP871" s="132" t="str">
        <f>INDEX('HCW + Staff Summary'!$E$7:$E$270,MATCH($B871,'HCW + Staff Summary'!$B$7:$B$270,0))</f>
        <v>Lower middle income</v>
      </c>
      <c r="BQ871" s="429">
        <f>INDEX('WB HCW &amp; Beds'!$BU$838:$BU$842,MATCH($BP871,'WB HCW &amp; Beds'!$BS$838:$BS$842,0))*100</f>
        <v>2.3800000000000003</v>
      </c>
    </row>
    <row r="872" spans="2:69" x14ac:dyDescent="0.75">
      <c r="B872" s="43" t="s">
        <v>353</v>
      </c>
      <c r="C872" s="43" t="s">
        <v>354</v>
      </c>
      <c r="D872" s="43" t="s">
        <v>632</v>
      </c>
      <c r="E872" s="43" t="s">
        <v>633</v>
      </c>
      <c r="F872" s="43">
        <v>2.5755472183227499</v>
      </c>
      <c r="G872" s="43"/>
      <c r="H872" s="43"/>
      <c r="I872" s="43"/>
      <c r="J872" s="43"/>
      <c r="K872" s="43"/>
      <c r="L872" s="43"/>
      <c r="M872" s="43"/>
      <c r="N872" s="43"/>
      <c r="O872" s="43"/>
      <c r="P872" s="43">
        <v>2.09730005264282</v>
      </c>
      <c r="Q872" s="43"/>
      <c r="R872" s="43"/>
      <c r="S872" s="43"/>
      <c r="T872" s="43"/>
      <c r="U872" s="43"/>
      <c r="V872" s="43"/>
      <c r="W872" s="43"/>
      <c r="X872" s="43"/>
      <c r="Y872" s="43"/>
      <c r="Z872" s="43">
        <v>1.5641000270843499</v>
      </c>
      <c r="AA872" s="43"/>
      <c r="AB872" s="43"/>
      <c r="AC872" s="43"/>
      <c r="AD872" s="43"/>
      <c r="AE872" s="43"/>
      <c r="AF872" s="43"/>
      <c r="AG872" s="43"/>
      <c r="AH872" s="43"/>
      <c r="AI872" s="43">
        <v>1.2510999441146899</v>
      </c>
      <c r="AJ872" s="43">
        <v>1.3667000532</v>
      </c>
      <c r="AK872" s="43"/>
      <c r="AL872" s="43"/>
      <c r="AM872" s="43">
        <v>1.2999999523000001</v>
      </c>
      <c r="AN872" s="43"/>
      <c r="AO872" s="43"/>
      <c r="AP872" s="43">
        <v>1.4600000381</v>
      </c>
      <c r="AQ872" s="43"/>
      <c r="AR872" s="43"/>
      <c r="AS872" s="43"/>
      <c r="AT872" s="43"/>
      <c r="AU872" s="43"/>
      <c r="AV872" s="43"/>
      <c r="AW872" s="43">
        <v>1.1000000238000001</v>
      </c>
      <c r="AX872" s="43">
        <v>1.2</v>
      </c>
      <c r="AY872" s="43"/>
      <c r="AZ872" s="43">
        <v>1</v>
      </c>
      <c r="BA872" s="43">
        <v>1</v>
      </c>
      <c r="BB872" s="43"/>
      <c r="BC872" s="43"/>
      <c r="BD872" s="43"/>
      <c r="BE872" s="43">
        <v>1.4</v>
      </c>
      <c r="BF872" s="43">
        <v>1.5</v>
      </c>
      <c r="BG872" s="43">
        <v>1.5</v>
      </c>
      <c r="BH872" s="43">
        <v>1.5</v>
      </c>
      <c r="BI872" s="43"/>
      <c r="BJ872" s="43"/>
      <c r="BK872" s="43"/>
      <c r="BL872" s="43"/>
      <c r="BM872" s="43"/>
      <c r="BN872" s="56">
        <f t="shared" si="25"/>
        <v>1.5</v>
      </c>
      <c r="BO872" s="428">
        <f>IF(BN872="No reported value",INDEX('WB HCW &amp; Beds'!$BU$831:$BU$835,MATCH($BP872,'WB HCW &amp; Beds'!$BS$831:$BS$835,0)),$BN872)</f>
        <v>1.5</v>
      </c>
      <c r="BP872" s="132" t="str">
        <f>INDEX('HCW + Staff Summary'!$E$7:$E$270,MATCH($B872,'HCW + Staff Summary'!$B$7:$B$270,0))</f>
        <v>Upper middle income</v>
      </c>
      <c r="BQ872" s="429">
        <f>INDEX('WB HCW &amp; Beds'!$BU$838:$BU$842,MATCH($BP872,'WB HCW &amp; Beds'!$BS$838:$BS$842,0))*100</f>
        <v>3.32</v>
      </c>
    </row>
    <row r="873" spans="2:69" x14ac:dyDescent="0.75">
      <c r="B873" s="43" t="s">
        <v>190</v>
      </c>
      <c r="C873" s="43" t="s">
        <v>157</v>
      </c>
      <c r="D873" s="43" t="s">
        <v>632</v>
      </c>
      <c r="E873" s="43" t="s">
        <v>633</v>
      </c>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v>3.12490010261536</v>
      </c>
      <c r="AJ873" s="43">
        <v>2.7616000175000002</v>
      </c>
      <c r="AK873" s="43"/>
      <c r="AL873" s="43"/>
      <c r="AM873" s="43"/>
      <c r="AN873" s="43"/>
      <c r="AO873" s="43"/>
      <c r="AP873" s="43"/>
      <c r="AQ873" s="43"/>
      <c r="AR873" s="43"/>
      <c r="AS873" s="43"/>
      <c r="AT873" s="43"/>
      <c r="AU873" s="43"/>
      <c r="AV873" s="43"/>
      <c r="AW873" s="43"/>
      <c r="AX873" s="43"/>
      <c r="AY873" s="43"/>
      <c r="AZ873" s="43">
        <v>2.2000000000000002</v>
      </c>
      <c r="BA873" s="43"/>
      <c r="BB873" s="43"/>
      <c r="BC873" s="43"/>
      <c r="BD873" s="43">
        <v>2.2000000000000002</v>
      </c>
      <c r="BE873" s="43"/>
      <c r="BF873" s="43"/>
      <c r="BG873" s="43"/>
      <c r="BH873" s="43"/>
      <c r="BI873" s="43"/>
      <c r="BJ873" s="43"/>
      <c r="BK873" s="43"/>
      <c r="BL873" s="43"/>
      <c r="BM873" s="43"/>
      <c r="BN873" s="56">
        <f t="shared" si="25"/>
        <v>2.2000000000000002</v>
      </c>
      <c r="BO873" s="428">
        <f>IF(BN873="No reported value",INDEX('WB HCW &amp; Beds'!$BU$831:$BU$835,MATCH($BP873,'WB HCW &amp; Beds'!$BS$831:$BS$835,0)),$BN873)</f>
        <v>2.2000000000000002</v>
      </c>
      <c r="BP873" s="132" t="str">
        <f>INDEX('HCW + Staff Summary'!$E$7:$E$270,MATCH($B873,'HCW + Staff Summary'!$B$7:$B$270,0))</f>
        <v>Lower middle income</v>
      </c>
      <c r="BQ873" s="429">
        <f>INDEX('WB HCW &amp; Beds'!$BU$838:$BU$842,MATCH($BP873,'WB HCW &amp; Beds'!$BS$838:$BS$842,0))*100</f>
        <v>2.3800000000000003</v>
      </c>
    </row>
    <row r="874" spans="2:69" x14ac:dyDescent="0.75">
      <c r="B874" s="43" t="s">
        <v>342</v>
      </c>
      <c r="C874" s="43" t="s">
        <v>30</v>
      </c>
      <c r="D874" s="43" t="s">
        <v>632</v>
      </c>
      <c r="E874" s="43" t="s">
        <v>633</v>
      </c>
      <c r="F874" s="43"/>
      <c r="G874" s="43"/>
      <c r="H874" s="43"/>
      <c r="I874" s="43"/>
      <c r="J874" s="43"/>
      <c r="K874" s="43"/>
      <c r="L874" s="43"/>
      <c r="M874" s="43"/>
      <c r="N874" s="43"/>
      <c r="O874" s="43"/>
      <c r="P874" s="43">
        <v>1.4082000255584699</v>
      </c>
      <c r="Q874" s="43"/>
      <c r="R874" s="43"/>
      <c r="S874" s="43"/>
      <c r="T874" s="43"/>
      <c r="U874" s="43"/>
      <c r="V874" s="43"/>
      <c r="W874" s="43"/>
      <c r="X874" s="43"/>
      <c r="Y874" s="43"/>
      <c r="Z874" s="43">
        <v>2.1868999004364</v>
      </c>
      <c r="AA874" s="43"/>
      <c r="AB874" s="43"/>
      <c r="AC874" s="43"/>
      <c r="AD874" s="43"/>
      <c r="AE874" s="43"/>
      <c r="AF874" s="43"/>
      <c r="AG874" s="43"/>
      <c r="AH874" s="43">
        <v>1.59769999980927</v>
      </c>
      <c r="AI874" s="43"/>
      <c r="AJ874" s="43"/>
      <c r="AK874" s="43"/>
      <c r="AL874" s="43">
        <v>1.5830999613000001</v>
      </c>
      <c r="AM874" s="43"/>
      <c r="AN874" s="43"/>
      <c r="AO874" s="43"/>
      <c r="AP874" s="43"/>
      <c r="AQ874" s="43"/>
      <c r="AR874" s="43"/>
      <c r="AS874" s="43"/>
      <c r="AT874" s="43"/>
      <c r="AU874" s="43"/>
      <c r="AV874" s="43"/>
      <c r="AW874" s="43"/>
      <c r="AX874" s="43"/>
      <c r="AY874" s="43">
        <v>2.1</v>
      </c>
      <c r="AZ874" s="43"/>
      <c r="BA874" s="43"/>
      <c r="BB874" s="43">
        <v>2.1</v>
      </c>
      <c r="BC874" s="43"/>
      <c r="BD874" s="43">
        <v>2.1</v>
      </c>
      <c r="BE874" s="43"/>
      <c r="BF874" s="43"/>
      <c r="BG874" s="43"/>
      <c r="BH874" s="43"/>
      <c r="BI874" s="43"/>
      <c r="BJ874" s="43"/>
      <c r="BK874" s="43"/>
      <c r="BL874" s="43"/>
      <c r="BM874" s="43"/>
      <c r="BN874" s="56">
        <f t="shared" si="25"/>
        <v>2.1</v>
      </c>
      <c r="BO874" s="428">
        <f>IF(BN874="No reported value",INDEX('WB HCW &amp; Beds'!$BU$831:$BU$835,MATCH($BP874,'WB HCW &amp; Beds'!$BS$831:$BS$835,0)),$BN874)</f>
        <v>2.1</v>
      </c>
      <c r="BP874" s="132" t="str">
        <f>INDEX('HCW + Staff Summary'!$E$7:$E$270,MATCH($B874,'HCW + Staff Summary'!$B$7:$B$270,0))</f>
        <v>Lower middle income</v>
      </c>
      <c r="BQ874" s="429">
        <f>INDEX('WB HCW &amp; Beds'!$BU$838:$BU$842,MATCH($BP874,'WB HCW &amp; Beds'!$BS$838:$BS$842,0))*100</f>
        <v>2.3800000000000003</v>
      </c>
    </row>
    <row r="875" spans="2:69" x14ac:dyDescent="0.75">
      <c r="B875" s="43" t="s">
        <v>357</v>
      </c>
      <c r="C875" s="43" t="s">
        <v>31</v>
      </c>
      <c r="D875" s="43" t="s">
        <v>632</v>
      </c>
      <c r="E875" s="43" t="s">
        <v>633</v>
      </c>
      <c r="F875" s="43">
        <v>4.7907772064209002</v>
      </c>
      <c r="G875" s="43"/>
      <c r="H875" s="43"/>
      <c r="I875" s="43"/>
      <c r="J875" s="43"/>
      <c r="K875" s="43"/>
      <c r="L875" s="43"/>
      <c r="M875" s="43"/>
      <c r="N875" s="43"/>
      <c r="O875" s="43"/>
      <c r="P875" s="43">
        <v>3.9395999908447301</v>
      </c>
      <c r="Q875" s="43"/>
      <c r="R875" s="43"/>
      <c r="S875" s="43"/>
      <c r="T875" s="43"/>
      <c r="U875" s="43"/>
      <c r="V875" s="43"/>
      <c r="W875" s="43"/>
      <c r="X875" s="43"/>
      <c r="Y875" s="43"/>
      <c r="Z875" s="43">
        <v>3.3143999576568599</v>
      </c>
      <c r="AA875" s="43"/>
      <c r="AB875" s="43"/>
      <c r="AC875" s="43"/>
      <c r="AD875" s="43"/>
      <c r="AE875" s="43"/>
      <c r="AF875" s="43"/>
      <c r="AG875" s="43"/>
      <c r="AH875" s="43"/>
      <c r="AI875" s="43"/>
      <c r="AJ875" s="43">
        <v>2.5</v>
      </c>
      <c r="AK875" s="43"/>
      <c r="AL875" s="43"/>
      <c r="AM875" s="43"/>
      <c r="AN875" s="43">
        <v>1.793900013</v>
      </c>
      <c r="AO875" s="43">
        <v>1.7799999714000001</v>
      </c>
      <c r="AP875" s="43">
        <v>1.75</v>
      </c>
      <c r="AQ875" s="43">
        <v>1.7100000381</v>
      </c>
      <c r="AR875" s="43">
        <v>1.6799999475</v>
      </c>
      <c r="AS875" s="43"/>
      <c r="AT875" s="43"/>
      <c r="AU875" s="43"/>
      <c r="AV875" s="43"/>
      <c r="AW875" s="43">
        <v>1.3999999761999999</v>
      </c>
      <c r="AX875" s="43">
        <v>1.4</v>
      </c>
      <c r="AY875" s="43"/>
      <c r="AZ875" s="43">
        <v>1.3</v>
      </c>
      <c r="BA875" s="43">
        <v>1.3</v>
      </c>
      <c r="BB875" s="43">
        <v>1.2</v>
      </c>
      <c r="BC875" s="43"/>
      <c r="BD875" s="43">
        <v>1.2</v>
      </c>
      <c r="BE875" s="43">
        <v>1.2</v>
      </c>
      <c r="BF875" s="43">
        <v>1.2</v>
      </c>
      <c r="BG875" s="43">
        <v>1.1000000000000001</v>
      </c>
      <c r="BH875" s="43">
        <v>1.1000000000000001</v>
      </c>
      <c r="BI875" s="43">
        <v>1.2</v>
      </c>
      <c r="BJ875" s="43"/>
      <c r="BK875" s="43"/>
      <c r="BL875" s="43"/>
      <c r="BM875" s="43"/>
      <c r="BN875" s="56">
        <f t="shared" si="25"/>
        <v>1.2</v>
      </c>
      <c r="BO875" s="428">
        <f>IF(BN875="No reported value",INDEX('WB HCW &amp; Beds'!$BU$831:$BU$835,MATCH($BP875,'WB HCW &amp; Beds'!$BS$831:$BS$835,0)),$BN875)</f>
        <v>1.2</v>
      </c>
      <c r="BP875" s="132" t="str">
        <f>INDEX('HCW + Staff Summary'!$E$7:$E$270,MATCH($B875,'HCW + Staff Summary'!$B$7:$B$270,0))</f>
        <v>Upper middle income</v>
      </c>
      <c r="BQ875" s="429">
        <f>INDEX('WB HCW &amp; Beds'!$BU$838:$BU$842,MATCH($BP875,'WB HCW &amp; Beds'!$BS$838:$BS$842,0))*100</f>
        <v>3.32</v>
      </c>
    </row>
    <row r="876" spans="2:69" x14ac:dyDescent="0.75">
      <c r="B876" s="43" t="s">
        <v>344</v>
      </c>
      <c r="C876" s="43" t="s">
        <v>345</v>
      </c>
      <c r="D876" s="43" t="s">
        <v>632</v>
      </c>
      <c r="E876" s="43" t="s">
        <v>633</v>
      </c>
      <c r="F876" s="43">
        <v>5.0542402852015282</v>
      </c>
      <c r="G876" s="43"/>
      <c r="H876" s="43"/>
      <c r="I876" s="43"/>
      <c r="J876" s="43"/>
      <c r="K876" s="43"/>
      <c r="L876" s="43"/>
      <c r="M876" s="43"/>
      <c r="N876" s="43"/>
      <c r="O876" s="43"/>
      <c r="P876" s="43">
        <v>4.9959717435372122</v>
      </c>
      <c r="Q876" s="43"/>
      <c r="R876" s="43"/>
      <c r="S876" s="43"/>
      <c r="T876" s="43"/>
      <c r="U876" s="43">
        <v>4.9904186611762009</v>
      </c>
      <c r="V876" s="43"/>
      <c r="W876" s="43"/>
      <c r="X876" s="43"/>
      <c r="Y876" s="43"/>
      <c r="Z876" s="43"/>
      <c r="AA876" s="43"/>
      <c r="AB876" s="43"/>
      <c r="AC876" s="43"/>
      <c r="AD876" s="43"/>
      <c r="AE876" s="43"/>
      <c r="AF876" s="43"/>
      <c r="AG876" s="43"/>
      <c r="AH876" s="43"/>
      <c r="AI876" s="43"/>
      <c r="AJ876" s="43">
        <v>3.6200715680923494</v>
      </c>
      <c r="AK876" s="43"/>
      <c r="AL876" s="43"/>
      <c r="AM876" s="43">
        <v>2.821147878470105</v>
      </c>
      <c r="AN876" s="43"/>
      <c r="AO876" s="43">
        <v>3.0915157625909475</v>
      </c>
      <c r="AP876" s="43">
        <v>3.4794432509606446</v>
      </c>
      <c r="AQ876" s="43"/>
      <c r="AR876" s="43"/>
      <c r="AS876" s="43"/>
      <c r="AT876" s="43"/>
      <c r="AU876" s="43">
        <v>2.492976553433266</v>
      </c>
      <c r="AV876" s="43"/>
      <c r="AW876" s="43">
        <v>2.5315270020133447</v>
      </c>
      <c r="AX876" s="43"/>
      <c r="AY876" s="43">
        <v>2.4425735934444379</v>
      </c>
      <c r="AZ876" s="43">
        <v>2.5565645478298715</v>
      </c>
      <c r="BA876" s="43">
        <v>2.1822798207752832</v>
      </c>
      <c r="BB876" s="43"/>
      <c r="BC876" s="43">
        <v>2.3005340343089831</v>
      </c>
      <c r="BD876" s="43">
        <v>2.3247974745989368</v>
      </c>
      <c r="BE876" s="43"/>
      <c r="BF876" s="43">
        <v>2.3547239173376635</v>
      </c>
      <c r="BG876" s="43">
        <v>2.2672339247277939</v>
      </c>
      <c r="BH876" s="43"/>
      <c r="BI876" s="43"/>
      <c r="BJ876" s="43"/>
      <c r="BK876" s="43"/>
      <c r="BL876" s="43"/>
      <c r="BM876" s="43"/>
      <c r="BN876" s="56">
        <f t="shared" si="25"/>
        <v>2.2672339247277939</v>
      </c>
      <c r="BO876" s="428">
        <f>IF(BN876="No reported value",INDEX('WB HCW &amp; Beds'!$BU$831:$BU$835,MATCH($BP876,'WB HCW &amp; Beds'!$BS$831:$BS$835,0)),$BN876)</f>
        <v>2.2672339247277939</v>
      </c>
      <c r="BP876" s="132" t="str">
        <f>INDEX('HCW + Staff Summary'!$E$7:$E$270,MATCH($B876,'HCW + Staff Summary'!$B$7:$B$270,0))</f>
        <v>OUT</v>
      </c>
      <c r="BQ876" s="429">
        <f>INDEX('WB HCW &amp; Beds'!$BU$838:$BU$842,MATCH($BP876,'WB HCW &amp; Beds'!$BS$838:$BS$842,0))*100</f>
        <v>2.7250000000000001</v>
      </c>
    </row>
    <row r="877" spans="2:69" x14ac:dyDescent="0.75">
      <c r="B877" s="43" t="s">
        <v>221</v>
      </c>
      <c r="C877" s="43" t="s">
        <v>161</v>
      </c>
      <c r="D877" s="43" t="s">
        <v>632</v>
      </c>
      <c r="E877" s="43" t="s">
        <v>633</v>
      </c>
      <c r="F877" s="43">
        <v>4.3664994239807102</v>
      </c>
      <c r="G877" s="43"/>
      <c r="H877" s="43"/>
      <c r="I877" s="43"/>
      <c r="J877" s="43"/>
      <c r="K877" s="43"/>
      <c r="L877" s="43"/>
      <c r="M877" s="43"/>
      <c r="N877" s="43"/>
      <c r="O877" s="43"/>
      <c r="P877" s="43">
        <v>4.6324000358581499</v>
      </c>
      <c r="Q877" s="43"/>
      <c r="R877" s="43"/>
      <c r="S877" s="43"/>
      <c r="T877" s="43"/>
      <c r="U877" s="43"/>
      <c r="V877" s="43"/>
      <c r="W877" s="43"/>
      <c r="X877" s="43"/>
      <c r="Y877" s="43"/>
      <c r="Z877" s="43"/>
      <c r="AA877" s="43"/>
      <c r="AB877" s="43"/>
      <c r="AC877" s="43"/>
      <c r="AD877" s="43"/>
      <c r="AE877" s="43"/>
      <c r="AF877" s="43"/>
      <c r="AG877" s="43"/>
      <c r="AH877" s="43"/>
      <c r="AI877" s="43"/>
      <c r="AJ877" s="43">
        <v>5.4211997986</v>
      </c>
      <c r="AK877" s="43"/>
      <c r="AL877" s="43"/>
      <c r="AM877" s="43">
        <v>6</v>
      </c>
      <c r="AN877" s="43"/>
      <c r="AO877" s="43"/>
      <c r="AP877" s="43">
        <v>5.1300001143999996</v>
      </c>
      <c r="AQ877" s="43"/>
      <c r="AR877" s="43"/>
      <c r="AS877" s="43"/>
      <c r="AT877" s="43"/>
      <c r="AU877" s="43"/>
      <c r="AV877" s="43"/>
      <c r="AW877" s="43">
        <v>4.9000000954000003</v>
      </c>
      <c r="AX877" s="43"/>
      <c r="AY877" s="43">
        <v>4.9000000000000004</v>
      </c>
      <c r="AZ877" s="43">
        <v>4.9000000000000004</v>
      </c>
      <c r="BA877" s="43">
        <v>4.9000000000000004</v>
      </c>
      <c r="BB877" s="43">
        <v>6</v>
      </c>
      <c r="BC877" s="43">
        <v>5.9</v>
      </c>
      <c r="BD877" s="43">
        <v>5.9</v>
      </c>
      <c r="BE877" s="43">
        <v>5.0999999999999996</v>
      </c>
      <c r="BF877" s="43">
        <v>5.3</v>
      </c>
      <c r="BG877" s="43">
        <v>5.0999999999999996</v>
      </c>
      <c r="BH877" s="43">
        <v>5.2</v>
      </c>
      <c r="BI877" s="43"/>
      <c r="BJ877" s="43"/>
      <c r="BK877" s="43"/>
      <c r="BL877" s="43"/>
      <c r="BM877" s="43"/>
      <c r="BN877" s="56">
        <f t="shared" si="25"/>
        <v>5.2</v>
      </c>
      <c r="BO877" s="428">
        <f>IF(BN877="No reported value",INDEX('WB HCW &amp; Beds'!$BU$831:$BU$835,MATCH($BP877,'WB HCW &amp; Beds'!$BS$831:$BS$835,0)),$BN877)</f>
        <v>5.2</v>
      </c>
      <c r="BP877" s="132" t="str">
        <f>INDEX('HCW + Staff Summary'!$E$7:$E$270,MATCH($B877,'HCW + Staff Summary'!$B$7:$B$270,0))</f>
        <v>Upper middle income</v>
      </c>
      <c r="BQ877" s="429">
        <f>INDEX('WB HCW &amp; Beds'!$BU$838:$BU$842,MATCH($BP877,'WB HCW &amp; Beds'!$BS$838:$BS$842,0))*100</f>
        <v>3.32</v>
      </c>
    </row>
    <row r="878" spans="2:69" x14ac:dyDescent="0.75">
      <c r="B878" s="43" t="s">
        <v>360</v>
      </c>
      <c r="C878" s="43" t="s">
        <v>361</v>
      </c>
      <c r="D878" s="43" t="s">
        <v>632</v>
      </c>
      <c r="E878" s="43" t="s">
        <v>633</v>
      </c>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56" t="str">
        <f t="shared" si="25"/>
        <v>No reported value</v>
      </c>
      <c r="BO878" s="428">
        <f>IF(BN878="No reported value",INDEX('WB HCW &amp; Beds'!$BU$831:$BU$835,MATCH($BP878,'WB HCW &amp; Beds'!$BS$831:$BS$835,0)),$BN878)</f>
        <v>4.82</v>
      </c>
      <c r="BP878" s="132" t="str">
        <f>INDEX('HCW + Staff Summary'!$E$7:$E$270,MATCH($B878,'HCW + Staff Summary'!$B$7:$B$270,0))</f>
        <v>High income</v>
      </c>
      <c r="BQ878" s="429">
        <f>INDEX('WB HCW &amp; Beds'!$BU$838:$BU$842,MATCH($BP878,'WB HCW &amp; Beds'!$BS$838:$BS$842,0))*100</f>
        <v>3.5700000000000003</v>
      </c>
    </row>
    <row r="879" spans="2:69" x14ac:dyDescent="0.75">
      <c r="B879" s="43" t="s">
        <v>346</v>
      </c>
      <c r="C879" s="43" t="s">
        <v>347</v>
      </c>
      <c r="D879" s="43" t="s">
        <v>632</v>
      </c>
      <c r="E879" s="43" t="s">
        <v>633</v>
      </c>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v>3</v>
      </c>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56">
        <f t="shared" si="25"/>
        <v>3</v>
      </c>
      <c r="BO879" s="428">
        <f>IF(BN879="No reported value",INDEX('WB HCW &amp; Beds'!$BU$831:$BU$835,MATCH($BP879,'WB HCW &amp; Beds'!$BS$831:$BS$835,0)),$BN879)</f>
        <v>3</v>
      </c>
      <c r="BP879" s="132" t="str">
        <f>INDEX('HCW + Staff Summary'!$E$7:$E$270,MATCH($B879,'HCW + Staff Summary'!$B$7:$B$270,0))</f>
        <v>High income</v>
      </c>
      <c r="BQ879" s="429">
        <f>INDEX('WB HCW &amp; Beds'!$BU$838:$BU$842,MATCH($BP879,'WB HCW &amp; Beds'!$BS$838:$BS$842,0))*100</f>
        <v>3.5700000000000003</v>
      </c>
    </row>
    <row r="880" spans="2:69" x14ac:dyDescent="0.75">
      <c r="B880" s="43" t="s">
        <v>362</v>
      </c>
      <c r="C880" s="43" t="s">
        <v>32</v>
      </c>
      <c r="D880" s="43" t="s">
        <v>632</v>
      </c>
      <c r="E880" s="43" t="s">
        <v>633</v>
      </c>
      <c r="F880" s="43">
        <v>4.52356004714966</v>
      </c>
      <c r="G880" s="43"/>
      <c r="H880" s="43"/>
      <c r="I880" s="43"/>
      <c r="J880" s="43"/>
      <c r="K880" s="43"/>
      <c r="L880" s="43"/>
      <c r="M880" s="43"/>
      <c r="N880" s="43"/>
      <c r="O880" s="43"/>
      <c r="P880" s="43">
        <v>5.3821001052856401</v>
      </c>
      <c r="Q880" s="43"/>
      <c r="R880" s="43"/>
      <c r="S880" s="43"/>
      <c r="T880" s="43"/>
      <c r="U880" s="43"/>
      <c r="V880" s="43"/>
      <c r="W880" s="43"/>
      <c r="X880" s="43"/>
      <c r="Y880" s="43"/>
      <c r="Z880" s="43">
        <v>5.6529998779296902</v>
      </c>
      <c r="AA880" s="43">
        <v>5.7200999259948704</v>
      </c>
      <c r="AB880" s="43"/>
      <c r="AC880" s="43"/>
      <c r="AD880" s="43"/>
      <c r="AE880" s="43"/>
      <c r="AF880" s="43"/>
      <c r="AG880" s="43"/>
      <c r="AH880" s="43"/>
      <c r="AI880" s="43">
        <v>5.0864000320434597</v>
      </c>
      <c r="AJ880" s="43"/>
      <c r="AK880" s="43"/>
      <c r="AL880" s="43"/>
      <c r="AM880" s="43"/>
      <c r="AN880" s="43"/>
      <c r="AO880" s="43"/>
      <c r="AP880" s="43"/>
      <c r="AQ880" s="43"/>
      <c r="AR880" s="43"/>
      <c r="AS880" s="43"/>
      <c r="AT880" s="43">
        <v>4.5</v>
      </c>
      <c r="AU880" s="43">
        <v>4.4000000000000004</v>
      </c>
      <c r="AV880" s="43">
        <v>4.4000000000000004</v>
      </c>
      <c r="AW880" s="43">
        <v>4.3</v>
      </c>
      <c r="AX880" s="43">
        <v>4.2</v>
      </c>
      <c r="AY880" s="43">
        <v>3.8</v>
      </c>
      <c r="AZ880" s="43">
        <v>3.7</v>
      </c>
      <c r="BA880" s="43">
        <v>3.8</v>
      </c>
      <c r="BB880" s="43">
        <v>3.8</v>
      </c>
      <c r="BC880" s="43">
        <v>3.7</v>
      </c>
      <c r="BD880" s="43">
        <v>3.5</v>
      </c>
      <c r="BE880" s="43">
        <v>3.5</v>
      </c>
      <c r="BF880" s="43">
        <v>3.5</v>
      </c>
      <c r="BG880" s="43">
        <v>3.4</v>
      </c>
      <c r="BH880" s="43"/>
      <c r="BI880" s="43"/>
      <c r="BJ880" s="43"/>
      <c r="BK880" s="43"/>
      <c r="BL880" s="43"/>
      <c r="BM880" s="43"/>
      <c r="BN880" s="56">
        <f t="shared" si="25"/>
        <v>3.4</v>
      </c>
      <c r="BO880" s="428">
        <f>IF(BN880="No reported value",INDEX('WB HCW &amp; Beds'!$BU$831:$BU$835,MATCH($BP880,'WB HCW &amp; Beds'!$BS$831:$BS$835,0)),$BN880)</f>
        <v>3.4</v>
      </c>
      <c r="BP880" s="132" t="str">
        <f>INDEX('HCW + Staff Summary'!$E$7:$E$270,MATCH($B880,'HCW + Staff Summary'!$B$7:$B$270,0))</f>
        <v>High income</v>
      </c>
      <c r="BQ880" s="429">
        <f>INDEX('WB HCW &amp; Beds'!$BU$838:$BU$842,MATCH($BP880,'WB HCW &amp; Beds'!$BS$838:$BS$842,0))*100</f>
        <v>3.5700000000000003</v>
      </c>
    </row>
    <row r="881" spans="2:69" x14ac:dyDescent="0.75">
      <c r="B881" s="43" t="s">
        <v>363</v>
      </c>
      <c r="C881" s="43" t="s">
        <v>33</v>
      </c>
      <c r="D881" s="43" t="s">
        <v>632</v>
      </c>
      <c r="E881" s="43" t="s">
        <v>633</v>
      </c>
      <c r="F881" s="43"/>
      <c r="G881" s="43"/>
      <c r="H881" s="43"/>
      <c r="I881" s="43"/>
      <c r="J881" s="43"/>
      <c r="K881" s="43"/>
      <c r="L881" s="43"/>
      <c r="M881" s="43"/>
      <c r="N881" s="43"/>
      <c r="O881" s="43"/>
      <c r="P881" s="43"/>
      <c r="Q881" s="43"/>
      <c r="R881" s="43"/>
      <c r="S881" s="43"/>
      <c r="T881" s="43"/>
      <c r="U881" s="43"/>
      <c r="V881" s="43"/>
      <c r="W881" s="43"/>
      <c r="X881" s="43"/>
      <c r="Y881" s="43"/>
      <c r="Z881" s="43">
        <v>11.300000190734901</v>
      </c>
      <c r="AA881" s="43"/>
      <c r="AB881" s="43"/>
      <c r="AC881" s="43"/>
      <c r="AD881" s="43"/>
      <c r="AE881" s="43">
        <v>11.3999996185303</v>
      </c>
      <c r="AF881" s="43"/>
      <c r="AG881" s="43"/>
      <c r="AH881" s="43"/>
      <c r="AI881" s="43"/>
      <c r="AJ881" s="43">
        <v>11.300000190700001</v>
      </c>
      <c r="AK881" s="43">
        <v>11.100000381499999</v>
      </c>
      <c r="AL881" s="43">
        <v>10.699999809299999</v>
      </c>
      <c r="AM881" s="43">
        <v>10.399999618500001</v>
      </c>
      <c r="AN881" s="43">
        <v>10.199999809299999</v>
      </c>
      <c r="AO881" s="43"/>
      <c r="AP881" s="43"/>
      <c r="AQ881" s="43"/>
      <c r="AR881" s="43"/>
      <c r="AS881" s="43"/>
      <c r="AT881" s="43">
        <v>7.8</v>
      </c>
      <c r="AU881" s="43">
        <v>7.8</v>
      </c>
      <c r="AV881" s="43">
        <v>7.8</v>
      </c>
      <c r="AW881" s="43">
        <v>7.7</v>
      </c>
      <c r="AX881" s="43">
        <v>7.6</v>
      </c>
      <c r="AY881" s="43">
        <v>7.6</v>
      </c>
      <c r="AZ881" s="43">
        <v>7.4</v>
      </c>
      <c r="BA881" s="43">
        <v>7.3</v>
      </c>
      <c r="BB881" s="43">
        <v>7.2</v>
      </c>
      <c r="BC881" s="43">
        <v>7.1</v>
      </c>
      <c r="BD881" s="43">
        <v>7</v>
      </c>
      <c r="BE881" s="43">
        <v>6.8</v>
      </c>
      <c r="BF881" s="43">
        <v>6.7</v>
      </c>
      <c r="BG881" s="43">
        <v>6.5</v>
      </c>
      <c r="BH881" s="43"/>
      <c r="BI881" s="43">
        <v>6.5</v>
      </c>
      <c r="BJ881" s="43"/>
      <c r="BK881" s="43"/>
      <c r="BL881" s="43"/>
      <c r="BM881" s="43"/>
      <c r="BN881" s="56">
        <f t="shared" si="25"/>
        <v>6.5</v>
      </c>
      <c r="BO881" s="428">
        <f>IF(BN881="No reported value",INDEX('WB HCW &amp; Beds'!$BU$831:$BU$835,MATCH($BP881,'WB HCW &amp; Beds'!$BS$831:$BS$835,0)),$BN881)</f>
        <v>6.5</v>
      </c>
      <c r="BP881" s="132" t="str">
        <f>INDEX('HCW + Staff Summary'!$E$7:$E$270,MATCH($B881,'HCW + Staff Summary'!$B$7:$B$270,0))</f>
        <v>High income</v>
      </c>
      <c r="BQ881" s="429">
        <f>INDEX('WB HCW &amp; Beds'!$BU$838:$BU$842,MATCH($BP881,'WB HCW &amp; Beds'!$BS$838:$BS$842,0))*100</f>
        <v>3.5700000000000003</v>
      </c>
    </row>
    <row r="882" spans="2:69" x14ac:dyDescent="0.75">
      <c r="B882" s="43" t="s">
        <v>400</v>
      </c>
      <c r="C882" s="43" t="s">
        <v>34</v>
      </c>
      <c r="D882" s="43" t="s">
        <v>632</v>
      </c>
      <c r="E882" s="43" t="s">
        <v>633</v>
      </c>
      <c r="F882" s="43">
        <v>10.5</v>
      </c>
      <c r="G882" s="43"/>
      <c r="H882" s="43"/>
      <c r="I882" s="43"/>
      <c r="J882" s="43"/>
      <c r="K882" s="43"/>
      <c r="L882" s="43"/>
      <c r="M882" s="43"/>
      <c r="N882" s="43"/>
      <c r="O882" s="43"/>
      <c r="P882" s="43">
        <v>11.300000190734901</v>
      </c>
      <c r="Q882" s="43"/>
      <c r="R882" s="43"/>
      <c r="S882" s="43"/>
      <c r="T882" s="43"/>
      <c r="U882" s="43"/>
      <c r="V882" s="43"/>
      <c r="W882" s="43"/>
      <c r="X882" s="43"/>
      <c r="Y882" s="43"/>
      <c r="Z882" s="43">
        <v>11.5</v>
      </c>
      <c r="AA882" s="43"/>
      <c r="AB882" s="43"/>
      <c r="AC882" s="43"/>
      <c r="AD882" s="43"/>
      <c r="AE882" s="43">
        <v>11</v>
      </c>
      <c r="AF882" s="43"/>
      <c r="AG882" s="43"/>
      <c r="AH882" s="43"/>
      <c r="AI882" s="43"/>
      <c r="AJ882" s="43">
        <v>10.399999618500001</v>
      </c>
      <c r="AK882" s="43">
        <v>10.100000381499999</v>
      </c>
      <c r="AL882" s="43">
        <v>9.8999996185000008</v>
      </c>
      <c r="AM882" s="43">
        <v>9.6999998092999995</v>
      </c>
      <c r="AN882" s="43">
        <v>9.6999998092999995</v>
      </c>
      <c r="AO882" s="43">
        <v>9.6999998092999995</v>
      </c>
      <c r="AP882" s="43">
        <v>9.6000003814999992</v>
      </c>
      <c r="AQ882" s="43">
        <v>9.3999996185000008</v>
      </c>
      <c r="AR882" s="43">
        <v>9.3000001907000005</v>
      </c>
      <c r="AS882" s="43">
        <v>9.1999998092999995</v>
      </c>
      <c r="AT882" s="43">
        <v>9.1</v>
      </c>
      <c r="AU882" s="43">
        <v>9</v>
      </c>
      <c r="AV882" s="43">
        <v>8.9</v>
      </c>
      <c r="AW882" s="43">
        <v>8.6999999999999993</v>
      </c>
      <c r="AX882" s="43">
        <v>8.6</v>
      </c>
      <c r="AY882" s="43">
        <v>8.5</v>
      </c>
      <c r="AZ882" s="43">
        <v>8.3000000000000007</v>
      </c>
      <c r="BA882" s="43">
        <v>8.1999999999999993</v>
      </c>
      <c r="BB882" s="43">
        <v>8.1999999999999993</v>
      </c>
      <c r="BC882" s="43">
        <v>8.1999999999999993</v>
      </c>
      <c r="BD882" s="43">
        <v>8.1999999999999993</v>
      </c>
      <c r="BE882" s="43">
        <v>8.1999999999999993</v>
      </c>
      <c r="BF882" s="43">
        <v>8.1999999999999993</v>
      </c>
      <c r="BG882" s="43">
        <v>8.3000000000000007</v>
      </c>
      <c r="BH882" s="43"/>
      <c r="BI882" s="43"/>
      <c r="BJ882" s="43"/>
      <c r="BK882" s="43"/>
      <c r="BL882" s="43"/>
      <c r="BM882" s="43"/>
      <c r="BN882" s="56">
        <f t="shared" si="25"/>
        <v>8.3000000000000007</v>
      </c>
      <c r="BO882" s="428">
        <f>IF(BN882="No reported value",INDEX('WB HCW &amp; Beds'!$BU$831:$BU$835,MATCH($BP882,'WB HCW &amp; Beds'!$BS$831:$BS$835,0)),$BN882)</f>
        <v>8.3000000000000007</v>
      </c>
      <c r="BP882" s="132" t="str">
        <f>INDEX('HCW + Staff Summary'!$E$7:$E$270,MATCH($B882,'HCW + Staff Summary'!$B$7:$B$270,0))</f>
        <v>High income</v>
      </c>
      <c r="BQ882" s="429">
        <f>INDEX('WB HCW &amp; Beds'!$BU$838:$BU$842,MATCH($BP882,'WB HCW &amp; Beds'!$BS$838:$BS$842,0))*100</f>
        <v>3.5700000000000003</v>
      </c>
    </row>
    <row r="883" spans="2:69" x14ac:dyDescent="0.75">
      <c r="B883" s="43" t="s">
        <v>231</v>
      </c>
      <c r="C883" s="43" t="s">
        <v>35</v>
      </c>
      <c r="D883" s="43" t="s">
        <v>632</v>
      </c>
      <c r="E883" s="43" t="s">
        <v>633</v>
      </c>
      <c r="F883" s="43">
        <v>7.8313255310058603</v>
      </c>
      <c r="G883" s="43"/>
      <c r="H883" s="43"/>
      <c r="I883" s="43"/>
      <c r="J883" s="43"/>
      <c r="K883" s="43"/>
      <c r="L883" s="43"/>
      <c r="M883" s="43"/>
      <c r="N883" s="43"/>
      <c r="O883" s="43"/>
      <c r="P883" s="43">
        <v>6.0774002075195304</v>
      </c>
      <c r="Q883" s="43"/>
      <c r="R883" s="43"/>
      <c r="S883" s="43"/>
      <c r="T883" s="43"/>
      <c r="U883" s="43"/>
      <c r="V883" s="43"/>
      <c r="W883" s="43"/>
      <c r="X883" s="43"/>
      <c r="Y883" s="43"/>
      <c r="Z883" s="43"/>
      <c r="AA883" s="43">
        <v>3.6105000972747798</v>
      </c>
      <c r="AB883" s="43"/>
      <c r="AC883" s="43"/>
      <c r="AD883" s="43"/>
      <c r="AE883" s="43"/>
      <c r="AF883" s="43"/>
      <c r="AG883" s="43"/>
      <c r="AH883" s="43"/>
      <c r="AI883" s="43"/>
      <c r="AJ883" s="43">
        <v>2.5397000313000002</v>
      </c>
      <c r="AK883" s="43"/>
      <c r="AL883" s="43"/>
      <c r="AM883" s="43"/>
      <c r="AN883" s="43"/>
      <c r="AO883" s="43"/>
      <c r="AP883" s="43"/>
      <c r="AQ883" s="43"/>
      <c r="AR883" s="43"/>
      <c r="AS883" s="43"/>
      <c r="AT883" s="43">
        <v>1.8</v>
      </c>
      <c r="AU883" s="43">
        <v>1.8</v>
      </c>
      <c r="AV883" s="43">
        <v>1.8</v>
      </c>
      <c r="AW883" s="43">
        <v>1.6</v>
      </c>
      <c r="AX883" s="43">
        <v>1.6</v>
      </c>
      <c r="AY883" s="43">
        <v>1.6</v>
      </c>
      <c r="AZ883" s="43">
        <v>1.6</v>
      </c>
      <c r="BA883" s="43"/>
      <c r="BB883" s="43"/>
      <c r="BC883" s="43"/>
      <c r="BD883" s="43">
        <v>1.4</v>
      </c>
      <c r="BE883" s="43">
        <v>1.4</v>
      </c>
      <c r="BF883" s="43">
        <v>1.4</v>
      </c>
      <c r="BG883" s="43">
        <v>1.4</v>
      </c>
      <c r="BH883" s="43">
        <v>1.4</v>
      </c>
      <c r="BI883" s="43"/>
      <c r="BJ883" s="43"/>
      <c r="BK883" s="43"/>
      <c r="BL883" s="43"/>
      <c r="BM883" s="43"/>
      <c r="BN883" s="56">
        <f t="shared" si="25"/>
        <v>1.4</v>
      </c>
      <c r="BO883" s="428">
        <f>IF(BN883="No reported value",INDEX('WB HCW &amp; Beds'!$BU$831:$BU$835,MATCH($BP883,'WB HCW &amp; Beds'!$BS$831:$BS$835,0)),$BN883)</f>
        <v>1.4</v>
      </c>
      <c r="BP883" s="132" t="str">
        <f>INDEX('HCW + Staff Summary'!$E$7:$E$270,MATCH($B883,'HCW + Staff Summary'!$B$7:$B$270,0))</f>
        <v>Lower middle income</v>
      </c>
      <c r="BQ883" s="429">
        <f>INDEX('WB HCW &amp; Beds'!$BU$838:$BU$842,MATCH($BP883,'WB HCW &amp; Beds'!$BS$838:$BS$842,0))*100</f>
        <v>2.3800000000000003</v>
      </c>
    </row>
    <row r="884" spans="2:69" x14ac:dyDescent="0.75">
      <c r="B884" s="43" t="s">
        <v>365</v>
      </c>
      <c r="C884" s="43" t="s">
        <v>366</v>
      </c>
      <c r="D884" s="43" t="s">
        <v>632</v>
      </c>
      <c r="E884" s="43" t="s">
        <v>633</v>
      </c>
      <c r="F884" s="43">
        <v>4.5439467430114702</v>
      </c>
      <c r="G884" s="43"/>
      <c r="H884" s="43"/>
      <c r="I884" s="43"/>
      <c r="J884" s="43"/>
      <c r="K884" s="43"/>
      <c r="L884" s="43"/>
      <c r="M884" s="43"/>
      <c r="N884" s="43"/>
      <c r="O884" s="43"/>
      <c r="P884" s="43">
        <v>4.4443998336792001</v>
      </c>
      <c r="Q884" s="43"/>
      <c r="R884" s="43"/>
      <c r="S884" s="43"/>
      <c r="T884" s="43"/>
      <c r="U884" s="43"/>
      <c r="V884" s="43"/>
      <c r="W884" s="43"/>
      <c r="X884" s="43"/>
      <c r="Y884" s="43"/>
      <c r="Z884" s="43"/>
      <c r="AA884" s="43"/>
      <c r="AB884" s="43"/>
      <c r="AC884" s="43"/>
      <c r="AD884" s="43"/>
      <c r="AE884" s="43"/>
      <c r="AF884" s="43"/>
      <c r="AG884" s="43"/>
      <c r="AH884" s="43"/>
      <c r="AI884" s="43"/>
      <c r="AJ884" s="43">
        <v>3</v>
      </c>
      <c r="AK884" s="43"/>
      <c r="AL884" s="43"/>
      <c r="AM884" s="43">
        <v>2.5938999652999999</v>
      </c>
      <c r="AN884" s="43"/>
      <c r="AO884" s="43">
        <v>3.6</v>
      </c>
      <c r="AP884" s="43">
        <v>2.6500000953999998</v>
      </c>
      <c r="AQ884" s="43"/>
      <c r="AR884" s="43"/>
      <c r="AS884" s="43"/>
      <c r="AT884" s="43">
        <v>3.8</v>
      </c>
      <c r="AU884" s="43">
        <v>3.5</v>
      </c>
      <c r="AV884" s="43">
        <v>3.9000000953999998</v>
      </c>
      <c r="AW884" s="43">
        <v>3.9</v>
      </c>
      <c r="AX884" s="43">
        <v>3.9</v>
      </c>
      <c r="AY884" s="43">
        <v>3.9</v>
      </c>
      <c r="AZ884" s="43"/>
      <c r="BA884" s="43">
        <v>4</v>
      </c>
      <c r="BB884" s="43">
        <v>3.8</v>
      </c>
      <c r="BC884" s="43">
        <v>3.8</v>
      </c>
      <c r="BD884" s="43">
        <v>3.8</v>
      </c>
      <c r="BE884" s="43">
        <v>3.8</v>
      </c>
      <c r="BF884" s="43">
        <v>3.8</v>
      </c>
      <c r="BG884" s="43"/>
      <c r="BH884" s="43"/>
      <c r="BI884" s="43"/>
      <c r="BJ884" s="43"/>
      <c r="BK884" s="43"/>
      <c r="BL884" s="43"/>
      <c r="BM884" s="43"/>
      <c r="BN884" s="56">
        <f t="shared" si="25"/>
        <v>3.8</v>
      </c>
      <c r="BO884" s="428">
        <f>IF(BN884="No reported value",INDEX('WB HCW &amp; Beds'!$BU$831:$BU$835,MATCH($BP884,'WB HCW &amp; Beds'!$BS$831:$BS$835,0)),$BN884)</f>
        <v>3.8</v>
      </c>
      <c r="BP884" s="132" t="str">
        <f>INDEX('HCW + Staff Summary'!$E$7:$E$270,MATCH($B884,'HCW + Staff Summary'!$B$7:$B$270,0))</f>
        <v>Upper middle income</v>
      </c>
      <c r="BQ884" s="429">
        <f>INDEX('WB HCW &amp; Beds'!$BU$838:$BU$842,MATCH($BP884,'WB HCW &amp; Beds'!$BS$838:$BS$842,0))*100</f>
        <v>3.32</v>
      </c>
    </row>
    <row r="885" spans="2:69" x14ac:dyDescent="0.75">
      <c r="B885" s="43" t="s">
        <v>364</v>
      </c>
      <c r="C885" s="43" t="s">
        <v>36</v>
      </c>
      <c r="D885" s="43" t="s">
        <v>632</v>
      </c>
      <c r="E885" s="43" t="s">
        <v>633</v>
      </c>
      <c r="F885" s="43"/>
      <c r="G885" s="43"/>
      <c r="H885" s="43"/>
      <c r="I885" s="43"/>
      <c r="J885" s="43"/>
      <c r="K885" s="43"/>
      <c r="L885" s="43"/>
      <c r="M885" s="43"/>
      <c r="N885" s="43"/>
      <c r="O885" s="43"/>
      <c r="P885" s="43">
        <v>8.1000003814697301</v>
      </c>
      <c r="Q885" s="43"/>
      <c r="R885" s="43">
        <v>8.3999996185302699</v>
      </c>
      <c r="S885" s="43">
        <v>8.3000001907348597</v>
      </c>
      <c r="T885" s="43">
        <v>8.5</v>
      </c>
      <c r="U885" s="43">
        <v>8.5</v>
      </c>
      <c r="V885" s="43">
        <v>8.6000003814697301</v>
      </c>
      <c r="W885" s="43">
        <v>8.3999996185302699</v>
      </c>
      <c r="X885" s="43">
        <v>8.5</v>
      </c>
      <c r="Y885" s="43">
        <v>8.1999998092651403</v>
      </c>
      <c r="Z885" s="43">
        <v>8.1000003814697301</v>
      </c>
      <c r="AA885" s="43">
        <v>7.8000001907348597</v>
      </c>
      <c r="AB885" s="43">
        <v>7.6999998092651403</v>
      </c>
      <c r="AC885" s="43">
        <v>7.4000000953674299</v>
      </c>
      <c r="AD885" s="43">
        <v>7.0999999046325701</v>
      </c>
      <c r="AE885" s="43">
        <v>7</v>
      </c>
      <c r="AF885" s="43">
        <v>6.9000000953674299</v>
      </c>
      <c r="AG885" s="43">
        <v>6.1999998092651403</v>
      </c>
      <c r="AH885" s="43">
        <v>6</v>
      </c>
      <c r="AI885" s="43">
        <v>5.8000001907348597</v>
      </c>
      <c r="AJ885" s="43">
        <v>5.5999999045999997</v>
      </c>
      <c r="AK885" s="43">
        <v>5.4000000954000003</v>
      </c>
      <c r="AL885" s="43">
        <v>5.0999999045999997</v>
      </c>
      <c r="AM885" s="43">
        <v>5</v>
      </c>
      <c r="AN885" s="43">
        <v>5</v>
      </c>
      <c r="AO885" s="43">
        <v>4.9000000954000003</v>
      </c>
      <c r="AP885" s="43">
        <v>4.6999998093000004</v>
      </c>
      <c r="AQ885" s="43">
        <v>4.5999999045999997</v>
      </c>
      <c r="AR885" s="43">
        <v>4.5</v>
      </c>
      <c r="AS885" s="43">
        <v>4.3000001906999996</v>
      </c>
      <c r="AT885" s="43">
        <v>4.3</v>
      </c>
      <c r="AU885" s="43">
        <v>4.2</v>
      </c>
      <c r="AV885" s="43">
        <v>4.3</v>
      </c>
      <c r="AW885" s="43">
        <v>4.0999999999999996</v>
      </c>
      <c r="AX885" s="43">
        <v>4</v>
      </c>
      <c r="AY885" s="43">
        <v>3.9</v>
      </c>
      <c r="AZ885" s="43">
        <v>3.8</v>
      </c>
      <c r="BA885" s="43">
        <v>3.7</v>
      </c>
      <c r="BB885" s="43">
        <v>3.6</v>
      </c>
      <c r="BC885" s="43">
        <v>3.5</v>
      </c>
      <c r="BD885" s="43">
        <v>3.5</v>
      </c>
      <c r="BE885" s="43">
        <v>3.1</v>
      </c>
      <c r="BF885" s="43"/>
      <c r="BG885" s="43">
        <v>3.1</v>
      </c>
      <c r="BH885" s="43"/>
      <c r="BI885" s="43">
        <v>2.5</v>
      </c>
      <c r="BJ885" s="43"/>
      <c r="BK885" s="43"/>
      <c r="BL885" s="43"/>
      <c r="BM885" s="43"/>
      <c r="BN885" s="56">
        <f t="shared" si="25"/>
        <v>2.5</v>
      </c>
      <c r="BO885" s="428">
        <f>IF(BN885="No reported value",INDEX('WB HCW &amp; Beds'!$BU$831:$BU$835,MATCH($BP885,'WB HCW &amp; Beds'!$BS$831:$BS$835,0)),$BN885)</f>
        <v>2.5</v>
      </c>
      <c r="BP885" s="132" t="str">
        <f>INDEX('HCW + Staff Summary'!$E$7:$E$270,MATCH($B885,'HCW + Staff Summary'!$B$7:$B$270,0))</f>
        <v>High income</v>
      </c>
      <c r="BQ885" s="429">
        <f>INDEX('WB HCW &amp; Beds'!$BU$838:$BU$842,MATCH($BP885,'WB HCW &amp; Beds'!$BS$838:$BS$842,0))*100</f>
        <v>3.5700000000000003</v>
      </c>
    </row>
    <row r="886" spans="2:69" x14ac:dyDescent="0.75">
      <c r="B886" s="43" t="s">
        <v>367</v>
      </c>
      <c r="C886" s="43" t="s">
        <v>368</v>
      </c>
      <c r="D886" s="43" t="s">
        <v>632</v>
      </c>
      <c r="E886" s="43" t="s">
        <v>633</v>
      </c>
      <c r="F886" s="43">
        <v>2.3286907672882098</v>
      </c>
      <c r="G886" s="43"/>
      <c r="H886" s="43"/>
      <c r="I886" s="43"/>
      <c r="J886" s="43"/>
      <c r="K886" s="43"/>
      <c r="L886" s="43"/>
      <c r="M886" s="43"/>
      <c r="N886" s="43"/>
      <c r="O886" s="43"/>
      <c r="P886" s="43">
        <v>2.6394000053405802</v>
      </c>
      <c r="Q886" s="43"/>
      <c r="R886" s="43"/>
      <c r="S886" s="43"/>
      <c r="T886" s="43"/>
      <c r="U886" s="43">
        <v>2.5014998912811302</v>
      </c>
      <c r="V886" s="43"/>
      <c r="W886" s="43"/>
      <c r="X886" s="43"/>
      <c r="Y886" s="43"/>
      <c r="Z886" s="43"/>
      <c r="AA886" s="43"/>
      <c r="AB886" s="43"/>
      <c r="AC886" s="43"/>
      <c r="AD886" s="43"/>
      <c r="AE886" s="43"/>
      <c r="AF886" s="43"/>
      <c r="AG886" s="43"/>
      <c r="AH886" s="43"/>
      <c r="AI886" s="43"/>
      <c r="AJ886" s="43">
        <v>1.8812999724999999</v>
      </c>
      <c r="AK886" s="43"/>
      <c r="AL886" s="43"/>
      <c r="AM886" s="43">
        <v>2</v>
      </c>
      <c r="AN886" s="43"/>
      <c r="AO886" s="43"/>
      <c r="AP886" s="43">
        <v>1.5</v>
      </c>
      <c r="AQ886" s="43"/>
      <c r="AR886" s="43"/>
      <c r="AS886" s="43"/>
      <c r="AT886" s="43"/>
      <c r="AU886" s="43"/>
      <c r="AV886" s="43"/>
      <c r="AW886" s="43">
        <v>2.0999999046000002</v>
      </c>
      <c r="AX886" s="43"/>
      <c r="AY886" s="43">
        <v>2</v>
      </c>
      <c r="AZ886" s="43"/>
      <c r="BA886" s="43">
        <v>1</v>
      </c>
      <c r="BB886" s="43">
        <v>1</v>
      </c>
      <c r="BC886" s="43">
        <v>1</v>
      </c>
      <c r="BD886" s="43">
        <v>1.6</v>
      </c>
      <c r="BE886" s="43">
        <v>1.7</v>
      </c>
      <c r="BF886" s="43"/>
      <c r="BG886" s="43">
        <v>1.6</v>
      </c>
      <c r="BH886" s="43">
        <v>1.6</v>
      </c>
      <c r="BI886" s="43"/>
      <c r="BJ886" s="43"/>
      <c r="BK886" s="43"/>
      <c r="BL886" s="43"/>
      <c r="BM886" s="43"/>
      <c r="BN886" s="56">
        <f t="shared" si="25"/>
        <v>1.6</v>
      </c>
      <c r="BO886" s="428">
        <f>IF(BN886="No reported value",INDEX('WB HCW &amp; Beds'!$BU$831:$BU$835,MATCH($BP886,'WB HCW &amp; Beds'!$BS$831:$BS$835,0)),$BN886)</f>
        <v>1.6</v>
      </c>
      <c r="BP886" s="132" t="str">
        <f>INDEX('HCW + Staff Summary'!$E$7:$E$270,MATCH($B886,'HCW + Staff Summary'!$B$7:$B$270,0))</f>
        <v>Upper middle income</v>
      </c>
      <c r="BQ886" s="429">
        <f>INDEX('WB HCW &amp; Beds'!$BU$838:$BU$842,MATCH($BP886,'WB HCW &amp; Beds'!$BS$838:$BS$842,0))*100</f>
        <v>3.32</v>
      </c>
    </row>
    <row r="887" spans="2:69" x14ac:dyDescent="0.75">
      <c r="B887" s="43" t="s">
        <v>314</v>
      </c>
      <c r="C887" s="43" t="s">
        <v>37</v>
      </c>
      <c r="D887" s="43" t="s">
        <v>632</v>
      </c>
      <c r="E887" s="43" t="s">
        <v>633</v>
      </c>
      <c r="F887" s="43">
        <v>3.1874074935913099</v>
      </c>
      <c r="G887" s="43"/>
      <c r="H887" s="43"/>
      <c r="I887" s="43"/>
      <c r="J887" s="43"/>
      <c r="K887" s="43"/>
      <c r="L887" s="43"/>
      <c r="M887" s="43"/>
      <c r="N887" s="43"/>
      <c r="O887" s="43"/>
      <c r="P887" s="43">
        <v>2.8424999713897701</v>
      </c>
      <c r="Q887" s="43"/>
      <c r="R887" s="43"/>
      <c r="S887" s="43"/>
      <c r="T887" s="43"/>
      <c r="U887" s="43"/>
      <c r="V887" s="43"/>
      <c r="W887" s="43"/>
      <c r="X887" s="43"/>
      <c r="Y887" s="43"/>
      <c r="Z887" s="43"/>
      <c r="AA887" s="43"/>
      <c r="AB887" s="43"/>
      <c r="AC887" s="43"/>
      <c r="AD887" s="43"/>
      <c r="AE887" s="43"/>
      <c r="AF887" s="43">
        <v>2.4883999824523899</v>
      </c>
      <c r="AG887" s="43"/>
      <c r="AH887" s="43">
        <v>2.62899994850159</v>
      </c>
      <c r="AI887" s="43">
        <v>2.5643999576568599</v>
      </c>
      <c r="AJ887" s="43">
        <v>2.4993000031000001</v>
      </c>
      <c r="AK887" s="43"/>
      <c r="AL887" s="43"/>
      <c r="AM887" s="43"/>
      <c r="AN887" s="43">
        <v>2.1031999587999999</v>
      </c>
      <c r="AO887" s="43"/>
      <c r="AP887" s="43"/>
      <c r="AQ887" s="43"/>
      <c r="AR887" s="43">
        <v>2.0999999046000002</v>
      </c>
      <c r="AS887" s="43"/>
      <c r="AT887" s="43"/>
      <c r="AU887" s="43"/>
      <c r="AV887" s="43"/>
      <c r="AW887" s="43"/>
      <c r="AX887" s="43">
        <v>1.7</v>
      </c>
      <c r="AY887" s="43"/>
      <c r="AZ887" s="43"/>
      <c r="BA887" s="43"/>
      <c r="BB887" s="43"/>
      <c r="BC887" s="43"/>
      <c r="BD887" s="43"/>
      <c r="BE887" s="43"/>
      <c r="BF887" s="43"/>
      <c r="BG887" s="43"/>
      <c r="BH887" s="43"/>
      <c r="BI887" s="43">
        <v>1.9</v>
      </c>
      <c r="BJ887" s="43"/>
      <c r="BK887" s="43"/>
      <c r="BL887" s="43"/>
      <c r="BM887" s="43"/>
      <c r="BN887" s="56">
        <f t="shared" si="25"/>
        <v>1.9</v>
      </c>
      <c r="BO887" s="428">
        <f>IF(BN887="No reported value",INDEX('WB HCW &amp; Beds'!$BU$831:$BU$835,MATCH($BP887,'WB HCW &amp; Beds'!$BS$831:$BS$835,0)),$BN887)</f>
        <v>1.9</v>
      </c>
      <c r="BP887" s="132" t="str">
        <f>INDEX('HCW + Staff Summary'!$E$7:$E$270,MATCH($B887,'HCW + Staff Summary'!$B$7:$B$270,0))</f>
        <v>Upper middle income</v>
      </c>
      <c r="BQ887" s="429">
        <f>INDEX('WB HCW &amp; Beds'!$BU$838:$BU$842,MATCH($BP887,'WB HCW &amp; Beds'!$BS$838:$BS$842,0))*100</f>
        <v>3.32</v>
      </c>
    </row>
    <row r="888" spans="2:69" x14ac:dyDescent="0.75">
      <c r="B888" s="43" t="s">
        <v>373</v>
      </c>
      <c r="C888" s="43" t="s">
        <v>374</v>
      </c>
      <c r="D888" s="43" t="s">
        <v>632</v>
      </c>
      <c r="E888" s="43" t="s">
        <v>633</v>
      </c>
      <c r="F888" s="43"/>
      <c r="G888" s="43"/>
      <c r="H888" s="43"/>
      <c r="I888" s="43"/>
      <c r="J888" s="43"/>
      <c r="K888" s="43">
        <v>1.4400000572204601</v>
      </c>
      <c r="L888" s="43">
        <v>1.5199999809265097</v>
      </c>
      <c r="M888" s="43">
        <v>1.5</v>
      </c>
      <c r="N888" s="43">
        <v>1.45000004768372</v>
      </c>
      <c r="O888" s="43">
        <v>1.45000004768372</v>
      </c>
      <c r="P888" s="43">
        <v>1.4418845852024127</v>
      </c>
      <c r="Q888" s="43">
        <v>1.58000004291534</v>
      </c>
      <c r="R888" s="43">
        <v>1.71000003814697</v>
      </c>
      <c r="S888" s="43">
        <v>1.7699999809265099</v>
      </c>
      <c r="T888" s="43">
        <v>1.8500000238418601</v>
      </c>
      <c r="U888" s="43">
        <v>1.781145328361206</v>
      </c>
      <c r="V888" s="43">
        <v>1.9873244335741538</v>
      </c>
      <c r="W888" s="43">
        <v>2.0699999332428001</v>
      </c>
      <c r="X888" s="43">
        <v>2.1400001049041699</v>
      </c>
      <c r="Y888" s="43">
        <v>2.2000000476837198</v>
      </c>
      <c r="Z888" s="43">
        <v>2.2237280297986226</v>
      </c>
      <c r="AA888" s="43">
        <v>2.2944433840718892</v>
      </c>
      <c r="AB888" s="43">
        <v>2.2341767405230057</v>
      </c>
      <c r="AC888" s="43">
        <v>2.2624806304022251</v>
      </c>
      <c r="AD888" s="43">
        <v>2.3100079927720474</v>
      </c>
      <c r="AE888" s="43">
        <v>2.1220048777816523</v>
      </c>
      <c r="AF888" s="43">
        <v>2.365937305387547</v>
      </c>
      <c r="AG888" s="43">
        <v>2.4799684931745709</v>
      </c>
      <c r="AH888" s="43">
        <v>2.5366463166226429</v>
      </c>
      <c r="AI888" s="43">
        <v>2.3565014272552718</v>
      </c>
      <c r="AJ888" s="43">
        <v>2.2787709059376415</v>
      </c>
      <c r="AK888" s="43">
        <v>2.2722516619535922</v>
      </c>
      <c r="AL888" s="43">
        <v>2.2777069907449761</v>
      </c>
      <c r="AM888" s="43">
        <v>2.2919769188919759</v>
      </c>
      <c r="AN888" s="43">
        <v>2.3496088918205911</v>
      </c>
      <c r="AO888" s="43">
        <v>2.5720545817157396</v>
      </c>
      <c r="AP888" s="43">
        <v>2.5408365363524146</v>
      </c>
      <c r="AQ888" s="43">
        <v>2.4980746146048984</v>
      </c>
      <c r="AR888" s="43">
        <v>2.2557050858077625</v>
      </c>
      <c r="AS888" s="43">
        <v>2.5048830581538994</v>
      </c>
      <c r="AT888" s="43">
        <v>2.4434965467112728</v>
      </c>
      <c r="AU888" s="43">
        <v>2.4032453335950055</v>
      </c>
      <c r="AV888" s="43">
        <v>2.1757774135088632</v>
      </c>
      <c r="AW888" s="43">
        <v>2.2002094602436109</v>
      </c>
      <c r="AX888" s="43">
        <v>2.9656498563794167</v>
      </c>
      <c r="AY888" s="43">
        <v>2.4265117760837809</v>
      </c>
      <c r="AZ888" s="43">
        <v>2.105849518605877</v>
      </c>
      <c r="BA888" s="43"/>
      <c r="BB888" s="43"/>
      <c r="BC888" s="43">
        <v>3.8759164044274304</v>
      </c>
      <c r="BD888" s="43">
        <v>2.9969576480971458</v>
      </c>
      <c r="BE888" s="43">
        <v>3.5553882591873687</v>
      </c>
      <c r="BF888" s="43">
        <v>3.6474003099242402</v>
      </c>
      <c r="BG888" s="43"/>
      <c r="BH888" s="43"/>
      <c r="BI888" s="43"/>
      <c r="BJ888" s="43"/>
      <c r="BK888" s="43"/>
      <c r="BL888" s="43"/>
      <c r="BM888" s="43"/>
      <c r="BN888" s="56">
        <f t="shared" si="25"/>
        <v>3.6474003099242402</v>
      </c>
      <c r="BO888" s="428">
        <f>IF(BN888="No reported value",INDEX('WB HCW &amp; Beds'!$BU$831:$BU$835,MATCH($BP888,'WB HCW &amp; Beds'!$BS$831:$BS$835,0)),$BN888)</f>
        <v>3.6474003099242402</v>
      </c>
      <c r="BP888" s="132" t="str">
        <f>INDEX('HCW + Staff Summary'!$E$7:$E$270,MATCH($B888,'HCW + Staff Summary'!$B$7:$B$270,0))</f>
        <v>OUT</v>
      </c>
      <c r="BQ888" s="429">
        <f>INDEX('WB HCW &amp; Beds'!$BU$838:$BU$842,MATCH($BP888,'WB HCW &amp; Beds'!$BS$838:$BS$842,0))*100</f>
        <v>2.7250000000000001</v>
      </c>
    </row>
    <row r="889" spans="2:69" x14ac:dyDescent="0.75">
      <c r="B889" s="43" t="s">
        <v>369</v>
      </c>
      <c r="C889" s="43" t="s">
        <v>370</v>
      </c>
      <c r="D889" s="43" t="s">
        <v>632</v>
      </c>
      <c r="E889" s="43" t="s">
        <v>633</v>
      </c>
      <c r="F889" s="43">
        <v>0.92014068075675493</v>
      </c>
      <c r="G889" s="43"/>
      <c r="H889" s="43"/>
      <c r="I889" s="43"/>
      <c r="J889" s="43"/>
      <c r="K889" s="43"/>
      <c r="L889" s="43"/>
      <c r="M889" s="43"/>
      <c r="N889" s="43"/>
      <c r="O889" s="43"/>
      <c r="P889" s="43">
        <v>0.9674259965935863</v>
      </c>
      <c r="Q889" s="43"/>
      <c r="R889" s="43"/>
      <c r="S889" s="43"/>
      <c r="T889" s="43"/>
      <c r="U889" s="43">
        <v>0.88783230114551148</v>
      </c>
      <c r="V889" s="43"/>
      <c r="W889" s="43"/>
      <c r="X889" s="43"/>
      <c r="Y889" s="43"/>
      <c r="Z889" s="43">
        <v>1.0389909371006885</v>
      </c>
      <c r="AA889" s="43"/>
      <c r="AB889" s="43"/>
      <c r="AC889" s="43"/>
      <c r="AD889" s="43"/>
      <c r="AE889" s="43">
        <v>1.1071949843192255</v>
      </c>
      <c r="AF889" s="43"/>
      <c r="AG889" s="43"/>
      <c r="AH889" s="43"/>
      <c r="AI889" s="43"/>
      <c r="AJ889" s="43"/>
      <c r="AK889" s="43">
        <v>1.0902456227449662</v>
      </c>
      <c r="AL889" s="43"/>
      <c r="AM889" s="43"/>
      <c r="AN889" s="43"/>
      <c r="AO889" s="43"/>
      <c r="AP889" s="43"/>
      <c r="AQ889" s="43"/>
      <c r="AR889" s="43"/>
      <c r="AS889" s="43"/>
      <c r="AT889" s="43"/>
      <c r="AU889" s="43"/>
      <c r="AV889" s="43">
        <v>0.92328389667531285</v>
      </c>
      <c r="AW889" s="43">
        <v>1.1867955831751253</v>
      </c>
      <c r="AX889" s="43"/>
      <c r="AY889" s="43">
        <v>1.2199385789790524</v>
      </c>
      <c r="AZ889" s="43"/>
      <c r="BA889" s="43"/>
      <c r="BB889" s="43"/>
      <c r="BC889" s="43"/>
      <c r="BD889" s="43"/>
      <c r="BE889" s="43">
        <v>1.225174071977523</v>
      </c>
      <c r="BF889" s="43"/>
      <c r="BG889" s="43"/>
      <c r="BH889" s="43"/>
      <c r="BI889" s="43"/>
      <c r="BJ889" s="43"/>
      <c r="BK889" s="43"/>
      <c r="BL889" s="43"/>
      <c r="BM889" s="43"/>
      <c r="BN889" s="56">
        <f t="shared" si="25"/>
        <v>1.225174071977523</v>
      </c>
      <c r="BO889" s="428">
        <f>IF(BN889="No reported value",INDEX('WB HCW &amp; Beds'!$BU$831:$BU$835,MATCH($BP889,'WB HCW &amp; Beds'!$BS$831:$BS$835,0)),$BN889)</f>
        <v>1.225174071977523</v>
      </c>
      <c r="BP889" s="132" t="str">
        <f>INDEX('HCW + Staff Summary'!$E$7:$E$270,MATCH($B889,'HCW + Staff Summary'!$B$7:$B$270,0))</f>
        <v>OUT</v>
      </c>
      <c r="BQ889" s="429">
        <f>INDEX('WB HCW &amp; Beds'!$BU$838:$BU$842,MATCH($BP889,'WB HCW &amp; Beds'!$BS$838:$BS$842,0))*100</f>
        <v>2.7250000000000001</v>
      </c>
    </row>
    <row r="890" spans="2:69" x14ac:dyDescent="0.75">
      <c r="B890" s="43" t="s">
        <v>371</v>
      </c>
      <c r="C890" s="43" t="s">
        <v>372</v>
      </c>
      <c r="D890" s="43" t="s">
        <v>632</v>
      </c>
      <c r="E890" s="43" t="s">
        <v>633</v>
      </c>
      <c r="F890" s="43"/>
      <c r="G890" s="43"/>
      <c r="H890" s="43"/>
      <c r="I890" s="43"/>
      <c r="J890" s="43"/>
      <c r="K890" s="43"/>
      <c r="L890" s="43"/>
      <c r="M890" s="43"/>
      <c r="N890" s="43"/>
      <c r="O890" s="43"/>
      <c r="P890" s="43">
        <v>2.5604409087819779</v>
      </c>
      <c r="Q890" s="43"/>
      <c r="R890" s="43"/>
      <c r="S890" s="43"/>
      <c r="T890" s="43"/>
      <c r="U890" s="43">
        <v>1.9170610784265285</v>
      </c>
      <c r="V890" s="43">
        <v>2.1282376747925764</v>
      </c>
      <c r="W890" s="43"/>
      <c r="X890" s="43"/>
      <c r="Y890" s="43"/>
      <c r="Z890" s="43">
        <v>3.3245762216168999</v>
      </c>
      <c r="AA890" s="43">
        <v>2.4382876835587126</v>
      </c>
      <c r="AB890" s="43">
        <v>2.3829888855423045</v>
      </c>
      <c r="AC890" s="43">
        <v>2.4117675291027241</v>
      </c>
      <c r="AD890" s="43">
        <v>2.4561714855828503</v>
      </c>
      <c r="AE890" s="43">
        <v>3.286506784882953</v>
      </c>
      <c r="AF890" s="43">
        <v>2.3968444982000801</v>
      </c>
      <c r="AG890" s="43"/>
      <c r="AH890" s="43"/>
      <c r="AI890" s="43">
        <v>2.4876547655988452</v>
      </c>
      <c r="AJ890" s="43">
        <v>2.3412316030651796</v>
      </c>
      <c r="AK890" s="43">
        <v>2.4209089486325808</v>
      </c>
      <c r="AL890" s="43">
        <v>2.4288536459920791</v>
      </c>
      <c r="AM890" s="43">
        <v>3.435135505159753</v>
      </c>
      <c r="AN890" s="43">
        <v>3.5270168254647105</v>
      </c>
      <c r="AO890" s="43">
        <v>3.8012461688585653</v>
      </c>
      <c r="AP890" s="43">
        <v>3.8035866737978621</v>
      </c>
      <c r="AQ890" s="43">
        <v>3.7071163902586619</v>
      </c>
      <c r="AR890" s="43">
        <v>3.3931815174459792</v>
      </c>
      <c r="AS890" s="43">
        <v>3.7006778361321988</v>
      </c>
      <c r="AT890" s="43">
        <v>3.6116040938520952</v>
      </c>
      <c r="AU890" s="43">
        <v>3.3708232843092727</v>
      </c>
      <c r="AV890" s="43">
        <v>3.0847648618839263</v>
      </c>
      <c r="AW890" s="43">
        <v>3.4136565935856353</v>
      </c>
      <c r="AX890" s="43">
        <v>4.0250213497128975</v>
      </c>
      <c r="AY890" s="43">
        <v>3.3582224287216431</v>
      </c>
      <c r="AZ890" s="43">
        <v>3.171012411766156</v>
      </c>
      <c r="BA890" s="43"/>
      <c r="BB890" s="43"/>
      <c r="BC890" s="43">
        <v>4.7782421783256428</v>
      </c>
      <c r="BD890" s="43">
        <v>3.0072930745980861</v>
      </c>
      <c r="BE890" s="43">
        <v>3.5498561092414782</v>
      </c>
      <c r="BF890" s="43">
        <v>4.4436004873796424</v>
      </c>
      <c r="BG890" s="43"/>
      <c r="BH890" s="43"/>
      <c r="BI890" s="43"/>
      <c r="BJ890" s="43"/>
      <c r="BK890" s="43"/>
      <c r="BL890" s="43"/>
      <c r="BM890" s="43"/>
      <c r="BN890" s="56">
        <f t="shared" si="25"/>
        <v>4.4436004873796424</v>
      </c>
      <c r="BO890" s="428">
        <f>IF(BN890="No reported value",INDEX('WB HCW &amp; Beds'!$BU$831:$BU$835,MATCH($BP890,'WB HCW &amp; Beds'!$BS$831:$BS$835,0)),$BN890)</f>
        <v>4.4436004873796424</v>
      </c>
      <c r="BP890" s="132" t="str">
        <f>INDEX('HCW + Staff Summary'!$E$7:$E$270,MATCH($B890,'HCW + Staff Summary'!$B$7:$B$270,0))</f>
        <v>OUT</v>
      </c>
      <c r="BQ890" s="429">
        <f>INDEX('WB HCW &amp; Beds'!$BU$838:$BU$842,MATCH($BP890,'WB HCW &amp; Beds'!$BS$838:$BS$842,0))*100</f>
        <v>2.7250000000000001</v>
      </c>
    </row>
    <row r="891" spans="2:69" x14ac:dyDescent="0.75">
      <c r="B891" s="43" t="s">
        <v>385</v>
      </c>
      <c r="C891" s="43" t="s">
        <v>386</v>
      </c>
      <c r="D891" s="43" t="s">
        <v>632</v>
      </c>
      <c r="E891" s="43" t="s">
        <v>633</v>
      </c>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v>10.647881393051197</v>
      </c>
      <c r="AF891" s="43">
        <v>10.69960348321656</v>
      </c>
      <c r="AG891" s="43">
        <v>10.731692249671609</v>
      </c>
      <c r="AH891" s="43">
        <v>10.764226102513124</v>
      </c>
      <c r="AI891" s="43">
        <v>10.785096813596414</v>
      </c>
      <c r="AJ891" s="43">
        <v>10.772121014754356</v>
      </c>
      <c r="AK891" s="43">
        <v>10.527971479941213</v>
      </c>
      <c r="AL891" s="43">
        <v>10.283776701611817</v>
      </c>
      <c r="AM891" s="43">
        <v>10.103069911052978</v>
      </c>
      <c r="AN891" s="43">
        <v>9.7999103685944302</v>
      </c>
      <c r="AO891" s="43">
        <v>9.5780944160588426</v>
      </c>
      <c r="AP891" s="43">
        <v>9.1615508082623087</v>
      </c>
      <c r="AQ891" s="43">
        <v>8.6269556204966609</v>
      </c>
      <c r="AR891" s="43">
        <v>8.3037535671264511</v>
      </c>
      <c r="AS891" s="43">
        <v>8.0750100679826122</v>
      </c>
      <c r="AT891" s="43">
        <v>7.9434320633968323</v>
      </c>
      <c r="AU891" s="43">
        <v>7.845315758331437</v>
      </c>
      <c r="AV891" s="43">
        <v>7.7677174453057676</v>
      </c>
      <c r="AW891" s="43">
        <v>7.5939839791801784</v>
      </c>
      <c r="AX891" s="43">
        <v>7.2920234598650433</v>
      </c>
      <c r="AY891" s="43">
        <v>7.2059179484001969</v>
      </c>
      <c r="AZ891" s="43">
        <v>7.1653136170917406</v>
      </c>
      <c r="BA891" s="43">
        <v>6.9725578700635387</v>
      </c>
      <c r="BB891" s="43">
        <v>6.9101077130156234</v>
      </c>
      <c r="BC891" s="43">
        <v>6.8891524282934258</v>
      </c>
      <c r="BD891" s="43">
        <v>6.7141315224360349</v>
      </c>
      <c r="BE891" s="43">
        <v>6.526889307883553</v>
      </c>
      <c r="BF891" s="43">
        <v>6.4621489237342944</v>
      </c>
      <c r="BG891" s="43">
        <v>6.3536554875275035</v>
      </c>
      <c r="BH891" s="43"/>
      <c r="BI891" s="43"/>
      <c r="BJ891" s="43"/>
      <c r="BK891" s="43"/>
      <c r="BL891" s="43"/>
      <c r="BM891" s="43"/>
      <c r="BN891" s="56">
        <f t="shared" si="25"/>
        <v>6.3536554875275035</v>
      </c>
      <c r="BO891" s="428">
        <f>IF(BN891="No reported value",INDEX('WB HCW &amp; Beds'!$BU$831:$BU$835,MATCH($BP891,'WB HCW &amp; Beds'!$BS$831:$BS$835,0)),$BN891)</f>
        <v>6.3536554875275035</v>
      </c>
      <c r="BP891" s="132" t="str">
        <f>INDEX('HCW + Staff Summary'!$E$7:$E$270,MATCH($B891,'HCW + Staff Summary'!$B$7:$B$270,0))</f>
        <v>OUT</v>
      </c>
      <c r="BQ891" s="429">
        <f>INDEX('WB HCW &amp; Beds'!$BU$838:$BU$842,MATCH($BP891,'WB HCW &amp; Beds'!$BS$838:$BS$842,0))*100</f>
        <v>2.7250000000000001</v>
      </c>
    </row>
    <row r="892" spans="2:69" x14ac:dyDescent="0.75">
      <c r="B892" s="43" t="s">
        <v>383</v>
      </c>
      <c r="C892" s="43" t="s">
        <v>384</v>
      </c>
      <c r="D892" s="43" t="s">
        <v>632</v>
      </c>
      <c r="E892" s="43" t="s">
        <v>633</v>
      </c>
      <c r="F892" s="43"/>
      <c r="G892" s="43"/>
      <c r="H892" s="43"/>
      <c r="I892" s="43"/>
      <c r="J892" s="43"/>
      <c r="K892" s="43"/>
      <c r="L892" s="43"/>
      <c r="M892" s="43"/>
      <c r="N892" s="43"/>
      <c r="O892" s="43"/>
      <c r="P892" s="43"/>
      <c r="Q892" s="43"/>
      <c r="R892" s="43"/>
      <c r="S892" s="43"/>
      <c r="T892" s="43"/>
      <c r="U892" s="43"/>
      <c r="V892" s="43"/>
      <c r="W892" s="43"/>
      <c r="X892" s="43"/>
      <c r="Y892" s="43"/>
      <c r="Z892" s="43">
        <v>9.1576921109640672</v>
      </c>
      <c r="AA892" s="43"/>
      <c r="AB892" s="43"/>
      <c r="AC892" s="43"/>
      <c r="AD892" s="43"/>
      <c r="AE892" s="43">
        <v>9.5903866634651962</v>
      </c>
      <c r="AF892" s="43">
        <v>9.6761364320873895</v>
      </c>
      <c r="AG892" s="43">
        <v>9.657898595618196</v>
      </c>
      <c r="AH892" s="43">
        <v>9.6259404045284374</v>
      </c>
      <c r="AI892" s="43">
        <v>9.5697576288973547</v>
      </c>
      <c r="AJ892" s="43">
        <v>9.1682881464211405</v>
      </c>
      <c r="AK892" s="43">
        <v>9.0313720961776127</v>
      </c>
      <c r="AL892" s="43">
        <v>8.7010240893671114</v>
      </c>
      <c r="AM892" s="43">
        <v>8.5243094675918822</v>
      </c>
      <c r="AN892" s="43">
        <v>8.3277769968538315</v>
      </c>
      <c r="AO892" s="43">
        <v>8.133391246696652</v>
      </c>
      <c r="AP892" s="43">
        <v>7.908296498571632</v>
      </c>
      <c r="AQ892" s="43">
        <v>7.5473841706170379</v>
      </c>
      <c r="AR892" s="43">
        <v>7.3030722003386241</v>
      </c>
      <c r="AS892" s="43">
        <v>7.0957499625425724</v>
      </c>
      <c r="AT892" s="43">
        <v>6.9693971787262292</v>
      </c>
      <c r="AU892" s="43">
        <v>6.9585250016874056</v>
      </c>
      <c r="AV892" s="43">
        <v>6.8179359855156436</v>
      </c>
      <c r="AW892" s="43">
        <v>6.7238296078481987</v>
      </c>
      <c r="AX892" s="43">
        <v>6.5277522156009837</v>
      </c>
      <c r="AY892" s="43">
        <v>6.4423706219355035</v>
      </c>
      <c r="AZ892" s="43">
        <v>6.3576100162742195</v>
      </c>
      <c r="BA892" s="43">
        <v>6.2152038577770492</v>
      </c>
      <c r="BB892" s="43">
        <v>6.1361242774446971</v>
      </c>
      <c r="BC892" s="43">
        <v>6.0871665633742555</v>
      </c>
      <c r="BD892" s="43">
        <v>5.9797164022951739</v>
      </c>
      <c r="BE892" s="43">
        <v>5.8554030012948486</v>
      </c>
      <c r="BF892" s="43">
        <v>5.804723767468837</v>
      </c>
      <c r="BG892" s="43">
        <v>5.9249214621143169</v>
      </c>
      <c r="BH892" s="43"/>
      <c r="BI892" s="43"/>
      <c r="BJ892" s="43"/>
      <c r="BK892" s="43"/>
      <c r="BL892" s="43"/>
      <c r="BM892" s="43"/>
      <c r="BN892" s="56">
        <f t="shared" si="25"/>
        <v>5.9249214621143169</v>
      </c>
      <c r="BO892" s="428">
        <f>IF(BN892="No reported value",INDEX('WB HCW &amp; Beds'!$BU$831:$BU$835,MATCH($BP892,'WB HCW &amp; Beds'!$BS$831:$BS$835,0)),$BN892)</f>
        <v>5.9249214621143169</v>
      </c>
      <c r="BP892" s="132" t="str">
        <f>INDEX('HCW + Staff Summary'!$E$7:$E$270,MATCH($B892,'HCW + Staff Summary'!$B$7:$B$270,0))</f>
        <v>OUT</v>
      </c>
      <c r="BQ892" s="429">
        <f>INDEX('WB HCW &amp; Beds'!$BU$838:$BU$842,MATCH($BP892,'WB HCW &amp; Beds'!$BS$838:$BS$842,0))*100</f>
        <v>2.7250000000000001</v>
      </c>
    </row>
    <row r="893" spans="2:69" x14ac:dyDescent="0.75">
      <c r="B893" s="43" t="s">
        <v>377</v>
      </c>
      <c r="C893" s="43" t="s">
        <v>38</v>
      </c>
      <c r="D893" s="43" t="s">
        <v>632</v>
      </c>
      <c r="E893" s="43" t="s">
        <v>633</v>
      </c>
      <c r="F893" s="43">
        <v>1.8706915378570601</v>
      </c>
      <c r="G893" s="43"/>
      <c r="H893" s="43"/>
      <c r="I893" s="43"/>
      <c r="J893" s="43"/>
      <c r="K893" s="43"/>
      <c r="L893" s="43"/>
      <c r="M893" s="43"/>
      <c r="N893" s="43"/>
      <c r="O893" s="43"/>
      <c r="P893" s="43">
        <v>2.34910011291504</v>
      </c>
      <c r="Q893" s="43"/>
      <c r="R893" s="43"/>
      <c r="S893" s="43"/>
      <c r="T893" s="43"/>
      <c r="U893" s="43">
        <v>2.5462999343872101</v>
      </c>
      <c r="V893" s="43"/>
      <c r="W893" s="43"/>
      <c r="X893" s="43"/>
      <c r="Y893" s="43"/>
      <c r="Z893" s="43">
        <v>1.90719997882843</v>
      </c>
      <c r="AA893" s="43"/>
      <c r="AB893" s="43"/>
      <c r="AC893" s="43"/>
      <c r="AD893" s="43"/>
      <c r="AE893" s="43"/>
      <c r="AF893" s="43"/>
      <c r="AG893" s="43"/>
      <c r="AH893" s="43"/>
      <c r="AI893" s="43"/>
      <c r="AJ893" s="43">
        <v>1.6440999508</v>
      </c>
      <c r="AK893" s="43"/>
      <c r="AL893" s="43"/>
      <c r="AM893" s="43">
        <v>1.6000000238000001</v>
      </c>
      <c r="AN893" s="43"/>
      <c r="AO893" s="43"/>
      <c r="AP893" s="43">
        <v>1.5499999523000001</v>
      </c>
      <c r="AQ893" s="43"/>
      <c r="AR893" s="43"/>
      <c r="AS893" s="43"/>
      <c r="AT893" s="43"/>
      <c r="AU893" s="43"/>
      <c r="AV893" s="43">
        <v>1.5</v>
      </c>
      <c r="AW893" s="43">
        <v>1.7</v>
      </c>
      <c r="AX893" s="43"/>
      <c r="AY893" s="43"/>
      <c r="AZ893" s="43"/>
      <c r="BA893" s="43">
        <v>1.5</v>
      </c>
      <c r="BB893" s="43">
        <v>1.5</v>
      </c>
      <c r="BC893" s="43">
        <v>1.5</v>
      </c>
      <c r="BD893" s="43">
        <v>1.6</v>
      </c>
      <c r="BE893" s="43">
        <v>1.6</v>
      </c>
      <c r="BF893" s="43">
        <v>1.5</v>
      </c>
      <c r="BG893" s="43">
        <v>1.5</v>
      </c>
      <c r="BH893" s="43"/>
      <c r="BI893" s="43"/>
      <c r="BJ893" s="43"/>
      <c r="BK893" s="43"/>
      <c r="BL893" s="43"/>
      <c r="BM893" s="43"/>
      <c r="BN893" s="56">
        <f t="shared" ref="BN893:BN956" si="26">IFERROR(LOOKUP(2,1/(ISNUMBER(F893:BM893)),F893:BM893),"No reported value")</f>
        <v>1.5</v>
      </c>
      <c r="BO893" s="428">
        <f>IF(BN893="No reported value",INDEX('WB HCW &amp; Beds'!$BU$831:$BU$835,MATCH($BP893,'WB HCW &amp; Beds'!$BS$831:$BS$835,0)),$BN893)</f>
        <v>1.5</v>
      </c>
      <c r="BP893" s="132" t="str">
        <f>INDEX('HCW + Staff Summary'!$E$7:$E$270,MATCH($B893,'HCW + Staff Summary'!$B$7:$B$270,0))</f>
        <v>Upper middle income</v>
      </c>
      <c r="BQ893" s="429">
        <f>INDEX('WB HCW &amp; Beds'!$BU$838:$BU$842,MATCH($BP893,'WB HCW &amp; Beds'!$BS$838:$BS$842,0))*100</f>
        <v>3.32</v>
      </c>
    </row>
    <row r="894" spans="2:69" x14ac:dyDescent="0.75">
      <c r="B894" s="43" t="s">
        <v>378</v>
      </c>
      <c r="C894" s="43" t="s">
        <v>39</v>
      </c>
      <c r="D894" s="43" t="s">
        <v>632</v>
      </c>
      <c r="E894" s="43" t="s">
        <v>633</v>
      </c>
      <c r="F894" s="43">
        <v>2.14697933197021</v>
      </c>
      <c r="G894" s="43"/>
      <c r="H894" s="43"/>
      <c r="I894" s="43"/>
      <c r="J894" s="43"/>
      <c r="K894" s="43"/>
      <c r="L894" s="43"/>
      <c r="M894" s="43"/>
      <c r="N894" s="43"/>
      <c r="O894" s="43"/>
      <c r="P894" s="43">
        <v>2.1805000305175799</v>
      </c>
      <c r="Q894" s="43"/>
      <c r="R894" s="43"/>
      <c r="S894" s="43"/>
      <c r="T894" s="43"/>
      <c r="U894" s="43">
        <v>2.03660011291504</v>
      </c>
      <c r="V894" s="43"/>
      <c r="W894" s="43"/>
      <c r="X894" s="43"/>
      <c r="Y894" s="43"/>
      <c r="Z894" s="43">
        <v>2.0262999534606898</v>
      </c>
      <c r="AA894" s="43">
        <v>2.0722000598907502</v>
      </c>
      <c r="AB894" s="43"/>
      <c r="AC894" s="43"/>
      <c r="AD894" s="43"/>
      <c r="AE894" s="43"/>
      <c r="AF894" s="43">
        <v>2.08570003509521</v>
      </c>
      <c r="AG894" s="43"/>
      <c r="AH894" s="43">
        <v>2.1247000694274898</v>
      </c>
      <c r="AI894" s="43">
        <v>2.0199000835418701</v>
      </c>
      <c r="AJ894" s="43">
        <v>2.0708999634</v>
      </c>
      <c r="AK894" s="43">
        <v>2.0241999626</v>
      </c>
      <c r="AL894" s="43">
        <v>2.0004000664000001</v>
      </c>
      <c r="AM894" s="43">
        <v>1.9292999505999999</v>
      </c>
      <c r="AN894" s="43"/>
      <c r="AO894" s="43"/>
      <c r="AP894" s="43">
        <v>2.0999999046000002</v>
      </c>
      <c r="AQ894" s="43">
        <v>2.0999999046000002</v>
      </c>
      <c r="AR894" s="43"/>
      <c r="AS894" s="43"/>
      <c r="AT894" s="43">
        <v>2.1</v>
      </c>
      <c r="AU894" s="43">
        <v>2.1</v>
      </c>
      <c r="AV894" s="43">
        <v>2.1</v>
      </c>
      <c r="AW894" s="43">
        <v>2.2000000000000002</v>
      </c>
      <c r="AX894" s="43">
        <v>2.2000000000000002</v>
      </c>
      <c r="AY894" s="43">
        <v>2.2000000000000002</v>
      </c>
      <c r="AZ894" s="43">
        <v>2.2000000000000002</v>
      </c>
      <c r="BA894" s="43">
        <v>2.1</v>
      </c>
      <c r="BB894" s="43">
        <v>2.1</v>
      </c>
      <c r="BC894" s="43">
        <v>1.7</v>
      </c>
      <c r="BD894" s="43">
        <v>1.7</v>
      </c>
      <c r="BE894" s="43">
        <v>0.5</v>
      </c>
      <c r="BF894" s="43">
        <v>0.5</v>
      </c>
      <c r="BG894" s="43">
        <v>0.5</v>
      </c>
      <c r="BH894" s="43">
        <v>1.6</v>
      </c>
      <c r="BI894" s="43"/>
      <c r="BJ894" s="43"/>
      <c r="BK894" s="43"/>
      <c r="BL894" s="43"/>
      <c r="BM894" s="43"/>
      <c r="BN894" s="56">
        <f t="shared" si="26"/>
        <v>1.6</v>
      </c>
      <c r="BO894" s="428">
        <f>IF(BN894="No reported value",INDEX('WB HCW &amp; Beds'!$BU$831:$BU$835,MATCH($BP894,'WB HCW &amp; Beds'!$BS$831:$BS$835,0)),$BN894)</f>
        <v>1.6</v>
      </c>
      <c r="BP894" s="132" t="str">
        <f>INDEX('HCW + Staff Summary'!$E$7:$E$270,MATCH($B894,'HCW + Staff Summary'!$B$7:$B$270,0))</f>
        <v>Lower middle income</v>
      </c>
      <c r="BQ894" s="429">
        <f>INDEX('WB HCW &amp; Beds'!$BU$838:$BU$842,MATCH($BP894,'WB HCW &amp; Beds'!$BS$838:$BS$842,0))*100</f>
        <v>2.3800000000000003</v>
      </c>
    </row>
    <row r="895" spans="2:69" x14ac:dyDescent="0.75">
      <c r="B895" s="43" t="s">
        <v>381</v>
      </c>
      <c r="C895" s="43" t="s">
        <v>382</v>
      </c>
      <c r="D895" s="43" t="s">
        <v>632</v>
      </c>
      <c r="E895" s="43" t="s">
        <v>633</v>
      </c>
      <c r="F895" s="43"/>
      <c r="G895" s="43"/>
      <c r="H895" s="43"/>
      <c r="I895" s="43"/>
      <c r="J895" s="43"/>
      <c r="K895" s="43"/>
      <c r="L895" s="43"/>
      <c r="M895" s="43"/>
      <c r="N895" s="43"/>
      <c r="O895" s="43"/>
      <c r="P895" s="43">
        <v>9.6521868385000644</v>
      </c>
      <c r="Q895" s="43"/>
      <c r="R895" s="43"/>
      <c r="S895" s="43"/>
      <c r="T895" s="43"/>
      <c r="U895" s="43"/>
      <c r="V895" s="43"/>
      <c r="W895" s="43"/>
      <c r="X895" s="43"/>
      <c r="Y895" s="43"/>
      <c r="Z895" s="43">
        <v>9.9420886777830777</v>
      </c>
      <c r="AA895" s="43"/>
      <c r="AB895" s="43"/>
      <c r="AC895" s="43"/>
      <c r="AD895" s="43"/>
      <c r="AE895" s="43">
        <v>9.075240271891257</v>
      </c>
      <c r="AF895" s="43"/>
      <c r="AG895" s="43"/>
      <c r="AH895" s="43"/>
      <c r="AI895" s="43"/>
      <c r="AJ895" s="43">
        <v>8.2412360403579328</v>
      </c>
      <c r="AK895" s="43">
        <v>8.0306240544810166</v>
      </c>
      <c r="AL895" s="43">
        <v>7.9077186424865422</v>
      </c>
      <c r="AM895" s="43">
        <v>7.7492458438421608</v>
      </c>
      <c r="AN895" s="43">
        <v>7.6486468837808177</v>
      </c>
      <c r="AO895" s="43">
        <v>7.5170944921046079</v>
      </c>
      <c r="AP895" s="43">
        <v>7.5023342470456527</v>
      </c>
      <c r="AQ895" s="43">
        <v>7.2348930466716697</v>
      </c>
      <c r="AR895" s="43">
        <v>7.0734917676958302</v>
      </c>
      <c r="AS895" s="43">
        <v>6.8794890069709806</v>
      </c>
      <c r="AT895" s="43">
        <v>6.721156724913099</v>
      </c>
      <c r="AU895" s="43">
        <v>6.6187218926077271</v>
      </c>
      <c r="AV895" s="43">
        <v>6.4973341818610564</v>
      </c>
      <c r="AW895" s="43">
        <v>6.3406305924854127</v>
      </c>
      <c r="AX895" s="43">
        <v>6.2100520963119461</v>
      </c>
      <c r="AY895" s="43">
        <v>6.14497378543303</v>
      </c>
      <c r="AZ895" s="43">
        <v>6.0038504592078734</v>
      </c>
      <c r="BA895" s="43">
        <v>5.9403162901826638</v>
      </c>
      <c r="BB895" s="43">
        <v>5.8257270773313774</v>
      </c>
      <c r="BC895" s="43">
        <v>5.7369896993653624</v>
      </c>
      <c r="BD895" s="43">
        <v>5.7135257237066037</v>
      </c>
      <c r="BE895" s="43">
        <v>5.6436411656663612</v>
      </c>
      <c r="BF895" s="43">
        <v>5.5763100928481117</v>
      </c>
      <c r="BG895" s="43">
        <v>6.1674908124806294</v>
      </c>
      <c r="BH895" s="43"/>
      <c r="BI895" s="43"/>
      <c r="BJ895" s="43"/>
      <c r="BK895" s="43"/>
      <c r="BL895" s="43"/>
      <c r="BM895" s="43"/>
      <c r="BN895" s="56">
        <f t="shared" si="26"/>
        <v>6.1674908124806294</v>
      </c>
      <c r="BO895" s="428">
        <f>IF(BN895="No reported value",INDEX('WB HCW &amp; Beds'!$BU$831:$BU$835,MATCH($BP895,'WB HCW &amp; Beds'!$BS$831:$BS$835,0)),$BN895)</f>
        <v>6.1674908124806294</v>
      </c>
      <c r="BP895" s="132" t="str">
        <f>INDEX('HCW + Staff Summary'!$E$7:$E$270,MATCH($B895,'HCW + Staff Summary'!$B$7:$B$270,0))</f>
        <v>OUT</v>
      </c>
      <c r="BQ895" s="429">
        <f>INDEX('WB HCW &amp; Beds'!$BU$838:$BU$842,MATCH($BP895,'WB HCW &amp; Beds'!$BS$838:$BS$842,0))*100</f>
        <v>2.7250000000000001</v>
      </c>
    </row>
    <row r="896" spans="2:69" x14ac:dyDescent="0.75">
      <c r="B896" s="43" t="s">
        <v>192</v>
      </c>
      <c r="C896" s="43" t="s">
        <v>168</v>
      </c>
      <c r="D896" s="43" t="s">
        <v>632</v>
      </c>
      <c r="E896" s="43" t="s">
        <v>633</v>
      </c>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v>1.2</v>
      </c>
      <c r="BA896" s="43"/>
      <c r="BB896" s="43"/>
      <c r="BC896" s="43"/>
      <c r="BD896" s="43"/>
      <c r="BE896" s="43">
        <v>0.7</v>
      </c>
      <c r="BF896" s="43"/>
      <c r="BG896" s="43"/>
      <c r="BH896" s="43"/>
      <c r="BI896" s="43"/>
      <c r="BJ896" s="43"/>
      <c r="BK896" s="43"/>
      <c r="BL896" s="43"/>
      <c r="BM896" s="43"/>
      <c r="BN896" s="56">
        <f t="shared" si="26"/>
        <v>0.7</v>
      </c>
      <c r="BO896" s="428">
        <f>IF(BN896="No reported value",INDEX('WB HCW &amp; Beds'!$BU$831:$BU$835,MATCH($BP896,'WB HCW &amp; Beds'!$BS$831:$BS$835,0)),$BN896)</f>
        <v>0.7</v>
      </c>
      <c r="BP896" s="132" t="str">
        <f>INDEX('HCW + Staff Summary'!$E$7:$E$270,MATCH($B896,'HCW + Staff Summary'!$B$7:$B$270,0))</f>
        <v>Low income</v>
      </c>
      <c r="BQ896" s="429">
        <f>INDEX('WB HCW &amp; Beds'!$BU$838:$BU$842,MATCH($BP896,'WB HCW &amp; Beds'!$BS$838:$BS$842,0))*100</f>
        <v>1.63</v>
      </c>
    </row>
    <row r="897" spans="2:69" x14ac:dyDescent="0.75">
      <c r="B897" s="43" t="s">
        <v>530</v>
      </c>
      <c r="C897" s="43" t="s">
        <v>40</v>
      </c>
      <c r="D897" s="43" t="s">
        <v>632</v>
      </c>
      <c r="E897" s="43" t="s">
        <v>633</v>
      </c>
      <c r="F897" s="43"/>
      <c r="G897" s="43"/>
      <c r="H897" s="43"/>
      <c r="I897" s="43"/>
      <c r="J897" s="43"/>
      <c r="K897" s="43"/>
      <c r="L897" s="43"/>
      <c r="M897" s="43"/>
      <c r="N897" s="43"/>
      <c r="O897" s="43"/>
      <c r="P897" s="43">
        <v>4.6999998092651403</v>
      </c>
      <c r="Q897" s="43"/>
      <c r="R897" s="43"/>
      <c r="S897" s="43"/>
      <c r="T897" s="43"/>
      <c r="U897" s="43"/>
      <c r="V897" s="43"/>
      <c r="W897" s="43"/>
      <c r="X897" s="43"/>
      <c r="Y897" s="43">
        <v>5.5</v>
      </c>
      <c r="Z897" s="43">
        <v>5.4000000953674299</v>
      </c>
      <c r="AA897" s="43">
        <v>5.4000000953674299</v>
      </c>
      <c r="AB897" s="43">
        <v>5.4000000953674299</v>
      </c>
      <c r="AC897" s="43">
        <v>5.1999998092651403</v>
      </c>
      <c r="AD897" s="43">
        <v>5</v>
      </c>
      <c r="AE897" s="43">
        <v>4.9000000953674299</v>
      </c>
      <c r="AF897" s="43">
        <v>4.8000001907348597</v>
      </c>
      <c r="AG897" s="43">
        <v>4.8000001907348597</v>
      </c>
      <c r="AH897" s="43">
        <v>4.6999998092651403</v>
      </c>
      <c r="AI897" s="43">
        <v>4.6999998092651403</v>
      </c>
      <c r="AJ897" s="43">
        <v>4.5999999045999997</v>
      </c>
      <c r="AK897" s="43">
        <v>4.5999999045999997</v>
      </c>
      <c r="AL897" s="43">
        <v>4.5</v>
      </c>
      <c r="AM897" s="43">
        <v>4.4000000954000003</v>
      </c>
      <c r="AN897" s="43">
        <v>4.4000000954000003</v>
      </c>
      <c r="AO897" s="43">
        <v>4.3000001906999996</v>
      </c>
      <c r="AP897" s="43">
        <v>4.3000001906999996</v>
      </c>
      <c r="AQ897" s="43">
        <v>4.1999998093000004</v>
      </c>
      <c r="AR897" s="43">
        <v>4.1999998093000004</v>
      </c>
      <c r="AS897" s="43">
        <v>4.0999999045999997</v>
      </c>
      <c r="AT897" s="43">
        <v>3.7</v>
      </c>
      <c r="AU897" s="43">
        <v>3.6</v>
      </c>
      <c r="AV897" s="43">
        <v>3.5</v>
      </c>
      <c r="AW897" s="43">
        <v>3.5</v>
      </c>
      <c r="AX897" s="43">
        <v>3.4</v>
      </c>
      <c r="AY897" s="43">
        <v>3.4</v>
      </c>
      <c r="AZ897" s="43">
        <v>3.3</v>
      </c>
      <c r="BA897" s="43">
        <v>3.3</v>
      </c>
      <c r="BB897" s="43">
        <v>3.2</v>
      </c>
      <c r="BC897" s="43">
        <v>3.2</v>
      </c>
      <c r="BD897" s="43">
        <v>3.2</v>
      </c>
      <c r="BE897" s="43">
        <v>3.1</v>
      </c>
      <c r="BF897" s="43">
        <v>3</v>
      </c>
      <c r="BG897" s="43">
        <v>3</v>
      </c>
      <c r="BH897" s="43"/>
      <c r="BI897" s="43"/>
      <c r="BJ897" s="43"/>
      <c r="BK897" s="43"/>
      <c r="BL897" s="43"/>
      <c r="BM897" s="43"/>
      <c r="BN897" s="56">
        <f t="shared" si="26"/>
        <v>3</v>
      </c>
      <c r="BO897" s="428">
        <f>IF(BN897="No reported value",INDEX('WB HCW &amp; Beds'!$BU$831:$BU$835,MATCH($BP897,'WB HCW &amp; Beds'!$BS$831:$BS$835,0)),$BN897)</f>
        <v>3</v>
      </c>
      <c r="BP897" s="132" t="str">
        <f>INDEX('HCW + Staff Summary'!$E$7:$E$270,MATCH($B897,'HCW + Staff Summary'!$B$7:$B$270,0))</f>
        <v>High income</v>
      </c>
      <c r="BQ897" s="429">
        <f>INDEX('WB HCW &amp; Beds'!$BU$838:$BU$842,MATCH($BP897,'WB HCW &amp; Beds'!$BS$838:$BS$842,0))*100</f>
        <v>3.5700000000000003</v>
      </c>
    </row>
    <row r="898" spans="2:69" x14ac:dyDescent="0.75">
      <c r="B898" s="43" t="s">
        <v>379</v>
      </c>
      <c r="C898" s="43" t="s">
        <v>41</v>
      </c>
      <c r="D898" s="43" t="s">
        <v>632</v>
      </c>
      <c r="E898" s="43" t="s">
        <v>633</v>
      </c>
      <c r="F898" s="43"/>
      <c r="G898" s="43"/>
      <c r="H898" s="43"/>
      <c r="I898" s="43"/>
      <c r="J898" s="43"/>
      <c r="K898" s="43"/>
      <c r="L898" s="43"/>
      <c r="M898" s="43"/>
      <c r="N898" s="43"/>
      <c r="O898" s="43"/>
      <c r="P898" s="43"/>
      <c r="Q898" s="43"/>
      <c r="R898" s="43"/>
      <c r="S898" s="43"/>
      <c r="T898" s="43"/>
      <c r="U898" s="43"/>
      <c r="V898" s="43"/>
      <c r="W898" s="43"/>
      <c r="X898" s="43"/>
      <c r="Y898" s="43"/>
      <c r="Z898" s="43">
        <v>12.1850996017456</v>
      </c>
      <c r="AA898" s="43"/>
      <c r="AB898" s="43"/>
      <c r="AC898" s="43"/>
      <c r="AD898" s="43"/>
      <c r="AE898" s="43">
        <v>12.2743997573853</v>
      </c>
      <c r="AF898" s="43">
        <v>12.265199661254901</v>
      </c>
      <c r="AG898" s="43">
        <v>12.1365003585815</v>
      </c>
      <c r="AH898" s="43">
        <v>12.026700019836399</v>
      </c>
      <c r="AI898" s="43">
        <v>11.9308004379272</v>
      </c>
      <c r="AJ898" s="43">
        <v>11.6106004715</v>
      </c>
      <c r="AK898" s="43">
        <v>11.289199829099999</v>
      </c>
      <c r="AL898" s="43">
        <v>9.6816997528000002</v>
      </c>
      <c r="AM898" s="43">
        <v>9.6223001480000008</v>
      </c>
      <c r="AN898" s="43">
        <v>8.5613002776999991</v>
      </c>
      <c r="AO898" s="43">
        <v>8.3500003814999992</v>
      </c>
      <c r="AP898" s="43">
        <v>7.9000000954000003</v>
      </c>
      <c r="AQ898" s="43">
        <v>7.7100000380999996</v>
      </c>
      <c r="AR898" s="43">
        <v>7.5799999237</v>
      </c>
      <c r="AS898" s="43">
        <v>7.5300002097999998</v>
      </c>
      <c r="AT898" s="43">
        <v>7</v>
      </c>
      <c r="AU898" s="43">
        <v>6.6</v>
      </c>
      <c r="AV898" s="43">
        <v>6</v>
      </c>
      <c r="AW898" s="43">
        <v>5.7</v>
      </c>
      <c r="AX898" s="43">
        <v>5.7</v>
      </c>
      <c r="AY898" s="43">
        <v>5.4</v>
      </c>
      <c r="AZ898" s="43">
        <v>5.6</v>
      </c>
      <c r="BA898" s="43">
        <v>5.5</v>
      </c>
      <c r="BB898" s="43">
        <v>5.7</v>
      </c>
      <c r="BC898" s="43">
        <v>5.4</v>
      </c>
      <c r="BD898" s="43">
        <v>5.2</v>
      </c>
      <c r="BE898" s="43">
        <v>5.3</v>
      </c>
      <c r="BF898" s="43">
        <v>5.5</v>
      </c>
      <c r="BG898" s="43">
        <v>5</v>
      </c>
      <c r="BH898" s="43"/>
      <c r="BI898" s="43">
        <v>5</v>
      </c>
      <c r="BJ898" s="43"/>
      <c r="BK898" s="43"/>
      <c r="BL898" s="43"/>
      <c r="BM898" s="43"/>
      <c r="BN898" s="56">
        <f t="shared" si="26"/>
        <v>5</v>
      </c>
      <c r="BO898" s="428">
        <f>IF(BN898="No reported value",INDEX('WB HCW &amp; Beds'!$BU$831:$BU$835,MATCH($BP898,'WB HCW &amp; Beds'!$BS$831:$BS$835,0)),$BN898)</f>
        <v>5</v>
      </c>
      <c r="BP898" s="132" t="str">
        <f>INDEX('HCW + Staff Summary'!$E$7:$E$270,MATCH($B898,'HCW + Staff Summary'!$B$7:$B$270,0))</f>
        <v>High income</v>
      </c>
      <c r="BQ898" s="429">
        <f>INDEX('WB HCW &amp; Beds'!$BU$838:$BU$842,MATCH($BP898,'WB HCW &amp; Beds'!$BS$838:$BS$842,0))*100</f>
        <v>3.5700000000000003</v>
      </c>
    </row>
    <row r="899" spans="2:69" x14ac:dyDescent="0.75">
      <c r="B899" s="43" t="s">
        <v>194</v>
      </c>
      <c r="C899" s="43" t="s">
        <v>42</v>
      </c>
      <c r="D899" s="43" t="s">
        <v>632</v>
      </c>
      <c r="E899" s="43" t="s">
        <v>633</v>
      </c>
      <c r="F899" s="43">
        <v>0.29423388838768</v>
      </c>
      <c r="G899" s="43"/>
      <c r="H899" s="43"/>
      <c r="I899" s="43"/>
      <c r="J899" s="43"/>
      <c r="K899" s="43"/>
      <c r="L899" s="43"/>
      <c r="M899" s="43"/>
      <c r="N899" s="43"/>
      <c r="O899" s="43"/>
      <c r="P899" s="43">
        <v>0.28519999980926503</v>
      </c>
      <c r="Q899" s="43"/>
      <c r="R899" s="43"/>
      <c r="S899" s="43"/>
      <c r="T899" s="43"/>
      <c r="U899" s="43">
        <v>0.285699993371964</v>
      </c>
      <c r="V899" s="43"/>
      <c r="W899" s="43"/>
      <c r="X899" s="43"/>
      <c r="Y899" s="43"/>
      <c r="Z899" s="43">
        <v>0.29550001025199901</v>
      </c>
      <c r="AA899" s="43"/>
      <c r="AB899" s="43"/>
      <c r="AC899" s="43"/>
      <c r="AD899" s="43"/>
      <c r="AE899" s="43"/>
      <c r="AF899" s="43"/>
      <c r="AG899" s="43"/>
      <c r="AH899" s="43"/>
      <c r="AI899" s="43"/>
      <c r="AJ899" s="43">
        <v>0.2415000051</v>
      </c>
      <c r="AK899" s="43"/>
      <c r="AL899" s="43"/>
      <c r="AM899" s="43"/>
      <c r="AN899" s="43"/>
      <c r="AO899" s="43"/>
      <c r="AP899" s="43"/>
      <c r="AQ899" s="43"/>
      <c r="AR899" s="43"/>
      <c r="AS899" s="43"/>
      <c r="AT899" s="43"/>
      <c r="AU899" s="43"/>
      <c r="AV899" s="43"/>
      <c r="AW899" s="43"/>
      <c r="AX899" s="43">
        <v>0.2</v>
      </c>
      <c r="AY899" s="43"/>
      <c r="AZ899" s="43">
        <v>0.2</v>
      </c>
      <c r="BA899" s="43"/>
      <c r="BB899" s="43">
        <v>0.2</v>
      </c>
      <c r="BC899" s="43"/>
      <c r="BD899" s="43"/>
      <c r="BE899" s="43">
        <v>6.3</v>
      </c>
      <c r="BF899" s="43"/>
      <c r="BG899" s="43"/>
      <c r="BH899" s="43"/>
      <c r="BI899" s="43">
        <v>0.3</v>
      </c>
      <c r="BJ899" s="43"/>
      <c r="BK899" s="43"/>
      <c r="BL899" s="43"/>
      <c r="BM899" s="43"/>
      <c r="BN899" s="56">
        <f t="shared" si="26"/>
        <v>0.3</v>
      </c>
      <c r="BO899" s="428">
        <f>IF(BN899="No reported value",INDEX('WB HCW &amp; Beds'!$BU$831:$BU$835,MATCH($BP899,'WB HCW &amp; Beds'!$BS$831:$BS$835,0)),$BN899)</f>
        <v>0.3</v>
      </c>
      <c r="BP899" s="132" t="str">
        <f>INDEX('HCW + Staff Summary'!$E$7:$E$270,MATCH($B899,'HCW + Staff Summary'!$B$7:$B$270,0))</f>
        <v>Low income</v>
      </c>
      <c r="BQ899" s="429">
        <f>INDEX('WB HCW &amp; Beds'!$BU$838:$BU$842,MATCH($BP899,'WB HCW &amp; Beds'!$BS$838:$BS$842,0))*100</f>
        <v>1.63</v>
      </c>
    </row>
    <row r="900" spans="2:69" x14ac:dyDescent="0.75">
      <c r="B900" s="43" t="s">
        <v>389</v>
      </c>
      <c r="C900" s="43" t="s">
        <v>390</v>
      </c>
      <c r="D900" s="43" t="s">
        <v>632</v>
      </c>
      <c r="E900" s="43" t="s">
        <v>633</v>
      </c>
      <c r="F900" s="43"/>
      <c r="G900" s="43"/>
      <c r="H900" s="43"/>
      <c r="I900" s="43"/>
      <c r="J900" s="43"/>
      <c r="K900" s="43"/>
      <c r="L900" s="43"/>
      <c r="M900" s="43"/>
      <c r="N900" s="43"/>
      <c r="O900" s="43"/>
      <c r="P900" s="43">
        <v>9.2814837195679694</v>
      </c>
      <c r="Q900" s="43"/>
      <c r="R900" s="43"/>
      <c r="S900" s="43"/>
      <c r="T900" s="43"/>
      <c r="U900" s="43"/>
      <c r="V900" s="43"/>
      <c r="W900" s="43"/>
      <c r="X900" s="43"/>
      <c r="Y900" s="43"/>
      <c r="Z900" s="43">
        <v>9.3315284648278602</v>
      </c>
      <c r="AA900" s="43"/>
      <c r="AB900" s="43"/>
      <c r="AC900" s="43"/>
      <c r="AD900" s="43"/>
      <c r="AE900" s="43">
        <v>8.6898606374655696</v>
      </c>
      <c r="AF900" s="43"/>
      <c r="AG900" s="43"/>
      <c r="AH900" s="43"/>
      <c r="AI900" s="43"/>
      <c r="AJ900" s="43">
        <v>7.9149497199830394</v>
      </c>
      <c r="AK900" s="43">
        <v>7.7122804894849706</v>
      </c>
      <c r="AL900" s="43">
        <v>7.4589449037143734</v>
      </c>
      <c r="AM900" s="43">
        <v>7.30177574253117</v>
      </c>
      <c r="AN900" s="43">
        <v>7.2138291484978962</v>
      </c>
      <c r="AO900" s="43">
        <v>6.9916042197264705</v>
      </c>
      <c r="AP900" s="43">
        <v>6.9528350810373212</v>
      </c>
      <c r="AQ900" s="43">
        <v>6.7596036871030503</v>
      </c>
      <c r="AR900" s="43">
        <v>6.5575947202518403</v>
      </c>
      <c r="AS900" s="43">
        <v>6.3650354034665142</v>
      </c>
      <c r="AT900" s="43">
        <v>6.2842420263390375</v>
      </c>
      <c r="AU900" s="43">
        <v>6.2942644875254157</v>
      </c>
      <c r="AV900" s="43">
        <v>6.1414977527868801</v>
      </c>
      <c r="AW900" s="43">
        <v>6.0701597055612639</v>
      </c>
      <c r="AX900" s="43">
        <v>5.9614359247604076</v>
      </c>
      <c r="AY900" s="43">
        <v>5.8830739072176756</v>
      </c>
      <c r="AZ900" s="43">
        <v>5.764742719885299</v>
      </c>
      <c r="BA900" s="43">
        <v>5.6634509506829467</v>
      </c>
      <c r="BB900" s="43">
        <v>5.5986562394958082</v>
      </c>
      <c r="BC900" s="43">
        <v>5.5298258047834308</v>
      </c>
      <c r="BD900" s="43">
        <v>5.4358933029301104</v>
      </c>
      <c r="BE900" s="43">
        <v>5.355739772247321</v>
      </c>
      <c r="BF900" s="43">
        <v>5.3220973418402844</v>
      </c>
      <c r="BG900" s="43">
        <v>5.6014569885033216</v>
      </c>
      <c r="BH900" s="43"/>
      <c r="BI900" s="43"/>
      <c r="BJ900" s="43"/>
      <c r="BK900" s="43"/>
      <c r="BL900" s="43"/>
      <c r="BM900" s="43"/>
      <c r="BN900" s="56">
        <f t="shared" si="26"/>
        <v>5.6014569885033216</v>
      </c>
      <c r="BO900" s="428">
        <f>IF(BN900="No reported value",INDEX('WB HCW &amp; Beds'!$BU$831:$BU$835,MATCH($BP900,'WB HCW &amp; Beds'!$BS$831:$BS$835,0)),$BN900)</f>
        <v>5.6014569885033216</v>
      </c>
      <c r="BP900" s="132" t="str">
        <f>INDEX('HCW + Staff Summary'!$E$7:$E$270,MATCH($B900,'HCW + Staff Summary'!$B$7:$B$270,0))</f>
        <v>OUT</v>
      </c>
      <c r="BQ900" s="429">
        <f>INDEX('WB HCW &amp; Beds'!$BU$838:$BU$842,MATCH($BP900,'WB HCW &amp; Beds'!$BS$838:$BS$842,0))*100</f>
        <v>2.7250000000000001</v>
      </c>
    </row>
    <row r="901" spans="2:69" x14ac:dyDescent="0.75">
      <c r="B901" s="43" t="s">
        <v>394</v>
      </c>
      <c r="C901" s="43" t="s">
        <v>395</v>
      </c>
      <c r="D901" s="43" t="s">
        <v>632</v>
      </c>
      <c r="E901" s="43" t="s">
        <v>633</v>
      </c>
      <c r="F901" s="43">
        <v>1.737769374760578</v>
      </c>
      <c r="G901" s="43"/>
      <c r="H901" s="43"/>
      <c r="I901" s="43"/>
      <c r="J901" s="43"/>
      <c r="K901" s="43"/>
      <c r="L901" s="43"/>
      <c r="M901" s="43"/>
      <c r="N901" s="43"/>
      <c r="O901" s="43"/>
      <c r="P901" s="43">
        <v>1.6668245473295027</v>
      </c>
      <c r="Q901" s="43"/>
      <c r="R901" s="43"/>
      <c r="S901" s="43"/>
      <c r="T901" s="43"/>
      <c r="U901" s="43"/>
      <c r="V901" s="43"/>
      <c r="W901" s="43"/>
      <c r="X901" s="43"/>
      <c r="Y901" s="43"/>
      <c r="Z901" s="43"/>
      <c r="AA901" s="43"/>
      <c r="AB901" s="43"/>
      <c r="AC901" s="43"/>
      <c r="AD901" s="43"/>
      <c r="AE901" s="43"/>
      <c r="AF901" s="43"/>
      <c r="AG901" s="43"/>
      <c r="AH901" s="43"/>
      <c r="AI901" s="43"/>
      <c r="AJ901" s="43">
        <v>1.1304049698107546</v>
      </c>
      <c r="AK901" s="43"/>
      <c r="AL901" s="43"/>
      <c r="AM901" s="43"/>
      <c r="AN901" s="43"/>
      <c r="AO901" s="43"/>
      <c r="AP901" s="43"/>
      <c r="AQ901" s="43"/>
      <c r="AR901" s="43"/>
      <c r="AS901" s="43"/>
      <c r="AT901" s="43"/>
      <c r="AU901" s="43"/>
      <c r="AV901" s="43"/>
      <c r="AW901" s="43"/>
      <c r="AX901" s="43"/>
      <c r="AY901" s="43"/>
      <c r="AZ901" s="43">
        <v>0.9770048657316277</v>
      </c>
      <c r="BA901" s="43"/>
      <c r="BB901" s="43"/>
      <c r="BC901" s="43"/>
      <c r="BD901" s="43"/>
      <c r="BE901" s="43"/>
      <c r="BF901" s="43"/>
      <c r="BG901" s="43"/>
      <c r="BH901" s="43"/>
      <c r="BI901" s="43"/>
      <c r="BJ901" s="43"/>
      <c r="BK901" s="43"/>
      <c r="BL901" s="43"/>
      <c r="BM901" s="43"/>
      <c r="BN901" s="56">
        <f t="shared" si="26"/>
        <v>0.9770048657316277</v>
      </c>
      <c r="BO901" s="428">
        <f>IF(BN901="No reported value",INDEX('WB HCW &amp; Beds'!$BU$831:$BU$835,MATCH($BP901,'WB HCW &amp; Beds'!$BS$831:$BS$835,0)),$BN901)</f>
        <v>0.9770048657316277</v>
      </c>
      <c r="BP901" s="132" t="str">
        <f>INDEX('HCW + Staff Summary'!$E$7:$E$270,MATCH($B901,'HCW + Staff Summary'!$B$7:$B$270,0))</f>
        <v>OUT</v>
      </c>
      <c r="BQ901" s="429">
        <f>INDEX('WB HCW &amp; Beds'!$BU$838:$BU$842,MATCH($BP901,'WB HCW &amp; Beds'!$BS$838:$BS$842,0))*100</f>
        <v>2.7250000000000001</v>
      </c>
    </row>
    <row r="902" spans="2:69" x14ac:dyDescent="0.75">
      <c r="B902" s="43" t="s">
        <v>393</v>
      </c>
      <c r="C902" s="43" t="s">
        <v>43</v>
      </c>
      <c r="D902" s="43" t="s">
        <v>632</v>
      </c>
      <c r="E902" s="43" t="s">
        <v>633</v>
      </c>
      <c r="F902" s="43"/>
      <c r="G902" s="43"/>
      <c r="H902" s="43"/>
      <c r="I902" s="43"/>
      <c r="J902" s="43"/>
      <c r="K902" s="43"/>
      <c r="L902" s="43"/>
      <c r="M902" s="43"/>
      <c r="N902" s="43"/>
      <c r="O902" s="43"/>
      <c r="P902" s="43">
        <v>15.1000003814697</v>
      </c>
      <c r="Q902" s="43"/>
      <c r="R902" s="43"/>
      <c r="S902" s="43"/>
      <c r="T902" s="43"/>
      <c r="U902" s="43"/>
      <c r="V902" s="43"/>
      <c r="W902" s="43"/>
      <c r="X902" s="43"/>
      <c r="Y902" s="43"/>
      <c r="Z902" s="43">
        <v>15.6000003814697</v>
      </c>
      <c r="AA902" s="43"/>
      <c r="AB902" s="43"/>
      <c r="AC902" s="43"/>
      <c r="AD902" s="43"/>
      <c r="AE902" s="43">
        <v>14</v>
      </c>
      <c r="AF902" s="43"/>
      <c r="AG902" s="43"/>
      <c r="AH902" s="43"/>
      <c r="AI902" s="43"/>
      <c r="AJ902" s="43">
        <v>12.5</v>
      </c>
      <c r="AK902" s="43">
        <v>11.199999809299999</v>
      </c>
      <c r="AL902" s="43">
        <v>11</v>
      </c>
      <c r="AM902" s="43">
        <v>10</v>
      </c>
      <c r="AN902" s="43">
        <v>10</v>
      </c>
      <c r="AO902" s="43">
        <v>9.3000001907000005</v>
      </c>
      <c r="AP902" s="43">
        <v>9.1999998092999995</v>
      </c>
      <c r="AQ902" s="43">
        <v>7.9000000954000003</v>
      </c>
      <c r="AR902" s="43">
        <v>7.8000001906999996</v>
      </c>
      <c r="AS902" s="43">
        <v>7.5999999045999997</v>
      </c>
      <c r="AT902" s="43">
        <v>7.5</v>
      </c>
      <c r="AU902" s="43">
        <v>7.5</v>
      </c>
      <c r="AV902" s="43">
        <v>7.4</v>
      </c>
      <c r="AW902" s="43">
        <v>7.2</v>
      </c>
      <c r="AX902" s="43">
        <v>7.1</v>
      </c>
      <c r="AY902" s="43">
        <v>7.1</v>
      </c>
      <c r="AZ902" s="43">
        <v>7</v>
      </c>
      <c r="BA902" s="43">
        <v>6.7</v>
      </c>
      <c r="BB902" s="43">
        <v>6.5</v>
      </c>
      <c r="BC902" s="43">
        <v>6.3</v>
      </c>
      <c r="BD902" s="43">
        <v>5.9</v>
      </c>
      <c r="BE902" s="43">
        <v>5.5</v>
      </c>
      <c r="BF902" s="43">
        <v>5.3</v>
      </c>
      <c r="BG902" s="43">
        <v>4.9000000000000004</v>
      </c>
      <c r="BH902" s="43"/>
      <c r="BI902" s="43">
        <v>4.4000000000000004</v>
      </c>
      <c r="BJ902" s="43"/>
      <c r="BK902" s="43"/>
      <c r="BL902" s="43"/>
      <c r="BM902" s="43"/>
      <c r="BN902" s="56">
        <f t="shared" si="26"/>
        <v>4.4000000000000004</v>
      </c>
      <c r="BO902" s="428">
        <f>IF(BN902="No reported value",INDEX('WB HCW &amp; Beds'!$BU$831:$BU$835,MATCH($BP902,'WB HCW &amp; Beds'!$BS$831:$BS$835,0)),$BN902)</f>
        <v>4.4000000000000004</v>
      </c>
      <c r="BP902" s="132" t="str">
        <f>INDEX('HCW + Staff Summary'!$E$7:$E$270,MATCH($B902,'HCW + Staff Summary'!$B$7:$B$270,0))</f>
        <v>High income</v>
      </c>
      <c r="BQ902" s="429">
        <f>INDEX('WB HCW &amp; Beds'!$BU$838:$BU$842,MATCH($BP902,'WB HCW &amp; Beds'!$BS$838:$BS$842,0))*100</f>
        <v>3.5700000000000003</v>
      </c>
    </row>
    <row r="903" spans="2:69" x14ac:dyDescent="0.75">
      <c r="B903" s="43" t="s">
        <v>248</v>
      </c>
      <c r="C903" s="43" t="s">
        <v>44</v>
      </c>
      <c r="D903" s="43" t="s">
        <v>632</v>
      </c>
      <c r="E903" s="43" t="s">
        <v>633</v>
      </c>
      <c r="F903" s="43">
        <v>4.04060935974121</v>
      </c>
      <c r="G903" s="43"/>
      <c r="H903" s="43"/>
      <c r="I903" s="43"/>
      <c r="J903" s="43"/>
      <c r="K903" s="43"/>
      <c r="L903" s="43"/>
      <c r="M903" s="43"/>
      <c r="N903" s="43"/>
      <c r="O903" s="43"/>
      <c r="P903" s="43">
        <v>2.9096000194549601</v>
      </c>
      <c r="Q903" s="43"/>
      <c r="R903" s="43"/>
      <c r="S903" s="43"/>
      <c r="T903" s="43"/>
      <c r="U903" s="43">
        <v>3.3333001136779798</v>
      </c>
      <c r="V903" s="43"/>
      <c r="W903" s="43"/>
      <c r="X903" s="43"/>
      <c r="Y903" s="43"/>
      <c r="Z903" s="43">
        <v>2.8138999938964799</v>
      </c>
      <c r="AA903" s="43">
        <v>2.7460999488830602</v>
      </c>
      <c r="AB903" s="43"/>
      <c r="AC903" s="43"/>
      <c r="AD903" s="43"/>
      <c r="AE903" s="43"/>
      <c r="AF903" s="43"/>
      <c r="AG903" s="43"/>
      <c r="AH903" s="43"/>
      <c r="AI903" s="43"/>
      <c r="AJ903" s="43"/>
      <c r="AK903" s="43"/>
      <c r="AL903" s="43"/>
      <c r="AM903" s="43"/>
      <c r="AN903" s="43"/>
      <c r="AO903" s="43"/>
      <c r="AP903" s="43"/>
      <c r="AQ903" s="43"/>
      <c r="AR903" s="43"/>
      <c r="AS903" s="43">
        <v>2.6</v>
      </c>
      <c r="AT903" s="43"/>
      <c r="AU903" s="43"/>
      <c r="AV903" s="43"/>
      <c r="AW903" s="43"/>
      <c r="AX903" s="43">
        <v>2.1</v>
      </c>
      <c r="AY903" s="43">
        <v>2.09</v>
      </c>
      <c r="AZ903" s="43"/>
      <c r="BA903" s="43"/>
      <c r="BB903" s="43">
        <v>2.1</v>
      </c>
      <c r="BC903" s="43">
        <v>2.1</v>
      </c>
      <c r="BD903" s="43"/>
      <c r="BE903" s="43">
        <v>2.2999999999999998</v>
      </c>
      <c r="BF903" s="43"/>
      <c r="BG903" s="43"/>
      <c r="BH903" s="43"/>
      <c r="BI903" s="43"/>
      <c r="BJ903" s="43"/>
      <c r="BK903" s="43"/>
      <c r="BL903" s="43"/>
      <c r="BM903" s="43"/>
      <c r="BN903" s="56">
        <f t="shared" si="26"/>
        <v>2.2999999999999998</v>
      </c>
      <c r="BO903" s="428">
        <f>IF(BN903="No reported value",INDEX('WB HCW &amp; Beds'!$BU$831:$BU$835,MATCH($BP903,'WB HCW &amp; Beds'!$BS$831:$BS$835,0)),$BN903)</f>
        <v>2.2999999999999998</v>
      </c>
      <c r="BP903" s="132" t="str">
        <f>INDEX('HCW + Staff Summary'!$E$7:$E$270,MATCH($B903,'HCW + Staff Summary'!$B$7:$B$270,0))</f>
        <v>Upper middle income</v>
      </c>
      <c r="BQ903" s="429">
        <f>INDEX('WB HCW &amp; Beds'!$BU$838:$BU$842,MATCH($BP903,'WB HCW &amp; Beds'!$BS$838:$BS$842,0))*100</f>
        <v>3.32</v>
      </c>
    </row>
    <row r="904" spans="2:69" x14ac:dyDescent="0.75">
      <c r="B904" s="43" t="s">
        <v>396</v>
      </c>
      <c r="C904" s="43" t="s">
        <v>45</v>
      </c>
      <c r="D904" s="43" t="s">
        <v>632</v>
      </c>
      <c r="E904" s="43" t="s">
        <v>633</v>
      </c>
      <c r="F904" s="43"/>
      <c r="G904" s="43"/>
      <c r="H904" s="43"/>
      <c r="I904" s="43"/>
      <c r="J904" s="43"/>
      <c r="K904" s="43"/>
      <c r="L904" s="43"/>
      <c r="M904" s="43"/>
      <c r="N904" s="43"/>
      <c r="O904" s="43"/>
      <c r="P904" s="43"/>
      <c r="Q904" s="43"/>
      <c r="R904" s="43"/>
      <c r="S904" s="43"/>
      <c r="T904" s="43">
        <v>10.5</v>
      </c>
      <c r="U904" s="43">
        <v>10.6000003814697</v>
      </c>
      <c r="V904" s="43">
        <v>10.6000003814697</v>
      </c>
      <c r="W904" s="43">
        <v>10.800000190734901</v>
      </c>
      <c r="X904" s="43">
        <v>10.8999996185303</v>
      </c>
      <c r="Y904" s="43">
        <v>11.1000003814697</v>
      </c>
      <c r="Z904" s="43">
        <v>11.1000003814697</v>
      </c>
      <c r="AA904" s="43">
        <v>11.1000003814697</v>
      </c>
      <c r="AB904" s="43">
        <v>11</v>
      </c>
      <c r="AC904" s="43">
        <v>10.800000190734901</v>
      </c>
      <c r="AD904" s="43">
        <v>10.699999809265099</v>
      </c>
      <c r="AE904" s="43">
        <v>10.5</v>
      </c>
      <c r="AF904" s="43">
        <v>10.300000190734901</v>
      </c>
      <c r="AG904" s="43">
        <v>10.199999809265099</v>
      </c>
      <c r="AH904" s="43">
        <v>10.1000003814697</v>
      </c>
      <c r="AI904" s="43">
        <v>9.8999996185302699</v>
      </c>
      <c r="AJ904" s="43">
        <v>9.6999998092999995</v>
      </c>
      <c r="AK904" s="43">
        <v>9.6000003814999992</v>
      </c>
      <c r="AL904" s="43">
        <v>9.3999996185000008</v>
      </c>
      <c r="AM904" s="43">
        <v>9.3000001907000005</v>
      </c>
      <c r="AN904" s="43">
        <v>9.1000003814999992</v>
      </c>
      <c r="AO904" s="43">
        <v>8.8999996185000008</v>
      </c>
      <c r="AP904" s="43">
        <v>8.8000001907000005</v>
      </c>
      <c r="AQ904" s="43">
        <v>8.6000003814999992</v>
      </c>
      <c r="AR904" s="43">
        <v>8.3999996185000008</v>
      </c>
      <c r="AS904" s="43">
        <v>8.3000001907000005</v>
      </c>
      <c r="AT904" s="43">
        <v>8.1999999999999993</v>
      </c>
      <c r="AU904" s="43">
        <v>8.1</v>
      </c>
      <c r="AV904" s="43">
        <v>8</v>
      </c>
      <c r="AW904" s="43">
        <v>7.8</v>
      </c>
      <c r="AX904" s="43">
        <v>7.6</v>
      </c>
      <c r="AY904" s="43">
        <v>7.5</v>
      </c>
      <c r="AZ904" s="43">
        <v>7.3</v>
      </c>
      <c r="BA904" s="43">
        <v>7.3</v>
      </c>
      <c r="BB904" s="43">
        <v>7.1</v>
      </c>
      <c r="BC904" s="43">
        <v>6.9</v>
      </c>
      <c r="BD904" s="43">
        <v>6.6</v>
      </c>
      <c r="BE904" s="43">
        <v>6.6</v>
      </c>
      <c r="BF904" s="43">
        <v>6.5</v>
      </c>
      <c r="BG904" s="43">
        <v>6.5</v>
      </c>
      <c r="BH904" s="43"/>
      <c r="BI904" s="43"/>
      <c r="BJ904" s="43"/>
      <c r="BK904" s="43"/>
      <c r="BL904" s="43"/>
      <c r="BM904" s="43"/>
      <c r="BN904" s="56">
        <f t="shared" si="26"/>
        <v>6.5</v>
      </c>
      <c r="BO904" s="428">
        <f>IF(BN904="No reported value",INDEX('WB HCW &amp; Beds'!$BU$831:$BU$835,MATCH($BP904,'WB HCW &amp; Beds'!$BS$831:$BS$835,0)),$BN904)</f>
        <v>6.5</v>
      </c>
      <c r="BP904" s="132" t="str">
        <f>INDEX('HCW + Staff Summary'!$E$7:$E$270,MATCH($B904,'HCW + Staff Summary'!$B$7:$B$270,0))</f>
        <v>High income</v>
      </c>
      <c r="BQ904" s="429">
        <f>INDEX('WB HCW &amp; Beds'!$BU$838:$BU$842,MATCH($BP904,'WB HCW &amp; Beds'!$BS$838:$BS$842,0))*100</f>
        <v>3.5700000000000003</v>
      </c>
    </row>
    <row r="905" spans="2:69" x14ac:dyDescent="0.75">
      <c r="B905" s="43" t="s">
        <v>391</v>
      </c>
      <c r="C905" s="43" t="s">
        <v>392</v>
      </c>
      <c r="D905" s="43" t="s">
        <v>632</v>
      </c>
      <c r="E905" s="43" t="s">
        <v>633</v>
      </c>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c r="BI905" s="43"/>
      <c r="BJ905" s="43"/>
      <c r="BK905" s="43"/>
      <c r="BL905" s="43"/>
      <c r="BM905" s="43"/>
      <c r="BN905" s="56" t="str">
        <f t="shared" si="26"/>
        <v>No reported value</v>
      </c>
      <c r="BO905" s="428">
        <f>IF(BN905="No reported value",INDEX('WB HCW &amp; Beds'!$BU$831:$BU$835,MATCH($BP905,'WB HCW &amp; Beds'!$BS$831:$BS$835,0)),$BN905)</f>
        <v>4.82</v>
      </c>
      <c r="BP905" s="132" t="str">
        <f>INDEX('HCW + Staff Summary'!$E$7:$E$270,MATCH($B905,'HCW + Staff Summary'!$B$7:$B$270,0))</f>
        <v>High income</v>
      </c>
      <c r="BQ905" s="429">
        <f>INDEX('WB HCW &amp; Beds'!$BU$838:$BU$842,MATCH($BP905,'WB HCW &amp; Beds'!$BS$838:$BS$842,0))*100</f>
        <v>3.5700000000000003</v>
      </c>
    </row>
    <row r="906" spans="2:69" x14ac:dyDescent="0.75">
      <c r="B906" s="43" t="s">
        <v>464</v>
      </c>
      <c r="C906" s="43" t="s">
        <v>465</v>
      </c>
      <c r="D906" s="43" t="s">
        <v>632</v>
      </c>
      <c r="E906" s="43" t="s">
        <v>633</v>
      </c>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v>3.4672999382018999</v>
      </c>
      <c r="AJ906" s="43"/>
      <c r="AK906" s="43"/>
      <c r="AL906" s="43"/>
      <c r="AM906" s="43"/>
      <c r="AN906" s="43"/>
      <c r="AO906" s="43"/>
      <c r="AP906" s="43"/>
      <c r="AQ906" s="43"/>
      <c r="AR906" s="43"/>
      <c r="AS906" s="43"/>
      <c r="AT906" s="43">
        <v>2.8</v>
      </c>
      <c r="AU906" s="43"/>
      <c r="AV906" s="43"/>
      <c r="AW906" s="43"/>
      <c r="AX906" s="43"/>
      <c r="AY906" s="43">
        <v>3.3</v>
      </c>
      <c r="AZ906" s="43">
        <v>3.31</v>
      </c>
      <c r="BA906" s="43"/>
      <c r="BB906" s="43"/>
      <c r="BC906" s="43">
        <v>3.2</v>
      </c>
      <c r="BD906" s="43"/>
      <c r="BE906" s="43"/>
      <c r="BF906" s="43"/>
      <c r="BG906" s="43"/>
      <c r="BH906" s="43"/>
      <c r="BI906" s="43"/>
      <c r="BJ906" s="43"/>
      <c r="BK906" s="43"/>
      <c r="BL906" s="43"/>
      <c r="BM906" s="43"/>
      <c r="BN906" s="56">
        <f t="shared" si="26"/>
        <v>3.2</v>
      </c>
      <c r="BO906" s="428">
        <f>IF(BN906="No reported value",INDEX('WB HCW &amp; Beds'!$BU$831:$BU$835,MATCH($BP906,'WB HCW &amp; Beds'!$BS$831:$BS$835,0)),$BN906)</f>
        <v>3.2</v>
      </c>
      <c r="BP906" s="132" t="str">
        <f>INDEX('HCW + Staff Summary'!$E$7:$E$270,MATCH($B906,'HCW + Staff Summary'!$B$7:$B$270,0))</f>
        <v>Lower middle income</v>
      </c>
      <c r="BQ906" s="429">
        <f>INDEX('WB HCW &amp; Beds'!$BU$838:$BU$842,MATCH($BP906,'WB HCW &amp; Beds'!$BS$838:$BS$842,0))*100</f>
        <v>2.3800000000000003</v>
      </c>
    </row>
    <row r="907" spans="2:69" x14ac:dyDescent="0.75">
      <c r="B907" s="43" t="s">
        <v>195</v>
      </c>
      <c r="C907" s="43" t="s">
        <v>46</v>
      </c>
      <c r="D907" s="43" t="s">
        <v>632</v>
      </c>
      <c r="E907" s="43" t="s">
        <v>633</v>
      </c>
      <c r="F907" s="43">
        <v>5.7139916419982901</v>
      </c>
      <c r="G907" s="43"/>
      <c r="H907" s="43"/>
      <c r="I907" s="43"/>
      <c r="J907" s="43"/>
      <c r="K907" s="43"/>
      <c r="L907" s="43"/>
      <c r="M907" s="43"/>
      <c r="N907" s="43"/>
      <c r="O907" s="43"/>
      <c r="P907" s="43">
        <v>9.9106998443603498</v>
      </c>
      <c r="Q907" s="43"/>
      <c r="R907" s="43"/>
      <c r="S907" s="43"/>
      <c r="T907" s="43"/>
      <c r="U907" s="43"/>
      <c r="V907" s="43"/>
      <c r="W907" s="43"/>
      <c r="X907" s="43"/>
      <c r="Y907" s="43"/>
      <c r="Z907" s="43"/>
      <c r="AA907" s="43"/>
      <c r="AB907" s="43"/>
      <c r="AC907" s="43"/>
      <c r="AD907" s="43"/>
      <c r="AE907" s="43">
        <v>1.5520000457763701</v>
      </c>
      <c r="AF907" s="43"/>
      <c r="AG907" s="43"/>
      <c r="AH907" s="43"/>
      <c r="AI907" s="43"/>
      <c r="AJ907" s="43">
        <v>3.1937999724999999</v>
      </c>
      <c r="AK907" s="43"/>
      <c r="AL907" s="43"/>
      <c r="AM907" s="43"/>
      <c r="AN907" s="43"/>
      <c r="AO907" s="43"/>
      <c r="AP907" s="43"/>
      <c r="AQ907" s="43"/>
      <c r="AR907" s="43"/>
      <c r="AS907" s="43"/>
      <c r="AT907" s="43"/>
      <c r="AU907" s="43"/>
      <c r="AV907" s="43"/>
      <c r="AW907" s="43"/>
      <c r="AX907" s="43"/>
      <c r="AY907" s="43"/>
      <c r="AZ907" s="43">
        <v>2</v>
      </c>
      <c r="BA907" s="43"/>
      <c r="BB907" s="43">
        <v>1.3</v>
      </c>
      <c r="BC907" s="43"/>
      <c r="BD907" s="43">
        <v>6.3</v>
      </c>
      <c r="BE907" s="43"/>
      <c r="BF907" s="43"/>
      <c r="BG907" s="43"/>
      <c r="BH907" s="43"/>
      <c r="BI907" s="43"/>
      <c r="BJ907" s="43"/>
      <c r="BK907" s="43"/>
      <c r="BL907" s="43"/>
      <c r="BM907" s="43"/>
      <c r="BN907" s="56">
        <f t="shared" si="26"/>
        <v>6.3</v>
      </c>
      <c r="BO907" s="428">
        <f>IF(BN907="No reported value",INDEX('WB HCW &amp; Beds'!$BU$831:$BU$835,MATCH($BP907,'WB HCW &amp; Beds'!$BS$831:$BS$835,0)),$BN907)</f>
        <v>6.3</v>
      </c>
      <c r="BP907" s="132" t="str">
        <f>INDEX('HCW + Staff Summary'!$E$7:$E$270,MATCH($B907,'HCW + Staff Summary'!$B$7:$B$270,0))</f>
        <v>Upper middle income</v>
      </c>
      <c r="BQ907" s="429">
        <f>INDEX('WB HCW &amp; Beds'!$BU$838:$BU$842,MATCH($BP907,'WB HCW &amp; Beds'!$BS$838:$BS$842,0))*100</f>
        <v>3.32</v>
      </c>
    </row>
    <row r="908" spans="2:69" x14ac:dyDescent="0.75">
      <c r="B908" s="43" t="s">
        <v>556</v>
      </c>
      <c r="C908" s="43" t="s">
        <v>47</v>
      </c>
      <c r="D908" s="43" t="s">
        <v>632</v>
      </c>
      <c r="E908" s="43" t="s">
        <v>633</v>
      </c>
      <c r="F908" s="43">
        <v>10.699999809265099</v>
      </c>
      <c r="G908" s="43"/>
      <c r="H908" s="43"/>
      <c r="I908" s="43"/>
      <c r="J908" s="43"/>
      <c r="K908" s="43"/>
      <c r="L908" s="43"/>
      <c r="M908" s="43"/>
      <c r="N908" s="43"/>
      <c r="O908" s="43"/>
      <c r="P908" s="43">
        <v>9.6000003814697301</v>
      </c>
      <c r="Q908" s="43"/>
      <c r="R908" s="43"/>
      <c r="S908" s="43"/>
      <c r="T908" s="43"/>
      <c r="U908" s="43"/>
      <c r="V908" s="43"/>
      <c r="W908" s="43"/>
      <c r="X908" s="43"/>
      <c r="Y908" s="43"/>
      <c r="Z908" s="43">
        <v>8.1000003814697301</v>
      </c>
      <c r="AA908" s="43"/>
      <c r="AB908" s="43"/>
      <c r="AC908" s="43"/>
      <c r="AD908" s="43"/>
      <c r="AE908" s="43">
        <v>7.4000000953674299</v>
      </c>
      <c r="AF908" s="43"/>
      <c r="AG908" s="43"/>
      <c r="AH908" s="43"/>
      <c r="AI908" s="43"/>
      <c r="AJ908" s="43">
        <v>5.9000000954000003</v>
      </c>
      <c r="AK908" s="43">
        <v>5.5999999045999997</v>
      </c>
      <c r="AL908" s="43">
        <v>5.4000000954000003</v>
      </c>
      <c r="AM908" s="43">
        <v>5.0999999045999997</v>
      </c>
      <c r="AN908" s="43">
        <v>4.8000001906999996</v>
      </c>
      <c r="AO908" s="43">
        <v>4.8000001906999996</v>
      </c>
      <c r="AP908" s="43">
        <v>4.5999999045999997</v>
      </c>
      <c r="AQ908" s="43">
        <v>4.5999999045999997</v>
      </c>
      <c r="AR908" s="43">
        <v>4.4000000954000003</v>
      </c>
      <c r="AS908" s="43">
        <v>4.1999998093000004</v>
      </c>
      <c r="AT908" s="43">
        <v>4.0999999999999996</v>
      </c>
      <c r="AU908" s="43">
        <v>4</v>
      </c>
      <c r="AV908" s="43">
        <v>4</v>
      </c>
      <c r="AW908" s="43">
        <v>4</v>
      </c>
      <c r="AX908" s="43">
        <v>3.9</v>
      </c>
      <c r="AY908" s="43">
        <v>3.7</v>
      </c>
      <c r="AZ908" s="43">
        <v>3.6</v>
      </c>
      <c r="BA908" s="43">
        <v>3.4</v>
      </c>
      <c r="BB908" s="43">
        <v>3.4</v>
      </c>
      <c r="BC908" s="43">
        <v>3.3</v>
      </c>
      <c r="BD908" s="43">
        <v>3</v>
      </c>
      <c r="BE908" s="43">
        <v>2.9</v>
      </c>
      <c r="BF908" s="43">
        <v>2.8</v>
      </c>
      <c r="BG908" s="43">
        <v>2.8</v>
      </c>
      <c r="BH908" s="43"/>
      <c r="BI908" s="43"/>
      <c r="BJ908" s="43"/>
      <c r="BK908" s="43"/>
      <c r="BL908" s="43"/>
      <c r="BM908" s="43"/>
      <c r="BN908" s="56">
        <f t="shared" si="26"/>
        <v>2.8</v>
      </c>
      <c r="BO908" s="428">
        <f>IF(BN908="No reported value",INDEX('WB HCW &amp; Beds'!$BU$831:$BU$835,MATCH($BP908,'WB HCW &amp; Beds'!$BS$831:$BS$835,0)),$BN908)</f>
        <v>2.8</v>
      </c>
      <c r="BP908" s="132" t="str">
        <f>INDEX('HCW + Staff Summary'!$E$7:$E$270,MATCH($B908,'HCW + Staff Summary'!$B$7:$B$270,0))</f>
        <v>High income</v>
      </c>
      <c r="BQ908" s="429">
        <f>INDEX('WB HCW &amp; Beds'!$BU$838:$BU$842,MATCH($BP908,'WB HCW &amp; Beds'!$BS$838:$BS$842,0))*100</f>
        <v>3.5700000000000003</v>
      </c>
    </row>
    <row r="909" spans="2:69" x14ac:dyDescent="0.75">
      <c r="B909" s="43" t="s">
        <v>236</v>
      </c>
      <c r="C909" s="43" t="s">
        <v>48</v>
      </c>
      <c r="D909" s="43" t="s">
        <v>632</v>
      </c>
      <c r="E909" s="43" t="s">
        <v>633</v>
      </c>
      <c r="F909" s="43"/>
      <c r="G909" s="43"/>
      <c r="H909" s="43"/>
      <c r="I909" s="43"/>
      <c r="J909" s="43"/>
      <c r="K909" s="43"/>
      <c r="L909" s="43"/>
      <c r="M909" s="43"/>
      <c r="N909" s="43"/>
      <c r="O909" s="43"/>
      <c r="P909" s="43"/>
      <c r="Q909" s="43"/>
      <c r="R909" s="43"/>
      <c r="S909" s="43"/>
      <c r="T909" s="43"/>
      <c r="U909" s="43"/>
      <c r="V909" s="43"/>
      <c r="W909" s="43"/>
      <c r="X909" s="43"/>
      <c r="Y909" s="43"/>
      <c r="Z909" s="43">
        <v>10.170800209045399</v>
      </c>
      <c r="AA909" s="43"/>
      <c r="AB909" s="43"/>
      <c r="AC909" s="43"/>
      <c r="AD909" s="43"/>
      <c r="AE909" s="43">
        <v>9.9734001159668004</v>
      </c>
      <c r="AF909" s="43">
        <v>10.0150003433228</v>
      </c>
      <c r="AG909" s="43">
        <v>10.1073999404907</v>
      </c>
      <c r="AH909" s="43">
        <v>9.9934997558593803</v>
      </c>
      <c r="AI909" s="43">
        <v>9.9956998825073207</v>
      </c>
      <c r="AJ909" s="43">
        <v>9.7974996566999994</v>
      </c>
      <c r="AK909" s="43">
        <v>9.7981004714999997</v>
      </c>
      <c r="AL909" s="43">
        <v>10.0087003708</v>
      </c>
      <c r="AM909" s="43">
        <v>9.3910999297999993</v>
      </c>
      <c r="AN909" s="43">
        <v>9.6758003235000007</v>
      </c>
      <c r="AO909" s="43">
        <v>7.6599998474</v>
      </c>
      <c r="AP909" s="43">
        <v>5.6700000763</v>
      </c>
      <c r="AQ909" s="43">
        <v>5.8600001334999998</v>
      </c>
      <c r="AR909" s="43">
        <v>5.7100000380999996</v>
      </c>
      <c r="AS909" s="43">
        <v>5.6900000571999998</v>
      </c>
      <c r="AT909" s="43">
        <v>4.8</v>
      </c>
      <c r="AU909" s="43">
        <v>4.5</v>
      </c>
      <c r="AV909" s="43">
        <v>4.2</v>
      </c>
      <c r="AW909" s="43">
        <v>4.2</v>
      </c>
      <c r="AX909" s="43">
        <v>4.0999999999999996</v>
      </c>
      <c r="AY909" s="43">
        <v>3.9</v>
      </c>
      <c r="AZ909" s="43">
        <v>3.7</v>
      </c>
      <c r="BA909" s="43">
        <v>3.3</v>
      </c>
      <c r="BB909" s="43">
        <v>3.2</v>
      </c>
      <c r="BC909" s="43">
        <v>3.1</v>
      </c>
      <c r="BD909" s="43">
        <v>3</v>
      </c>
      <c r="BE909" s="43">
        <v>2.8</v>
      </c>
      <c r="BF909" s="43">
        <v>2.5</v>
      </c>
      <c r="BG909" s="43">
        <v>2.6</v>
      </c>
      <c r="BH909" s="43"/>
      <c r="BI909" s="43"/>
      <c r="BJ909" s="43"/>
      <c r="BK909" s="43"/>
      <c r="BL909" s="43"/>
      <c r="BM909" s="43"/>
      <c r="BN909" s="56">
        <f t="shared" si="26"/>
        <v>2.6</v>
      </c>
      <c r="BO909" s="428">
        <f>IF(BN909="No reported value",INDEX('WB HCW &amp; Beds'!$BU$831:$BU$835,MATCH($BP909,'WB HCW &amp; Beds'!$BS$831:$BS$835,0)),$BN909)</f>
        <v>2.6</v>
      </c>
      <c r="BP909" s="132" t="str">
        <f>INDEX('HCW + Staff Summary'!$E$7:$E$270,MATCH($B909,'HCW + Staff Summary'!$B$7:$B$270,0))</f>
        <v>Upper middle income</v>
      </c>
      <c r="BQ909" s="429">
        <f>INDEX('WB HCW &amp; Beds'!$BU$838:$BU$842,MATCH($BP909,'WB HCW &amp; Beds'!$BS$838:$BS$842,0))*100</f>
        <v>3.32</v>
      </c>
    </row>
    <row r="910" spans="2:69" x14ac:dyDescent="0.75">
      <c r="B910" s="43" t="s">
        <v>196</v>
      </c>
      <c r="C910" s="43" t="s">
        <v>162</v>
      </c>
      <c r="D910" s="43" t="s">
        <v>632</v>
      </c>
      <c r="E910" s="43" t="s">
        <v>633</v>
      </c>
      <c r="F910" s="43">
        <v>0.77989369630813599</v>
      </c>
      <c r="G910" s="43"/>
      <c r="H910" s="43"/>
      <c r="I910" s="43"/>
      <c r="J910" s="43"/>
      <c r="K910" s="43"/>
      <c r="L910" s="43"/>
      <c r="M910" s="43"/>
      <c r="N910" s="43"/>
      <c r="O910" s="43"/>
      <c r="P910" s="43">
        <v>1.3228000402450599</v>
      </c>
      <c r="Q910" s="43"/>
      <c r="R910" s="43"/>
      <c r="S910" s="43"/>
      <c r="T910" s="43"/>
      <c r="U910" s="43">
        <v>1.25080001354218</v>
      </c>
      <c r="V910" s="43"/>
      <c r="W910" s="43"/>
      <c r="X910" s="43"/>
      <c r="Y910" s="43"/>
      <c r="Z910" s="43"/>
      <c r="AA910" s="43"/>
      <c r="AB910" s="43"/>
      <c r="AC910" s="43"/>
      <c r="AD910" s="43"/>
      <c r="AE910" s="43">
        <v>1.56700003147125</v>
      </c>
      <c r="AF910" s="43"/>
      <c r="AG910" s="43"/>
      <c r="AH910" s="43"/>
      <c r="AI910" s="43"/>
      <c r="AJ910" s="43">
        <v>1.4600000381</v>
      </c>
      <c r="AK910" s="43"/>
      <c r="AL910" s="43"/>
      <c r="AM910" s="43"/>
      <c r="AN910" s="43"/>
      <c r="AO910" s="43"/>
      <c r="AP910" s="43"/>
      <c r="AQ910" s="43"/>
      <c r="AR910" s="43"/>
      <c r="AS910" s="43"/>
      <c r="AT910" s="43"/>
      <c r="AU910" s="43"/>
      <c r="AV910" s="43"/>
      <c r="AW910" s="43"/>
      <c r="AX910" s="43"/>
      <c r="AY910" s="43">
        <v>0.9</v>
      </c>
      <c r="AZ910" s="43"/>
      <c r="BA910" s="43"/>
      <c r="BB910" s="43"/>
      <c r="BC910" s="43">
        <v>0.9</v>
      </c>
      <c r="BD910" s="43"/>
      <c r="BE910" s="43">
        <v>0.9</v>
      </c>
      <c r="BF910" s="43"/>
      <c r="BG910" s="43"/>
      <c r="BH910" s="43"/>
      <c r="BI910" s="43"/>
      <c r="BJ910" s="43"/>
      <c r="BK910" s="43"/>
      <c r="BL910" s="43"/>
      <c r="BM910" s="43"/>
      <c r="BN910" s="56">
        <f t="shared" si="26"/>
        <v>0.9</v>
      </c>
      <c r="BO910" s="428">
        <f>IF(BN910="No reported value",INDEX('WB HCW &amp; Beds'!$BU$831:$BU$835,MATCH($BP910,'WB HCW &amp; Beds'!$BS$831:$BS$835,0)),$BN910)</f>
        <v>0.9</v>
      </c>
      <c r="BP910" s="132" t="str">
        <f>INDEX('HCW + Staff Summary'!$E$7:$E$270,MATCH($B910,'HCW + Staff Summary'!$B$7:$B$270,0))</f>
        <v>Lower middle income</v>
      </c>
      <c r="BQ910" s="429">
        <f>INDEX('WB HCW &amp; Beds'!$BU$838:$BU$842,MATCH($BP910,'WB HCW &amp; Beds'!$BS$838:$BS$842,0))*100</f>
        <v>2.3800000000000003</v>
      </c>
    </row>
    <row r="911" spans="2:69" x14ac:dyDescent="0.75">
      <c r="B911" s="43" t="s">
        <v>401</v>
      </c>
      <c r="C911" s="43" t="s">
        <v>402</v>
      </c>
      <c r="D911" s="43" t="s">
        <v>632</v>
      </c>
      <c r="E911" s="43" t="s">
        <v>633</v>
      </c>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c r="BI911" s="43"/>
      <c r="BJ911" s="43"/>
      <c r="BK911" s="43"/>
      <c r="BL911" s="43"/>
      <c r="BM911" s="43"/>
      <c r="BN911" s="56" t="str">
        <f t="shared" si="26"/>
        <v>No reported value</v>
      </c>
      <c r="BO911" s="428">
        <f>IF(BN911="No reported value",INDEX('WB HCW &amp; Beds'!$BU$831:$BU$835,MATCH($BP911,'WB HCW &amp; Beds'!$BS$831:$BS$835,0)),$BN911)</f>
        <v>4.82</v>
      </c>
      <c r="BP911" s="132" t="str">
        <f>INDEX('HCW + Staff Summary'!$E$7:$E$270,MATCH($B911,'HCW + Staff Summary'!$B$7:$B$270,0))</f>
        <v>High income</v>
      </c>
      <c r="BQ911" s="429">
        <f>INDEX('WB HCW &amp; Beds'!$BU$838:$BU$842,MATCH($BP911,'WB HCW &amp; Beds'!$BS$838:$BS$842,0))*100</f>
        <v>3.5700000000000003</v>
      </c>
    </row>
    <row r="912" spans="2:69" x14ac:dyDescent="0.75">
      <c r="B912" s="43" t="s">
        <v>197</v>
      </c>
      <c r="C912" s="43" t="s">
        <v>49</v>
      </c>
      <c r="D912" s="43" t="s">
        <v>632</v>
      </c>
      <c r="E912" s="43" t="s">
        <v>633</v>
      </c>
      <c r="F912" s="43">
        <v>0.73915815353393599</v>
      </c>
      <c r="G912" s="43"/>
      <c r="H912" s="43"/>
      <c r="I912" s="43"/>
      <c r="J912" s="43"/>
      <c r="K912" s="43"/>
      <c r="L912" s="43"/>
      <c r="M912" s="43"/>
      <c r="N912" s="43"/>
      <c r="O912" s="43"/>
      <c r="P912" s="43">
        <v>1.75849997997284</v>
      </c>
      <c r="Q912" s="43"/>
      <c r="R912" s="43"/>
      <c r="S912" s="43"/>
      <c r="T912" s="43"/>
      <c r="U912" s="43"/>
      <c r="V912" s="43"/>
      <c r="W912" s="43"/>
      <c r="X912" s="43"/>
      <c r="Y912" s="43"/>
      <c r="Z912" s="43"/>
      <c r="AA912" s="43"/>
      <c r="AB912" s="43"/>
      <c r="AC912" s="43"/>
      <c r="AD912" s="43"/>
      <c r="AE912" s="43"/>
      <c r="AF912" s="43"/>
      <c r="AG912" s="43"/>
      <c r="AH912" s="43">
        <v>0.58410000801086404</v>
      </c>
      <c r="AI912" s="43"/>
      <c r="AJ912" s="43">
        <v>0.55070000890000004</v>
      </c>
      <c r="AK912" s="43"/>
      <c r="AL912" s="43"/>
      <c r="AM912" s="43"/>
      <c r="AN912" s="43"/>
      <c r="AO912" s="43"/>
      <c r="AP912" s="43"/>
      <c r="AQ912" s="43"/>
      <c r="AR912" s="43"/>
      <c r="AS912" s="43"/>
      <c r="AT912" s="43"/>
      <c r="AU912" s="43"/>
      <c r="AV912" s="43"/>
      <c r="AW912" s="43"/>
      <c r="AX912" s="43"/>
      <c r="AY912" s="43">
        <v>0.3</v>
      </c>
      <c r="AZ912" s="43"/>
      <c r="BA912" s="43"/>
      <c r="BB912" s="43"/>
      <c r="BC912" s="43"/>
      <c r="BD912" s="43"/>
      <c r="BE912" s="43">
        <v>0.3</v>
      </c>
      <c r="BF912" s="43"/>
      <c r="BG912" s="43"/>
      <c r="BH912" s="43"/>
      <c r="BI912" s="43"/>
      <c r="BJ912" s="43"/>
      <c r="BK912" s="43"/>
      <c r="BL912" s="43"/>
      <c r="BM912" s="43"/>
      <c r="BN912" s="56">
        <f t="shared" si="26"/>
        <v>0.3</v>
      </c>
      <c r="BO912" s="428">
        <f>IF(BN912="No reported value",INDEX('WB HCW &amp; Beds'!$BU$831:$BU$835,MATCH($BP912,'WB HCW &amp; Beds'!$BS$831:$BS$835,0)),$BN912)</f>
        <v>0.3</v>
      </c>
      <c r="BP912" s="132" t="str">
        <f>INDEX('HCW + Staff Summary'!$E$7:$E$270,MATCH($B912,'HCW + Staff Summary'!$B$7:$B$270,0))</f>
        <v>Low income</v>
      </c>
      <c r="BQ912" s="429">
        <f>INDEX('WB HCW &amp; Beds'!$BU$838:$BU$842,MATCH($BP912,'WB HCW &amp; Beds'!$BS$838:$BS$842,0))*100</f>
        <v>1.63</v>
      </c>
    </row>
    <row r="913" spans="2:69" x14ac:dyDescent="0.75">
      <c r="B913" s="43" t="s">
        <v>399</v>
      </c>
      <c r="C913" s="43" t="s">
        <v>50</v>
      </c>
      <c r="D913" s="43" t="s">
        <v>632</v>
      </c>
      <c r="E913" s="43" t="s">
        <v>633</v>
      </c>
      <c r="F913" s="43">
        <v>1.18181812763214</v>
      </c>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v>1.6577999591827399</v>
      </c>
      <c r="AF913" s="43"/>
      <c r="AG913" s="43"/>
      <c r="AH913" s="43"/>
      <c r="AI913" s="43"/>
      <c r="AJ913" s="43">
        <v>0.61089998479999996</v>
      </c>
      <c r="AK913" s="43"/>
      <c r="AL913" s="43"/>
      <c r="AM913" s="43"/>
      <c r="AN913" s="43"/>
      <c r="AO913" s="43"/>
      <c r="AP913" s="43"/>
      <c r="AQ913" s="43"/>
      <c r="AR913" s="43"/>
      <c r="AS913" s="43"/>
      <c r="AT913" s="43"/>
      <c r="AU913" s="43"/>
      <c r="AV913" s="43"/>
      <c r="AW913" s="43"/>
      <c r="AX913" s="43"/>
      <c r="AY913" s="43">
        <v>0.8</v>
      </c>
      <c r="AZ913" s="43"/>
      <c r="BA913" s="43"/>
      <c r="BB913" s="43"/>
      <c r="BC913" s="43">
        <v>1.1000000000000001</v>
      </c>
      <c r="BD913" s="43"/>
      <c r="BE913" s="43">
        <v>1.1000000000000001</v>
      </c>
      <c r="BF913" s="43"/>
      <c r="BG913" s="43"/>
      <c r="BH913" s="43"/>
      <c r="BI913" s="43"/>
      <c r="BJ913" s="43"/>
      <c r="BK913" s="43"/>
      <c r="BL913" s="43"/>
      <c r="BM913" s="43"/>
      <c r="BN913" s="56">
        <f t="shared" si="26"/>
        <v>1.1000000000000001</v>
      </c>
      <c r="BO913" s="428">
        <f>IF(BN913="No reported value",INDEX('WB HCW &amp; Beds'!$BU$831:$BU$835,MATCH($BP913,'WB HCW &amp; Beds'!$BS$831:$BS$835,0)),$BN913)</f>
        <v>1.1000000000000001</v>
      </c>
      <c r="BP913" s="132" t="str">
        <f>INDEX('HCW + Staff Summary'!$E$7:$E$270,MATCH($B913,'HCW + Staff Summary'!$B$7:$B$270,0))</f>
        <v>Low income</v>
      </c>
      <c r="BQ913" s="429">
        <f>INDEX('WB HCW &amp; Beds'!$BU$838:$BU$842,MATCH($BP913,'WB HCW &amp; Beds'!$BS$838:$BS$842,0))*100</f>
        <v>1.63</v>
      </c>
    </row>
    <row r="914" spans="2:69" x14ac:dyDescent="0.75">
      <c r="B914" s="43" t="s">
        <v>198</v>
      </c>
      <c r="C914" s="43" t="s">
        <v>172</v>
      </c>
      <c r="D914" s="43" t="s">
        <v>632</v>
      </c>
      <c r="E914" s="43" t="s">
        <v>633</v>
      </c>
      <c r="F914" s="43">
        <v>1.6211849451065099</v>
      </c>
      <c r="G914" s="43"/>
      <c r="H914" s="43"/>
      <c r="I914" s="43"/>
      <c r="J914" s="43"/>
      <c r="K914" s="43"/>
      <c r="L914" s="43"/>
      <c r="M914" s="43"/>
      <c r="N914" s="43"/>
      <c r="O914" s="43"/>
      <c r="P914" s="43">
        <v>1.5745999813079801</v>
      </c>
      <c r="Q914" s="43"/>
      <c r="R914" s="43"/>
      <c r="S914" s="43"/>
      <c r="T914" s="43"/>
      <c r="U914" s="43"/>
      <c r="V914" s="43"/>
      <c r="W914" s="43"/>
      <c r="X914" s="43"/>
      <c r="Y914" s="43"/>
      <c r="Z914" s="43">
        <v>1.8860000371932999</v>
      </c>
      <c r="AA914" s="43">
        <v>1.9716999530792201</v>
      </c>
      <c r="AB914" s="43"/>
      <c r="AC914" s="43"/>
      <c r="AD914" s="43"/>
      <c r="AE914" s="43"/>
      <c r="AF914" s="43"/>
      <c r="AG914" s="43"/>
      <c r="AH914" s="43"/>
      <c r="AI914" s="43"/>
      <c r="AJ914" s="43">
        <v>1.4779000282000001</v>
      </c>
      <c r="AK914" s="43"/>
      <c r="AL914" s="43"/>
      <c r="AM914" s="43"/>
      <c r="AN914" s="43"/>
      <c r="AO914" s="43"/>
      <c r="AP914" s="43"/>
      <c r="AQ914" s="43"/>
      <c r="AR914" s="43"/>
      <c r="AS914" s="43"/>
      <c r="AT914" s="43"/>
      <c r="AU914" s="43"/>
      <c r="AV914" s="43"/>
      <c r="AW914" s="43"/>
      <c r="AX914" s="43"/>
      <c r="AY914" s="43"/>
      <c r="AZ914" s="43"/>
      <c r="BA914" s="43">
        <v>0.7</v>
      </c>
      <c r="BB914" s="43"/>
      <c r="BC914" s="43">
        <v>1</v>
      </c>
      <c r="BD914" s="43"/>
      <c r="BE914" s="43"/>
      <c r="BF914" s="43"/>
      <c r="BG914" s="43"/>
      <c r="BH914" s="43"/>
      <c r="BI914" s="43"/>
      <c r="BJ914" s="43"/>
      <c r="BK914" s="43"/>
      <c r="BL914" s="43"/>
      <c r="BM914" s="43"/>
      <c r="BN914" s="56">
        <f t="shared" si="26"/>
        <v>1</v>
      </c>
      <c r="BO914" s="428">
        <f>IF(BN914="No reported value",INDEX('WB HCW &amp; Beds'!$BU$831:$BU$835,MATCH($BP914,'WB HCW &amp; Beds'!$BS$831:$BS$835,0)),$BN914)</f>
        <v>1</v>
      </c>
      <c r="BP914" s="132" t="str">
        <f>INDEX('HCW + Staff Summary'!$E$7:$E$270,MATCH($B914,'HCW + Staff Summary'!$B$7:$B$270,0))</f>
        <v>Low income</v>
      </c>
      <c r="BQ914" s="429">
        <f>INDEX('WB HCW &amp; Beds'!$BU$838:$BU$842,MATCH($BP914,'WB HCW &amp; Beds'!$BS$838:$BS$842,0))*100</f>
        <v>1.63</v>
      </c>
    </row>
    <row r="915" spans="2:69" x14ac:dyDescent="0.75">
      <c r="B915" s="43" t="s">
        <v>191</v>
      </c>
      <c r="C915" s="43" t="s">
        <v>174</v>
      </c>
      <c r="D915" s="43" t="s">
        <v>632</v>
      </c>
      <c r="E915" s="43" t="s">
        <v>633</v>
      </c>
      <c r="F915" s="43">
        <v>4.99603176116943</v>
      </c>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v>2.80299997329712</v>
      </c>
      <c r="AI915" s="43"/>
      <c r="AJ915" s="43"/>
      <c r="AK915" s="43"/>
      <c r="AL915" s="43"/>
      <c r="AM915" s="43"/>
      <c r="AN915" s="43"/>
      <c r="AO915" s="43"/>
      <c r="AP915" s="43"/>
      <c r="AQ915" s="43"/>
      <c r="AR915" s="43"/>
      <c r="AS915" s="43"/>
      <c r="AT915" s="43"/>
      <c r="AU915" s="43">
        <v>1.1000000000000001</v>
      </c>
      <c r="AV915" s="43"/>
      <c r="AW915" s="43"/>
      <c r="AX915" s="43"/>
      <c r="AY915" s="43">
        <v>2.2000000000000002</v>
      </c>
      <c r="AZ915" s="43"/>
      <c r="BA915" s="43"/>
      <c r="BB915" s="43"/>
      <c r="BC915" s="43">
        <v>1.9</v>
      </c>
      <c r="BD915" s="43">
        <v>2.1</v>
      </c>
      <c r="BE915" s="43"/>
      <c r="BF915" s="43"/>
      <c r="BG915" s="43"/>
      <c r="BH915" s="43"/>
      <c r="BI915" s="43"/>
      <c r="BJ915" s="43"/>
      <c r="BK915" s="43"/>
      <c r="BL915" s="43"/>
      <c r="BM915" s="43"/>
      <c r="BN915" s="56">
        <f t="shared" si="26"/>
        <v>2.1</v>
      </c>
      <c r="BO915" s="428">
        <f>IF(BN915="No reported value",INDEX('WB HCW &amp; Beds'!$BU$831:$BU$835,MATCH($BP915,'WB HCW &amp; Beds'!$BS$831:$BS$835,0)),$BN915)</f>
        <v>2.1</v>
      </c>
      <c r="BP915" s="132" t="str">
        <f>INDEX('HCW + Staff Summary'!$E$7:$E$270,MATCH($B915,'HCW + Staff Summary'!$B$7:$B$270,0))</f>
        <v>Upper middle income</v>
      </c>
      <c r="BQ915" s="429">
        <f>INDEX('WB HCW &amp; Beds'!$BU$838:$BU$842,MATCH($BP915,'WB HCW &amp; Beds'!$BS$838:$BS$842,0))*100</f>
        <v>3.32</v>
      </c>
    </row>
    <row r="916" spans="2:69" x14ac:dyDescent="0.75">
      <c r="B916" s="43" t="s">
        <v>403</v>
      </c>
      <c r="C916" s="43" t="s">
        <v>51</v>
      </c>
      <c r="D916" s="43" t="s">
        <v>632</v>
      </c>
      <c r="E916" s="43" t="s">
        <v>633</v>
      </c>
      <c r="F916" s="43">
        <v>5.8000001907348597</v>
      </c>
      <c r="G916" s="43"/>
      <c r="H916" s="43"/>
      <c r="I916" s="43"/>
      <c r="J916" s="43"/>
      <c r="K916" s="43"/>
      <c r="L916" s="43"/>
      <c r="M916" s="43"/>
      <c r="N916" s="43"/>
      <c r="O916" s="43"/>
      <c r="P916" s="43">
        <v>6.1999998092651403</v>
      </c>
      <c r="Q916" s="43"/>
      <c r="R916" s="43"/>
      <c r="S916" s="43"/>
      <c r="T916" s="43"/>
      <c r="U916" s="43"/>
      <c r="V916" s="43"/>
      <c r="W916" s="43"/>
      <c r="X916" s="43"/>
      <c r="Y916" s="43"/>
      <c r="Z916" s="43">
        <v>6.1999998092651403</v>
      </c>
      <c r="AA916" s="43"/>
      <c r="AB916" s="43"/>
      <c r="AC916" s="43"/>
      <c r="AD916" s="43"/>
      <c r="AE916" s="43">
        <v>5.5</v>
      </c>
      <c r="AF916" s="43">
        <v>5.3000001907348597</v>
      </c>
      <c r="AG916" s="43">
        <v>5.1999998092651403</v>
      </c>
      <c r="AH916" s="43">
        <v>5.1999998092651403</v>
      </c>
      <c r="AI916" s="43">
        <v>5.0999999046325701</v>
      </c>
      <c r="AJ916" s="43">
        <v>5.0999999045999997</v>
      </c>
      <c r="AK916" s="43">
        <v>5</v>
      </c>
      <c r="AL916" s="43">
        <v>5</v>
      </c>
      <c r="AM916" s="43">
        <v>5</v>
      </c>
      <c r="AN916" s="43">
        <v>4.9000000954000003</v>
      </c>
      <c r="AO916" s="43">
        <v>4.9000000954000003</v>
      </c>
      <c r="AP916" s="43">
        <v>4.9000000954000003</v>
      </c>
      <c r="AQ916" s="43">
        <v>4.9000000954000003</v>
      </c>
      <c r="AR916" s="43">
        <v>4.8000001906999996</v>
      </c>
      <c r="AS916" s="43">
        <v>4.6999998093000004</v>
      </c>
      <c r="AT916" s="43">
        <v>4.7</v>
      </c>
      <c r="AU916" s="43">
        <v>4.8</v>
      </c>
      <c r="AV916" s="43">
        <v>4.7</v>
      </c>
      <c r="AW916" s="43">
        <v>4.7</v>
      </c>
      <c r="AX916" s="43">
        <v>4.7</v>
      </c>
      <c r="AY916" s="43">
        <v>4.7</v>
      </c>
      <c r="AZ916" s="43">
        <v>4.8</v>
      </c>
      <c r="BA916" s="43">
        <v>4.8</v>
      </c>
      <c r="BB916" s="43">
        <v>4.8</v>
      </c>
      <c r="BC916" s="43">
        <v>4.8</v>
      </c>
      <c r="BD916" s="43">
        <v>4.8</v>
      </c>
      <c r="BE916" s="43">
        <v>4.5</v>
      </c>
      <c r="BF916" s="43">
        <v>4.4000000000000004</v>
      </c>
      <c r="BG916" s="43"/>
      <c r="BH916" s="43"/>
      <c r="BI916" s="43">
        <v>4.3</v>
      </c>
      <c r="BJ916" s="43"/>
      <c r="BK916" s="43"/>
      <c r="BL916" s="43"/>
      <c r="BM916" s="43"/>
      <c r="BN916" s="56">
        <f t="shared" si="26"/>
        <v>4.3</v>
      </c>
      <c r="BO916" s="428">
        <f>IF(BN916="No reported value",INDEX('WB HCW &amp; Beds'!$BU$831:$BU$835,MATCH($BP916,'WB HCW &amp; Beds'!$BS$831:$BS$835,0)),$BN916)</f>
        <v>4.3</v>
      </c>
      <c r="BP916" s="132" t="str">
        <f>INDEX('HCW + Staff Summary'!$E$7:$E$270,MATCH($B916,'HCW + Staff Summary'!$B$7:$B$270,0))</f>
        <v>High income</v>
      </c>
      <c r="BQ916" s="429">
        <f>INDEX('WB HCW &amp; Beds'!$BU$838:$BU$842,MATCH($BP916,'WB HCW &amp; Beds'!$BS$838:$BS$842,0))*100</f>
        <v>3.5700000000000003</v>
      </c>
    </row>
    <row r="917" spans="2:69" x14ac:dyDescent="0.75">
      <c r="B917" s="43" t="s">
        <v>406</v>
      </c>
      <c r="C917" s="43" t="s">
        <v>52</v>
      </c>
      <c r="D917" s="43" t="s">
        <v>632</v>
      </c>
      <c r="E917" s="43" t="s">
        <v>633</v>
      </c>
      <c r="F917" s="43">
        <v>6.2222223281860396</v>
      </c>
      <c r="G917" s="43"/>
      <c r="H917" s="43"/>
      <c r="I917" s="43"/>
      <c r="J917" s="43"/>
      <c r="K917" s="43"/>
      <c r="L917" s="43"/>
      <c r="M917" s="43"/>
      <c r="N917" s="43"/>
      <c r="O917" s="43"/>
      <c r="P917" s="43">
        <v>7.2536997795104998</v>
      </c>
      <c r="Q917" s="43"/>
      <c r="R917" s="43"/>
      <c r="S917" s="43"/>
      <c r="T917" s="43"/>
      <c r="U917" s="43"/>
      <c r="V917" s="43"/>
      <c r="W917" s="43"/>
      <c r="X917" s="43"/>
      <c r="Y917" s="43"/>
      <c r="Z917" s="43">
        <v>5.7713999748229998</v>
      </c>
      <c r="AA917" s="43"/>
      <c r="AB917" s="43"/>
      <c r="AC917" s="43"/>
      <c r="AD917" s="43"/>
      <c r="AE917" s="43"/>
      <c r="AF917" s="43"/>
      <c r="AG917" s="43"/>
      <c r="AH917" s="43"/>
      <c r="AI917" s="43"/>
      <c r="AJ917" s="43">
        <v>8</v>
      </c>
      <c r="AK917" s="43"/>
      <c r="AL917" s="43"/>
      <c r="AM917" s="43">
        <v>8.1778001785000001</v>
      </c>
      <c r="AN917" s="43"/>
      <c r="AO917" s="43">
        <v>5.5</v>
      </c>
      <c r="AP917" s="43">
        <v>5.2699999808999998</v>
      </c>
      <c r="AQ917" s="43"/>
      <c r="AR917" s="43"/>
      <c r="AS917" s="43"/>
      <c r="AT917" s="43">
        <v>6.2</v>
      </c>
      <c r="AU917" s="43"/>
      <c r="AV917" s="43">
        <v>6.9</v>
      </c>
      <c r="AW917" s="43">
        <v>5.6999998093000004</v>
      </c>
      <c r="AX917" s="43"/>
      <c r="AY917" s="43">
        <v>4.0999999999999996</v>
      </c>
      <c r="AZ917" s="43"/>
      <c r="BA917" s="43">
        <v>2.6</v>
      </c>
      <c r="BB917" s="43">
        <v>2.6</v>
      </c>
      <c r="BC917" s="43">
        <v>2.4</v>
      </c>
      <c r="BD917" s="43"/>
      <c r="BE917" s="43">
        <v>3.5</v>
      </c>
      <c r="BF917" s="43">
        <v>3.5</v>
      </c>
      <c r="BG917" s="43">
        <v>3.7</v>
      </c>
      <c r="BH917" s="43">
        <v>3.7</v>
      </c>
      <c r="BI917" s="43"/>
      <c r="BJ917" s="43"/>
      <c r="BK917" s="43"/>
      <c r="BL917" s="43"/>
      <c r="BM917" s="43"/>
      <c r="BN917" s="56">
        <f t="shared" si="26"/>
        <v>3.7</v>
      </c>
      <c r="BO917" s="428">
        <f>IF(BN917="No reported value",INDEX('WB HCW &amp; Beds'!$BU$831:$BU$835,MATCH($BP917,'WB HCW &amp; Beds'!$BS$831:$BS$835,0)),$BN917)</f>
        <v>3.7</v>
      </c>
      <c r="BP917" s="132" t="str">
        <f>INDEX('HCW + Staff Summary'!$E$7:$E$270,MATCH($B917,'HCW + Staff Summary'!$B$7:$B$270,0))</f>
        <v>Upper middle income</v>
      </c>
      <c r="BQ917" s="429">
        <f>INDEX('WB HCW &amp; Beds'!$BU$838:$BU$842,MATCH($BP917,'WB HCW &amp; Beds'!$BS$838:$BS$842,0))*100</f>
        <v>3.32</v>
      </c>
    </row>
    <row r="918" spans="2:69" x14ac:dyDescent="0.75">
      <c r="B918" s="43" t="s">
        <v>404</v>
      </c>
      <c r="C918" s="43" t="s">
        <v>405</v>
      </c>
      <c r="D918" s="43" t="s">
        <v>632</v>
      </c>
      <c r="E918" s="43" t="s">
        <v>633</v>
      </c>
      <c r="F918" s="43"/>
      <c r="G918" s="43"/>
      <c r="H918" s="43"/>
      <c r="I918" s="43"/>
      <c r="J918" s="43"/>
      <c r="K918" s="43"/>
      <c r="L918" s="43"/>
      <c r="M918" s="43"/>
      <c r="N918" s="43"/>
      <c r="O918" s="43"/>
      <c r="P918" s="43">
        <v>14.353400230407701</v>
      </c>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c r="BI918" s="43"/>
      <c r="BJ918" s="43"/>
      <c r="BK918" s="43"/>
      <c r="BL918" s="43"/>
      <c r="BM918" s="43"/>
      <c r="BN918" s="56">
        <f t="shared" si="26"/>
        <v>14.353400230407701</v>
      </c>
      <c r="BO918" s="428">
        <f>IF(BN918="No reported value",INDEX('WB HCW &amp; Beds'!$BU$831:$BU$835,MATCH($BP918,'WB HCW &amp; Beds'!$BS$831:$BS$835,0)),$BN918)</f>
        <v>14.353400230407701</v>
      </c>
      <c r="BP918" s="132" t="str">
        <f>INDEX('HCW + Staff Summary'!$E$7:$E$270,MATCH($B918,'HCW + Staff Summary'!$B$7:$B$270,0))</f>
        <v>High income</v>
      </c>
      <c r="BQ918" s="429">
        <f>INDEX('WB HCW &amp; Beds'!$BU$838:$BU$842,MATCH($BP918,'WB HCW &amp; Beds'!$BS$838:$BS$842,0))*100</f>
        <v>3.5700000000000003</v>
      </c>
    </row>
    <row r="919" spans="2:69" x14ac:dyDescent="0.75">
      <c r="B919" s="43" t="s">
        <v>223</v>
      </c>
      <c r="C919" s="43" t="s">
        <v>53</v>
      </c>
      <c r="D919" s="43" t="s">
        <v>632</v>
      </c>
      <c r="E919" s="43" t="s">
        <v>633</v>
      </c>
      <c r="F919" s="43">
        <v>2.6310875415802002</v>
      </c>
      <c r="G919" s="43"/>
      <c r="H919" s="43"/>
      <c r="I919" s="43"/>
      <c r="J919" s="43"/>
      <c r="K919" s="43"/>
      <c r="L919" s="43"/>
      <c r="M919" s="43"/>
      <c r="N919" s="43"/>
      <c r="O919" s="43"/>
      <c r="P919" s="43">
        <v>2.1710999011993399</v>
      </c>
      <c r="Q919" s="43"/>
      <c r="R919" s="43"/>
      <c r="S919" s="43"/>
      <c r="T919" s="43"/>
      <c r="U919" s="43">
        <v>2.0027000904083301</v>
      </c>
      <c r="V919" s="43"/>
      <c r="W919" s="43"/>
      <c r="X919" s="43"/>
      <c r="Y919" s="43"/>
      <c r="Z919" s="43"/>
      <c r="AA919" s="43"/>
      <c r="AB919" s="43"/>
      <c r="AC919" s="43"/>
      <c r="AD919" s="43"/>
      <c r="AE919" s="43"/>
      <c r="AF919" s="43">
        <v>1.7211999893188501</v>
      </c>
      <c r="AG919" s="43"/>
      <c r="AH919" s="43"/>
      <c r="AI919" s="43">
        <v>0.87779998779296897</v>
      </c>
      <c r="AJ919" s="43">
        <v>1.1000000238000001</v>
      </c>
      <c r="AK919" s="43"/>
      <c r="AL919" s="43"/>
      <c r="AM919" s="43">
        <v>1.1000000238000001</v>
      </c>
      <c r="AN919" s="43"/>
      <c r="AO919" s="43"/>
      <c r="AP919" s="43">
        <v>0.98000001910000001</v>
      </c>
      <c r="AQ919" s="43"/>
      <c r="AR919" s="43"/>
      <c r="AS919" s="43"/>
      <c r="AT919" s="43"/>
      <c r="AU919" s="43"/>
      <c r="AV919" s="43">
        <v>0.5</v>
      </c>
      <c r="AW919" s="43"/>
      <c r="AX919" s="43"/>
      <c r="AY919" s="43">
        <v>0.7</v>
      </c>
      <c r="AZ919" s="43"/>
      <c r="BA919" s="43">
        <v>0.7</v>
      </c>
      <c r="BB919" s="43">
        <v>0.6</v>
      </c>
      <c r="BC919" s="43">
        <v>0.6</v>
      </c>
      <c r="BD919" s="43">
        <v>0.6</v>
      </c>
      <c r="BE919" s="43">
        <v>0.6</v>
      </c>
      <c r="BF919" s="43">
        <v>0.6</v>
      </c>
      <c r="BG919" s="43"/>
      <c r="BH919" s="43">
        <v>0.6</v>
      </c>
      <c r="BI919" s="43"/>
      <c r="BJ919" s="43"/>
      <c r="BK919" s="43"/>
      <c r="BL919" s="43"/>
      <c r="BM919" s="43"/>
      <c r="BN919" s="56">
        <f t="shared" si="26"/>
        <v>0.6</v>
      </c>
      <c r="BO919" s="428">
        <f>IF(BN919="No reported value",INDEX('WB HCW &amp; Beds'!$BU$831:$BU$835,MATCH($BP919,'WB HCW &amp; Beds'!$BS$831:$BS$835,0)),$BN919)</f>
        <v>0.6</v>
      </c>
      <c r="BP919" s="132" t="str">
        <f>INDEX('HCW + Staff Summary'!$E$7:$E$270,MATCH($B919,'HCW + Staff Summary'!$B$7:$B$270,0))</f>
        <v>Upper middle income</v>
      </c>
      <c r="BQ919" s="429">
        <f>INDEX('WB HCW &amp; Beds'!$BU$838:$BU$842,MATCH($BP919,'WB HCW &amp; Beds'!$BS$838:$BS$842,0))*100</f>
        <v>3.32</v>
      </c>
    </row>
    <row r="920" spans="2:69" x14ac:dyDescent="0.75">
      <c r="B920" s="43" t="s">
        <v>407</v>
      </c>
      <c r="C920" s="43" t="s">
        <v>408</v>
      </c>
      <c r="D920" s="43" t="s">
        <v>632</v>
      </c>
      <c r="E920" s="43" t="s">
        <v>633</v>
      </c>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56" t="str">
        <f t="shared" si="26"/>
        <v>No reported value</v>
      </c>
      <c r="BO920" s="428">
        <f>IF(BN920="No reported value",INDEX('WB HCW &amp; Beds'!$BU$831:$BU$835,MATCH($BP920,'WB HCW &amp; Beds'!$BS$831:$BS$835,0)),$BN920)</f>
        <v>4.82</v>
      </c>
      <c r="BP920" s="132" t="str">
        <f>INDEX('HCW + Staff Summary'!$E$7:$E$270,MATCH($B920,'HCW + Staff Summary'!$B$7:$B$270,0))</f>
        <v>High income</v>
      </c>
      <c r="BQ920" s="429">
        <f>INDEX('WB HCW &amp; Beds'!$BU$838:$BU$842,MATCH($BP920,'WB HCW &amp; Beds'!$BS$838:$BS$842,0))*100</f>
        <v>3.5700000000000003</v>
      </c>
    </row>
    <row r="921" spans="2:69" x14ac:dyDescent="0.75">
      <c r="B921" s="43" t="s">
        <v>224</v>
      </c>
      <c r="C921" s="43" t="s">
        <v>54</v>
      </c>
      <c r="D921" s="43" t="s">
        <v>632</v>
      </c>
      <c r="E921" s="43" t="s">
        <v>633</v>
      </c>
      <c r="F921" s="43">
        <v>5.5746922492981001</v>
      </c>
      <c r="G921" s="43"/>
      <c r="H921" s="43"/>
      <c r="I921" s="43"/>
      <c r="J921" s="43"/>
      <c r="K921" s="43"/>
      <c r="L921" s="43"/>
      <c r="M921" s="43"/>
      <c r="N921" s="43"/>
      <c r="O921" s="43"/>
      <c r="P921" s="43">
        <v>4.76300001144409</v>
      </c>
      <c r="Q921" s="43"/>
      <c r="R921" s="43"/>
      <c r="S921" s="43"/>
      <c r="T921" s="43"/>
      <c r="U921" s="43">
        <v>4.97279977798462</v>
      </c>
      <c r="V921" s="43"/>
      <c r="W921" s="43"/>
      <c r="X921" s="43"/>
      <c r="Y921" s="43"/>
      <c r="Z921" s="43"/>
      <c r="AA921" s="43"/>
      <c r="AB921" s="43"/>
      <c r="AC921" s="43"/>
      <c r="AD921" s="43"/>
      <c r="AE921" s="43">
        <v>3.4920001029968302</v>
      </c>
      <c r="AF921" s="43"/>
      <c r="AG921" s="43"/>
      <c r="AH921" s="43"/>
      <c r="AI921" s="43"/>
      <c r="AJ921" s="43"/>
      <c r="AK921" s="43"/>
      <c r="AL921" s="43"/>
      <c r="AM921" s="43">
        <v>3.0999999046000002</v>
      </c>
      <c r="AN921" s="43"/>
      <c r="AO921" s="43">
        <v>3.1</v>
      </c>
      <c r="AP921" s="43">
        <v>3.8699998856</v>
      </c>
      <c r="AQ921" s="43"/>
      <c r="AR921" s="43"/>
      <c r="AS921" s="43"/>
      <c r="AT921" s="43"/>
      <c r="AU921" s="43">
        <v>2.9</v>
      </c>
      <c r="AV921" s="43"/>
      <c r="AW921" s="43"/>
      <c r="AX921" s="43"/>
      <c r="AY921" s="43">
        <v>2.8</v>
      </c>
      <c r="AZ921" s="43">
        <v>2.5</v>
      </c>
      <c r="BA921" s="43">
        <v>1.9</v>
      </c>
      <c r="BB921" s="43"/>
      <c r="BC921" s="43">
        <v>2</v>
      </c>
      <c r="BD921" s="43"/>
      <c r="BE921" s="43"/>
      <c r="BF921" s="43"/>
      <c r="BG921" s="43"/>
      <c r="BH921" s="43">
        <v>1.6</v>
      </c>
      <c r="BI921" s="43"/>
      <c r="BJ921" s="43"/>
      <c r="BK921" s="43"/>
      <c r="BL921" s="43"/>
      <c r="BM921" s="43"/>
      <c r="BN921" s="56">
        <f t="shared" si="26"/>
        <v>1.6</v>
      </c>
      <c r="BO921" s="428">
        <f>IF(BN921="No reported value",INDEX('WB HCW &amp; Beds'!$BU$831:$BU$835,MATCH($BP921,'WB HCW &amp; Beds'!$BS$831:$BS$835,0)),$BN921)</f>
        <v>1.6</v>
      </c>
      <c r="BP921" s="132" t="str">
        <f>INDEX('HCW + Staff Summary'!$E$7:$E$270,MATCH($B921,'HCW + Staff Summary'!$B$7:$B$270,0))</f>
        <v>Upper middle income</v>
      </c>
      <c r="BQ921" s="429">
        <f>INDEX('WB HCW &amp; Beds'!$BU$838:$BU$842,MATCH($BP921,'WB HCW &amp; Beds'!$BS$838:$BS$842,0))*100</f>
        <v>3.32</v>
      </c>
    </row>
    <row r="922" spans="2:69" x14ac:dyDescent="0.75">
      <c r="B922" s="43" t="s">
        <v>411</v>
      </c>
      <c r="C922" s="43" t="s">
        <v>412</v>
      </c>
      <c r="D922" s="43" t="s">
        <v>632</v>
      </c>
      <c r="E922" s="43" t="s">
        <v>633</v>
      </c>
      <c r="F922" s="43">
        <v>8.9393636328952049</v>
      </c>
      <c r="G922" s="43"/>
      <c r="H922" s="43"/>
      <c r="I922" s="43"/>
      <c r="J922" s="43"/>
      <c r="K922" s="43"/>
      <c r="L922" s="43"/>
      <c r="M922" s="43"/>
      <c r="N922" s="43"/>
      <c r="O922" s="43"/>
      <c r="P922" s="43">
        <v>9.0969661095826897</v>
      </c>
      <c r="Q922" s="43"/>
      <c r="R922" s="43"/>
      <c r="S922" s="43"/>
      <c r="T922" s="43"/>
      <c r="U922" s="43"/>
      <c r="V922" s="43"/>
      <c r="W922" s="43"/>
      <c r="X922" s="43"/>
      <c r="Y922" s="43"/>
      <c r="Z922" s="43">
        <v>8.3983491889122774</v>
      </c>
      <c r="AA922" s="43"/>
      <c r="AB922" s="43"/>
      <c r="AC922" s="43"/>
      <c r="AD922" s="43"/>
      <c r="AE922" s="43">
        <v>8.1736091628002452</v>
      </c>
      <c r="AF922" s="43"/>
      <c r="AG922" s="43"/>
      <c r="AH922" s="43"/>
      <c r="AI922" s="43"/>
      <c r="AJ922" s="43">
        <v>6.2840072218646057</v>
      </c>
      <c r="AK922" s="43">
        <v>6.4721165270572243</v>
      </c>
      <c r="AL922" s="43">
        <v>6.1597522770836095</v>
      </c>
      <c r="AM922" s="43">
        <v>7.2071038799014868</v>
      </c>
      <c r="AN922" s="43">
        <v>7.2563919594141657</v>
      </c>
      <c r="AO922" s="43">
        <v>7.0707411673113354</v>
      </c>
      <c r="AP922" s="43">
        <v>6.839729886985066</v>
      </c>
      <c r="AQ922" s="43">
        <v>6.7098793533021226</v>
      </c>
      <c r="AR922" s="43">
        <v>6.6757650276338509</v>
      </c>
      <c r="AS922" s="43">
        <v>6.5444376431636293</v>
      </c>
      <c r="AT922" s="43">
        <v>6.3071340708475931</v>
      </c>
      <c r="AU922" s="43">
        <v>6.0816510158386805</v>
      </c>
      <c r="AV922" s="43">
        <v>6.0621755508033592</v>
      </c>
      <c r="AW922" s="43">
        <v>6.0945563106876568</v>
      </c>
      <c r="AX922" s="43"/>
      <c r="AY922" s="43">
        <v>5.7545812221347923</v>
      </c>
      <c r="AZ922" s="43">
        <v>5.7721524491612559</v>
      </c>
      <c r="BA922" s="43">
        <v>4.5097173701534539</v>
      </c>
      <c r="BB922" s="43">
        <v>5.8955490639820178</v>
      </c>
      <c r="BC922" s="43">
        <v>5.6505031002300923</v>
      </c>
      <c r="BD922" s="43">
        <v>4.155933226773044</v>
      </c>
      <c r="BE922" s="43">
        <v>4.0499286849509764</v>
      </c>
      <c r="BF922" s="43">
        <v>5.4373878909967299</v>
      </c>
      <c r="BG922" s="43">
        <v>4.1105990505398529</v>
      </c>
      <c r="BH922" s="43"/>
      <c r="BI922" s="43"/>
      <c r="BJ922" s="43"/>
      <c r="BK922" s="43"/>
      <c r="BL922" s="43"/>
      <c r="BM922" s="43"/>
      <c r="BN922" s="56">
        <f t="shared" si="26"/>
        <v>4.1105990505398529</v>
      </c>
      <c r="BO922" s="428">
        <f>IF(BN922="No reported value",INDEX('WB HCW &amp; Beds'!$BU$831:$BU$835,MATCH($BP922,'WB HCW &amp; Beds'!$BS$831:$BS$835,0)),$BN922)</f>
        <v>4.1105990505398529</v>
      </c>
      <c r="BP922" s="132" t="str">
        <f>INDEX('HCW + Staff Summary'!$E$7:$E$270,MATCH($B922,'HCW + Staff Summary'!$B$7:$B$270,0))</f>
        <v>OUT</v>
      </c>
      <c r="BQ922" s="429">
        <f>INDEX('WB HCW &amp; Beds'!$BU$838:$BU$842,MATCH($BP922,'WB HCW &amp; Beds'!$BS$838:$BS$842,0))*100</f>
        <v>2.7250000000000001</v>
      </c>
    </row>
    <row r="923" spans="2:69" x14ac:dyDescent="0.75">
      <c r="B923" s="43" t="s">
        <v>413</v>
      </c>
      <c r="C923" s="43" t="s">
        <v>414</v>
      </c>
      <c r="D923" s="43" t="s">
        <v>632</v>
      </c>
      <c r="E923" s="43" t="s">
        <v>633</v>
      </c>
      <c r="F923" s="43">
        <v>2.6403393745422399</v>
      </c>
      <c r="G923" s="43"/>
      <c r="H923" s="43"/>
      <c r="I923" s="43"/>
      <c r="J923" s="43"/>
      <c r="K923" s="43"/>
      <c r="L923" s="43"/>
      <c r="M923" s="43"/>
      <c r="N923" s="43"/>
      <c r="O923" s="43"/>
      <c r="P923" s="43">
        <v>4.1782999038696298</v>
      </c>
      <c r="Q923" s="43"/>
      <c r="R923" s="43"/>
      <c r="S923" s="43"/>
      <c r="T923" s="43"/>
      <c r="U923" s="43">
        <v>5.04129981994629</v>
      </c>
      <c r="V923" s="43"/>
      <c r="W923" s="43"/>
      <c r="X923" s="43"/>
      <c r="Y923" s="43"/>
      <c r="Z923" s="43">
        <v>4.0209999084472701</v>
      </c>
      <c r="AA923" s="43">
        <v>4.1097998619079599</v>
      </c>
      <c r="AB923" s="43"/>
      <c r="AC923" s="43"/>
      <c r="AD923" s="43"/>
      <c r="AE923" s="43">
        <v>4.8909001350402797</v>
      </c>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56">
        <f t="shared" si="26"/>
        <v>4.8909001350402797</v>
      </c>
      <c r="BO923" s="428">
        <f>IF(BN923="No reported value",INDEX('WB HCW &amp; Beds'!$BU$831:$BU$835,MATCH($BP923,'WB HCW &amp; Beds'!$BS$831:$BS$835,0)),$BN923)</f>
        <v>4.8909001350402797</v>
      </c>
      <c r="BP923" s="132" t="str">
        <f>INDEX('HCW + Staff Summary'!$E$7:$E$270,MATCH($B923,'HCW + Staff Summary'!$B$7:$B$270,0))</f>
        <v>High income</v>
      </c>
      <c r="BQ923" s="429">
        <f>INDEX('WB HCW &amp; Beds'!$BU$838:$BU$842,MATCH($BP923,'WB HCW &amp; Beds'!$BS$838:$BS$842,0))*100</f>
        <v>3.5700000000000003</v>
      </c>
    </row>
    <row r="924" spans="2:69" x14ac:dyDescent="0.75">
      <c r="B924" s="43" t="s">
        <v>226</v>
      </c>
      <c r="C924" s="43" t="s">
        <v>166</v>
      </c>
      <c r="D924" s="43" t="s">
        <v>632</v>
      </c>
      <c r="E924" s="43" t="s">
        <v>633</v>
      </c>
      <c r="F924" s="43">
        <v>1.64625132083893</v>
      </c>
      <c r="G924" s="43"/>
      <c r="H924" s="43"/>
      <c r="I924" s="43"/>
      <c r="J924" s="43"/>
      <c r="K924" s="43"/>
      <c r="L924" s="43"/>
      <c r="M924" s="43"/>
      <c r="N924" s="43"/>
      <c r="O924" s="43"/>
      <c r="P924" s="43">
        <v>1.7531000375747701</v>
      </c>
      <c r="Q924" s="43"/>
      <c r="R924" s="43"/>
      <c r="S924" s="43"/>
      <c r="T924" s="43"/>
      <c r="U924" s="43">
        <v>1.7036999464035001</v>
      </c>
      <c r="V924" s="43"/>
      <c r="W924" s="43"/>
      <c r="X924" s="43"/>
      <c r="Y924" s="43"/>
      <c r="Z924" s="43">
        <v>1.3241000175476101</v>
      </c>
      <c r="AA924" s="43"/>
      <c r="AB924" s="43"/>
      <c r="AC924" s="43"/>
      <c r="AD924" s="43"/>
      <c r="AE924" s="43">
        <v>1.3094999790191699</v>
      </c>
      <c r="AF924" s="43"/>
      <c r="AG924" s="43"/>
      <c r="AH924" s="43"/>
      <c r="AI924" s="43"/>
      <c r="AJ924" s="43">
        <v>1.0067000389</v>
      </c>
      <c r="AK924" s="43"/>
      <c r="AL924" s="43"/>
      <c r="AM924" s="43">
        <v>0.80000001190000003</v>
      </c>
      <c r="AN924" s="43"/>
      <c r="AO924" s="43"/>
      <c r="AP924" s="43">
        <v>1.0599999428</v>
      </c>
      <c r="AQ924" s="43"/>
      <c r="AR924" s="43"/>
      <c r="AS924" s="43"/>
      <c r="AT924" s="43"/>
      <c r="AU924" s="43"/>
      <c r="AV924" s="43">
        <v>1</v>
      </c>
      <c r="AW924" s="43"/>
      <c r="AX924" s="43"/>
      <c r="AY924" s="43"/>
      <c r="AZ924" s="43"/>
      <c r="BA924" s="43"/>
      <c r="BB924" s="43">
        <v>0.7</v>
      </c>
      <c r="BC924" s="43">
        <v>0.8</v>
      </c>
      <c r="BD924" s="43">
        <v>0.8</v>
      </c>
      <c r="BE924" s="43">
        <v>0.7</v>
      </c>
      <c r="BF924" s="43">
        <v>0.7</v>
      </c>
      <c r="BG924" s="43">
        <v>0.7</v>
      </c>
      <c r="BH924" s="43">
        <v>0.7</v>
      </c>
      <c r="BI924" s="43"/>
      <c r="BJ924" s="43"/>
      <c r="BK924" s="43"/>
      <c r="BL924" s="43"/>
      <c r="BM924" s="43"/>
      <c r="BN924" s="56">
        <f t="shared" si="26"/>
        <v>0.7</v>
      </c>
      <c r="BO924" s="428">
        <f>IF(BN924="No reported value",INDEX('WB HCW &amp; Beds'!$BU$831:$BU$835,MATCH($BP924,'WB HCW &amp; Beds'!$BS$831:$BS$835,0)),$BN924)</f>
        <v>0.7</v>
      </c>
      <c r="BP924" s="132" t="str">
        <f>INDEX('HCW + Staff Summary'!$E$7:$E$270,MATCH($B924,'HCW + Staff Summary'!$B$7:$B$270,0))</f>
        <v>Lower middle income</v>
      </c>
      <c r="BQ924" s="429">
        <f>INDEX('WB HCW &amp; Beds'!$BU$838:$BU$842,MATCH($BP924,'WB HCW &amp; Beds'!$BS$838:$BS$842,0))*100</f>
        <v>2.3800000000000003</v>
      </c>
    </row>
    <row r="925" spans="2:69" x14ac:dyDescent="0.75">
      <c r="B925" s="43" t="s">
        <v>409</v>
      </c>
      <c r="C925" s="43" t="s">
        <v>410</v>
      </c>
      <c r="D925" s="43" t="s">
        <v>632</v>
      </c>
      <c r="E925" s="43" t="s">
        <v>633</v>
      </c>
      <c r="F925" s="43">
        <v>1.5165460578571366</v>
      </c>
      <c r="G925" s="43"/>
      <c r="H925" s="43"/>
      <c r="I925" s="43"/>
      <c r="J925" s="43"/>
      <c r="K925" s="43"/>
      <c r="L925" s="43"/>
      <c r="M925" s="43"/>
      <c r="N925" s="43"/>
      <c r="O925" s="43"/>
      <c r="P925" s="43">
        <v>1.4215095364984542</v>
      </c>
      <c r="Q925" s="43"/>
      <c r="R925" s="43"/>
      <c r="S925" s="43"/>
      <c r="T925" s="43"/>
      <c r="U925" s="43">
        <v>1.5230015052052304</v>
      </c>
      <c r="V925" s="43"/>
      <c r="W925" s="43"/>
      <c r="X925" s="43"/>
      <c r="Y925" s="43"/>
      <c r="Z925" s="43"/>
      <c r="AA925" s="43"/>
      <c r="AB925" s="43"/>
      <c r="AC925" s="43"/>
      <c r="AD925" s="43"/>
      <c r="AE925" s="43"/>
      <c r="AF925" s="43"/>
      <c r="AG925" s="43"/>
      <c r="AH925" s="43"/>
      <c r="AI925" s="43"/>
      <c r="AJ925" s="43">
        <v>0.99774240856121321</v>
      </c>
      <c r="AK925" s="43"/>
      <c r="AL925" s="43"/>
      <c r="AM925" s="43"/>
      <c r="AN925" s="43"/>
      <c r="AO925" s="43"/>
      <c r="AP925" s="43"/>
      <c r="AQ925" s="43"/>
      <c r="AR925" s="43"/>
      <c r="AS925" s="43"/>
      <c r="AT925" s="43"/>
      <c r="AU925" s="43"/>
      <c r="AV925" s="43"/>
      <c r="AW925" s="43"/>
      <c r="AX925" s="43"/>
      <c r="AY925" s="43"/>
      <c r="AZ925" s="43">
        <v>0.74351169398035633</v>
      </c>
      <c r="BA925" s="43"/>
      <c r="BB925" s="43"/>
      <c r="BC925" s="43"/>
      <c r="BD925" s="43"/>
      <c r="BE925" s="43"/>
      <c r="BF925" s="43"/>
      <c r="BG925" s="43"/>
      <c r="BH925" s="43"/>
      <c r="BI925" s="43"/>
      <c r="BJ925" s="43"/>
      <c r="BK925" s="43"/>
      <c r="BL925" s="43"/>
      <c r="BM925" s="43"/>
      <c r="BN925" s="56">
        <f t="shared" si="26"/>
        <v>0.74351169398035633</v>
      </c>
      <c r="BO925" s="428">
        <f>IF(BN925="No reported value",INDEX('WB HCW &amp; Beds'!$BU$831:$BU$835,MATCH($BP925,'WB HCW &amp; Beds'!$BS$831:$BS$835,0)),$BN925)</f>
        <v>0.74351169398035633</v>
      </c>
      <c r="BP925" s="132" t="str">
        <f>INDEX('HCW + Staff Summary'!$E$7:$E$270,MATCH($B925,'HCW + Staff Summary'!$B$7:$B$270,0))</f>
        <v>OUT</v>
      </c>
      <c r="BQ925" s="429">
        <f>INDEX('WB HCW &amp; Beds'!$BU$838:$BU$842,MATCH($BP925,'WB HCW &amp; Beds'!$BS$838:$BS$842,0))*100</f>
        <v>2.7250000000000001</v>
      </c>
    </row>
    <row r="926" spans="2:69" x14ac:dyDescent="0.75">
      <c r="B926" s="43" t="s">
        <v>359</v>
      </c>
      <c r="C926" s="43" t="s">
        <v>55</v>
      </c>
      <c r="D926" s="43" t="s">
        <v>632</v>
      </c>
      <c r="E926" s="43" t="s">
        <v>633</v>
      </c>
      <c r="F926" s="43"/>
      <c r="G926" s="43"/>
      <c r="H926" s="43"/>
      <c r="I926" s="43"/>
      <c r="J926" s="43"/>
      <c r="K926" s="43"/>
      <c r="L926" s="43"/>
      <c r="M926" s="43"/>
      <c r="N926" s="43"/>
      <c r="O926" s="43"/>
      <c r="P926" s="43"/>
      <c r="Q926" s="43"/>
      <c r="R926" s="43"/>
      <c r="S926" s="43"/>
      <c r="T926" s="43"/>
      <c r="U926" s="43"/>
      <c r="V926" s="43"/>
      <c r="W926" s="43"/>
      <c r="X926" s="43"/>
      <c r="Y926" s="43"/>
      <c r="Z926" s="43">
        <v>7.2347998619079599</v>
      </c>
      <c r="AA926" s="43">
        <v>7.3081002235412598</v>
      </c>
      <c r="AB926" s="43">
        <v>7.4235000610351598</v>
      </c>
      <c r="AC926" s="43">
        <v>7.4651999473571804</v>
      </c>
      <c r="AD926" s="43">
        <v>7.4465999603271502</v>
      </c>
      <c r="AE926" s="43">
        <v>7.4542999267578098</v>
      </c>
      <c r="AF926" s="43">
        <v>7.4025998115539604</v>
      </c>
      <c r="AG926" s="43">
        <v>7.4225001335143999</v>
      </c>
      <c r="AH926" s="43">
        <v>7.4416999816894496</v>
      </c>
      <c r="AI926" s="43">
        <v>7.3930001258850098</v>
      </c>
      <c r="AJ926" s="43">
        <v>7.3777999877999996</v>
      </c>
      <c r="AK926" s="43">
        <v>6.5201001167000001</v>
      </c>
      <c r="AL926" s="43">
        <v>6.2101001739999999</v>
      </c>
      <c r="AM926" s="43">
        <v>6.0711998940000003</v>
      </c>
      <c r="AN926" s="43">
        <v>5.9095001220999999</v>
      </c>
      <c r="AO926" s="43">
        <v>5.75</v>
      </c>
      <c r="AP926" s="43">
        <v>6.1900000571999998</v>
      </c>
      <c r="AQ926" s="43">
        <v>6.0100002289000001</v>
      </c>
      <c r="AR926" s="43">
        <v>6.0599999428000002</v>
      </c>
      <c r="AS926" s="43">
        <v>5.9299998282999997</v>
      </c>
      <c r="AT926" s="43">
        <v>6.2</v>
      </c>
      <c r="AU926" s="43">
        <v>6</v>
      </c>
      <c r="AV926" s="43">
        <v>5.7</v>
      </c>
      <c r="AW926" s="43">
        <v>5.6</v>
      </c>
      <c r="AX926" s="43">
        <v>5.5</v>
      </c>
      <c r="AY926" s="43">
        <v>5.5</v>
      </c>
      <c r="AZ926" s="43">
        <v>5.5</v>
      </c>
      <c r="BA926" s="43">
        <v>5.5</v>
      </c>
      <c r="BB926" s="43">
        <v>5.5</v>
      </c>
      <c r="BC926" s="43">
        <v>5.4</v>
      </c>
      <c r="BD926" s="43">
        <v>5.6</v>
      </c>
      <c r="BE926" s="43">
        <v>5.7</v>
      </c>
      <c r="BF926" s="43">
        <v>5.9</v>
      </c>
      <c r="BG926" s="43">
        <v>5.9</v>
      </c>
      <c r="BH926" s="43">
        <v>5.89</v>
      </c>
      <c r="BI926" s="43">
        <v>5.6</v>
      </c>
      <c r="BJ926" s="43"/>
      <c r="BK926" s="43"/>
      <c r="BL926" s="43"/>
      <c r="BM926" s="43"/>
      <c r="BN926" s="56">
        <f t="shared" si="26"/>
        <v>5.6</v>
      </c>
      <c r="BO926" s="428">
        <f>IF(BN926="No reported value",INDEX('WB HCW &amp; Beds'!$BU$831:$BU$835,MATCH($BP926,'WB HCW &amp; Beds'!$BS$831:$BS$835,0)),$BN926)</f>
        <v>5.6</v>
      </c>
      <c r="BP926" s="132" t="str">
        <f>INDEX('HCW + Staff Summary'!$E$7:$E$270,MATCH($B926,'HCW + Staff Summary'!$B$7:$B$270,0))</f>
        <v>High income</v>
      </c>
      <c r="BQ926" s="429">
        <f>INDEX('WB HCW &amp; Beds'!$BU$838:$BU$842,MATCH($BP926,'WB HCW &amp; Beds'!$BS$838:$BS$842,0))*100</f>
        <v>3.5700000000000003</v>
      </c>
    </row>
    <row r="927" spans="2:69" x14ac:dyDescent="0.75">
      <c r="B927" s="43" t="s">
        <v>225</v>
      </c>
      <c r="C927" s="43" t="s">
        <v>56</v>
      </c>
      <c r="D927" s="43" t="s">
        <v>632</v>
      </c>
      <c r="E927" s="43" t="s">
        <v>633</v>
      </c>
      <c r="F927" s="43">
        <v>0.60883283615112305</v>
      </c>
      <c r="G927" s="43"/>
      <c r="H927" s="43"/>
      <c r="I927" s="43"/>
      <c r="J927" s="43"/>
      <c r="K927" s="43"/>
      <c r="L927" s="43"/>
      <c r="M927" s="43"/>
      <c r="N927" s="43"/>
      <c r="O927" s="43"/>
      <c r="P927" s="43">
        <v>0.78430002927780196</v>
      </c>
      <c r="Q927" s="43"/>
      <c r="R927" s="43"/>
      <c r="S927" s="43"/>
      <c r="T927" s="43"/>
      <c r="U927" s="43">
        <v>0.77600002288818404</v>
      </c>
      <c r="V927" s="43"/>
      <c r="W927" s="43"/>
      <c r="X927" s="43"/>
      <c r="Y927" s="43"/>
      <c r="Z927" s="43">
        <v>0.74049997329711903</v>
      </c>
      <c r="AA927" s="43"/>
      <c r="AB927" s="43"/>
      <c r="AC927" s="43"/>
      <c r="AD927" s="43"/>
      <c r="AE927" s="43">
        <v>0.72310000658035301</v>
      </c>
      <c r="AF927" s="43"/>
      <c r="AG927" s="43"/>
      <c r="AH927" s="43"/>
      <c r="AI927" s="43"/>
      <c r="AJ927" s="43">
        <v>0.75559997560000003</v>
      </c>
      <c r="AK927" s="43"/>
      <c r="AL927" s="43"/>
      <c r="AM927" s="43">
        <v>0.79909998179999997</v>
      </c>
      <c r="AN927" s="43"/>
      <c r="AO927" s="43"/>
      <c r="AP927" s="43">
        <v>0.70999997849999996</v>
      </c>
      <c r="AQ927" s="43"/>
      <c r="AR927" s="43"/>
      <c r="AS927" s="43"/>
      <c r="AT927" s="43">
        <v>0.7</v>
      </c>
      <c r="AU927" s="43"/>
      <c r="AV927" s="43"/>
      <c r="AW927" s="43"/>
      <c r="AX927" s="43"/>
      <c r="AY927" s="43"/>
      <c r="AZ927" s="43"/>
      <c r="BA927" s="43">
        <v>1.3</v>
      </c>
      <c r="BB927" s="43"/>
      <c r="BC927" s="43"/>
      <c r="BD927" s="43"/>
      <c r="BE927" s="43"/>
      <c r="BF927" s="43"/>
      <c r="BG927" s="43">
        <v>0.7</v>
      </c>
      <c r="BH927" s="43"/>
      <c r="BI927" s="43"/>
      <c r="BJ927" s="43"/>
      <c r="BK927" s="43"/>
      <c r="BL927" s="43"/>
      <c r="BM927" s="43"/>
      <c r="BN927" s="56">
        <f t="shared" si="26"/>
        <v>0.7</v>
      </c>
      <c r="BO927" s="428">
        <f>IF(BN927="No reported value",INDEX('WB HCW &amp; Beds'!$BU$831:$BU$835,MATCH($BP927,'WB HCW &amp; Beds'!$BS$831:$BS$835,0)),$BN927)</f>
        <v>0.7</v>
      </c>
      <c r="BP927" s="132" t="str">
        <f>INDEX('HCW + Staff Summary'!$E$7:$E$270,MATCH($B927,'HCW + Staff Summary'!$B$7:$B$270,0))</f>
        <v>Low income</v>
      </c>
      <c r="BQ927" s="429">
        <f>INDEX('WB HCW &amp; Beds'!$BU$838:$BU$842,MATCH($BP927,'WB HCW &amp; Beds'!$BS$838:$BS$842,0))*100</f>
        <v>1.63</v>
      </c>
    </row>
    <row r="928" spans="2:69" x14ac:dyDescent="0.75">
      <c r="B928" s="43" t="s">
        <v>415</v>
      </c>
      <c r="C928" s="43" t="s">
        <v>57</v>
      </c>
      <c r="D928" s="43" t="s">
        <v>632</v>
      </c>
      <c r="E928" s="43" t="s">
        <v>633</v>
      </c>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v>9.3000001907000005</v>
      </c>
      <c r="AO928" s="43">
        <v>8.8000001907000005</v>
      </c>
      <c r="AP928" s="43">
        <v>8.8000001907000005</v>
      </c>
      <c r="AQ928" s="43">
        <v>8</v>
      </c>
      <c r="AR928" s="43">
        <v>8.1000003814999992</v>
      </c>
      <c r="AS928" s="43">
        <v>8.1000003814999992</v>
      </c>
      <c r="AT928" s="43">
        <v>8.1999999999999993</v>
      </c>
      <c r="AU928" s="43">
        <v>7.9</v>
      </c>
      <c r="AV928" s="43">
        <v>7.9</v>
      </c>
      <c r="AW928" s="43">
        <v>7.9</v>
      </c>
      <c r="AX928" s="43">
        <v>7.9</v>
      </c>
      <c r="AY928" s="43">
        <v>7.9</v>
      </c>
      <c r="AZ928" s="43">
        <v>8</v>
      </c>
      <c r="BA928" s="43">
        <v>7.2</v>
      </c>
      <c r="BB928" s="43">
        <v>7.1</v>
      </c>
      <c r="BC928" s="43">
        <v>7.1</v>
      </c>
      <c r="BD928" s="43">
        <v>7.2</v>
      </c>
      <c r="BE928" s="43">
        <v>7.2</v>
      </c>
      <c r="BF928" s="43">
        <v>7</v>
      </c>
      <c r="BG928" s="43">
        <v>7</v>
      </c>
      <c r="BH928" s="43"/>
      <c r="BI928" s="43"/>
      <c r="BJ928" s="43"/>
      <c r="BK928" s="43"/>
      <c r="BL928" s="43"/>
      <c r="BM928" s="43"/>
      <c r="BN928" s="56">
        <f t="shared" si="26"/>
        <v>7</v>
      </c>
      <c r="BO928" s="428">
        <f>IF(BN928="No reported value",INDEX('WB HCW &amp; Beds'!$BU$831:$BU$835,MATCH($BP928,'WB HCW &amp; Beds'!$BS$831:$BS$835,0)),$BN928)</f>
        <v>7</v>
      </c>
      <c r="BP928" s="132" t="str">
        <f>INDEX('HCW + Staff Summary'!$E$7:$E$270,MATCH($B928,'HCW + Staff Summary'!$B$7:$B$270,0))</f>
        <v>High income</v>
      </c>
      <c r="BQ928" s="429">
        <f>INDEX('WB HCW &amp; Beds'!$BU$838:$BU$842,MATCH($BP928,'WB HCW &amp; Beds'!$BS$838:$BS$842,0))*100</f>
        <v>3.5700000000000003</v>
      </c>
    </row>
    <row r="929" spans="2:69" x14ac:dyDescent="0.75">
      <c r="B929" s="43" t="s">
        <v>634</v>
      </c>
      <c r="C929" s="43" t="s">
        <v>635</v>
      </c>
      <c r="D929" s="43" t="s">
        <v>632</v>
      </c>
      <c r="E929" s="43" t="s">
        <v>633</v>
      </c>
      <c r="F929" s="43"/>
      <c r="G929" s="43"/>
      <c r="H929" s="43"/>
      <c r="I929" s="43"/>
      <c r="J929" s="43"/>
      <c r="K929" s="43"/>
      <c r="L929" s="43"/>
      <c r="M929" s="43"/>
      <c r="N929" s="43"/>
      <c r="O929" s="43"/>
      <c r="P929" s="43">
        <v>1.5368047936149709</v>
      </c>
      <c r="Q929" s="43"/>
      <c r="R929" s="43"/>
      <c r="S929" s="43"/>
      <c r="T929" s="43"/>
      <c r="U929" s="43">
        <v>1.6164170006263976</v>
      </c>
      <c r="V929" s="43"/>
      <c r="W929" s="43"/>
      <c r="X929" s="43"/>
      <c r="Y929" s="43"/>
      <c r="Z929" s="43">
        <v>2.261013896593242</v>
      </c>
      <c r="AA929" s="43">
        <v>2.2066140106678498</v>
      </c>
      <c r="AB929" s="43"/>
      <c r="AC929" s="43"/>
      <c r="AD929" s="43"/>
      <c r="AE929" s="43">
        <v>2.8558888931654955</v>
      </c>
      <c r="AF929" s="43"/>
      <c r="AG929" s="43">
        <v>3.0502463170257412</v>
      </c>
      <c r="AH929" s="43"/>
      <c r="AI929" s="43"/>
      <c r="AJ929" s="43">
        <v>3.476432183815088</v>
      </c>
      <c r="AK929" s="43">
        <v>2.7823653456786754</v>
      </c>
      <c r="AL929" s="43"/>
      <c r="AM929" s="43"/>
      <c r="AN929" s="43"/>
      <c r="AO929" s="43"/>
      <c r="AP929" s="43"/>
      <c r="AQ929" s="43"/>
      <c r="AR929" s="43"/>
      <c r="AS929" s="43"/>
      <c r="AT929" s="43"/>
      <c r="AU929" s="43"/>
      <c r="AV929" s="43">
        <v>2.2273854611341739</v>
      </c>
      <c r="AW929" s="43">
        <v>2.2972606001799334</v>
      </c>
      <c r="AX929" s="43"/>
      <c r="AY929" s="43">
        <v>2.4321299906171747</v>
      </c>
      <c r="AZ929" s="43"/>
      <c r="BA929" s="43"/>
      <c r="BB929" s="43"/>
      <c r="BC929" s="43"/>
      <c r="BD929" s="43">
        <v>3.2007655149071743</v>
      </c>
      <c r="BE929" s="43">
        <v>2.6029659986802662</v>
      </c>
      <c r="BF929" s="43"/>
      <c r="BG929" s="43"/>
      <c r="BH929" s="43"/>
      <c r="BI929" s="43"/>
      <c r="BJ929" s="43"/>
      <c r="BK929" s="43"/>
      <c r="BL929" s="43"/>
      <c r="BM929" s="43"/>
      <c r="BN929" s="56">
        <f t="shared" si="26"/>
        <v>2.6029659986802662</v>
      </c>
      <c r="BO929" s="428">
        <f>IF(BN929="No reported value",INDEX('WB HCW &amp; Beds'!$BU$831:$BU$835,MATCH($BP929,'WB HCW &amp; Beds'!$BS$831:$BS$835,0)),$BN929)</f>
        <v>2.6029659986802662</v>
      </c>
      <c r="BP929" s="132" t="str">
        <f>INDEX('HCW + Staff Summary'!$E$7:$E$270,MATCH($B929,'HCW + Staff Summary'!$B$7:$B$270,0))</f>
        <v>OUT</v>
      </c>
      <c r="BQ929" s="429">
        <f>INDEX('WB HCW &amp; Beds'!$BU$838:$BU$842,MATCH($BP929,'WB HCW &amp; Beds'!$BS$838:$BS$842,0))*100</f>
        <v>2.7250000000000001</v>
      </c>
    </row>
    <row r="930" spans="2:69" x14ac:dyDescent="0.75">
      <c r="B930" s="43" t="s">
        <v>636</v>
      </c>
      <c r="C930" s="43" t="s">
        <v>637</v>
      </c>
      <c r="D930" s="43" t="s">
        <v>632</v>
      </c>
      <c r="E930" s="43" t="s">
        <v>633</v>
      </c>
      <c r="F930" s="43"/>
      <c r="G930" s="43"/>
      <c r="H930" s="43"/>
      <c r="I930" s="43"/>
      <c r="J930" s="43"/>
      <c r="K930" s="43"/>
      <c r="L930" s="43"/>
      <c r="M930" s="43"/>
      <c r="N930" s="43"/>
      <c r="O930" s="43"/>
      <c r="P930" s="43">
        <v>1.4383312812286475</v>
      </c>
      <c r="Q930" s="43"/>
      <c r="R930" s="43"/>
      <c r="S930" s="43"/>
      <c r="T930" s="43"/>
      <c r="U930" s="43">
        <v>1.5456394796656405</v>
      </c>
      <c r="V930" s="43"/>
      <c r="W930" s="43"/>
      <c r="X930" s="43"/>
      <c r="Y930" s="43"/>
      <c r="Z930" s="43">
        <v>2.1081868175259877</v>
      </c>
      <c r="AA930" s="43"/>
      <c r="AB930" s="43"/>
      <c r="AC930" s="43"/>
      <c r="AD930" s="43"/>
      <c r="AE930" s="43">
        <v>2.8234217230873329</v>
      </c>
      <c r="AF930" s="43"/>
      <c r="AG930" s="43"/>
      <c r="AH930" s="43"/>
      <c r="AI930" s="43"/>
      <c r="AJ930" s="43">
        <v>3.0090953154875835</v>
      </c>
      <c r="AK930" s="43">
        <v>2.6891395090991361</v>
      </c>
      <c r="AL930" s="43"/>
      <c r="AM930" s="43"/>
      <c r="AN930" s="43"/>
      <c r="AO930" s="43"/>
      <c r="AP930" s="43"/>
      <c r="AQ930" s="43"/>
      <c r="AR930" s="43"/>
      <c r="AS930" s="43"/>
      <c r="AT930" s="43"/>
      <c r="AU930" s="43"/>
      <c r="AV930" s="43">
        <v>2.0753667561125679</v>
      </c>
      <c r="AW930" s="43">
        <v>2.2211259824298648</v>
      </c>
      <c r="AX930" s="43"/>
      <c r="AY930" s="43">
        <v>2.2104299132657212</v>
      </c>
      <c r="AZ930" s="43"/>
      <c r="BA930" s="43"/>
      <c r="BB930" s="43"/>
      <c r="BC930" s="43"/>
      <c r="BD930" s="43"/>
      <c r="BE930" s="43">
        <v>2.4609253863224496</v>
      </c>
      <c r="BF930" s="43"/>
      <c r="BG930" s="43"/>
      <c r="BH930" s="43"/>
      <c r="BI930" s="43"/>
      <c r="BJ930" s="43"/>
      <c r="BK930" s="43"/>
      <c r="BL930" s="43"/>
      <c r="BM930" s="43"/>
      <c r="BN930" s="56">
        <f t="shared" si="26"/>
        <v>2.4609253863224496</v>
      </c>
      <c r="BO930" s="428">
        <f>IF(BN930="No reported value",INDEX('WB HCW &amp; Beds'!$BU$831:$BU$835,MATCH($BP930,'WB HCW &amp; Beds'!$BS$831:$BS$835,0)),$BN930)</f>
        <v>2.4609253863224496</v>
      </c>
      <c r="BP930" s="132" t="str">
        <f>INDEX('HCW + Staff Summary'!$E$7:$E$270,MATCH($B930,'HCW + Staff Summary'!$B$7:$B$270,0))</f>
        <v>OUT</v>
      </c>
      <c r="BQ930" s="429">
        <f>INDEX('WB HCW &amp; Beds'!$BU$838:$BU$842,MATCH($BP930,'WB HCW &amp; Beds'!$BS$838:$BS$842,0))*100</f>
        <v>2.7250000000000001</v>
      </c>
    </row>
    <row r="931" spans="2:69" x14ac:dyDescent="0.75">
      <c r="B931" s="43" t="s">
        <v>638</v>
      </c>
      <c r="C931" s="43" t="s">
        <v>639</v>
      </c>
      <c r="D931" s="43" t="s">
        <v>632</v>
      </c>
      <c r="E931" s="43" t="s">
        <v>633</v>
      </c>
      <c r="F931" s="43">
        <v>1.1163977879161611</v>
      </c>
      <c r="G931" s="43"/>
      <c r="H931" s="43"/>
      <c r="I931" s="43"/>
      <c r="J931" s="43"/>
      <c r="K931" s="43"/>
      <c r="L931" s="43"/>
      <c r="M931" s="43"/>
      <c r="N931" s="43"/>
      <c r="O931" s="43"/>
      <c r="P931" s="43">
        <v>1.0069887082186986</v>
      </c>
      <c r="Q931" s="43"/>
      <c r="R931" s="43"/>
      <c r="S931" s="43"/>
      <c r="T931" s="43"/>
      <c r="U931" s="43"/>
      <c r="V931" s="43"/>
      <c r="W931" s="43"/>
      <c r="X931" s="43"/>
      <c r="Y931" s="43"/>
      <c r="Z931" s="43">
        <v>1.2929047866838763</v>
      </c>
      <c r="AA931" s="43"/>
      <c r="AB931" s="43"/>
      <c r="AC931" s="43"/>
      <c r="AD931" s="43"/>
      <c r="AE931" s="43"/>
      <c r="AF931" s="43"/>
      <c r="AG931" s="43"/>
      <c r="AH931" s="43"/>
      <c r="AI931" s="43"/>
      <c r="AJ931" s="43">
        <v>1.4494300762004075</v>
      </c>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c r="BI931" s="43"/>
      <c r="BJ931" s="43"/>
      <c r="BK931" s="43"/>
      <c r="BL931" s="43"/>
      <c r="BM931" s="43"/>
      <c r="BN931" s="56">
        <f t="shared" si="26"/>
        <v>1.4494300762004075</v>
      </c>
      <c r="BO931" s="428">
        <f>IF(BN931="No reported value",INDEX('WB HCW &amp; Beds'!$BU$831:$BU$835,MATCH($BP931,'WB HCW &amp; Beds'!$BS$831:$BS$835,0)),$BN931)</f>
        <v>1.4494300762004075</v>
      </c>
      <c r="BP931" s="132" t="str">
        <f>INDEX('HCW + Staff Summary'!$E$7:$E$270,MATCH($B931,'HCW + Staff Summary'!$B$7:$B$270,0))</f>
        <v>OUT</v>
      </c>
      <c r="BQ931" s="429">
        <f>INDEX('WB HCW &amp; Beds'!$BU$838:$BU$842,MATCH($BP931,'WB HCW &amp; Beds'!$BS$838:$BS$842,0))*100</f>
        <v>2.7250000000000001</v>
      </c>
    </row>
    <row r="932" spans="2:69" x14ac:dyDescent="0.75">
      <c r="B932" s="43" t="s">
        <v>640</v>
      </c>
      <c r="C932" s="43" t="s">
        <v>641</v>
      </c>
      <c r="D932" s="43" t="s">
        <v>632</v>
      </c>
      <c r="E932" s="43" t="s">
        <v>633</v>
      </c>
      <c r="F932" s="43">
        <v>0.85927364365682435</v>
      </c>
      <c r="G932" s="43"/>
      <c r="H932" s="43"/>
      <c r="I932" s="43"/>
      <c r="J932" s="43"/>
      <c r="K932" s="43"/>
      <c r="L932" s="43"/>
      <c r="M932" s="43"/>
      <c r="N932" s="43"/>
      <c r="O932" s="43"/>
      <c r="P932" s="43">
        <v>1.0156668138212943</v>
      </c>
      <c r="Q932" s="43"/>
      <c r="R932" s="43"/>
      <c r="S932" s="43"/>
      <c r="T932" s="43"/>
      <c r="U932" s="43">
        <v>0.89334069871635058</v>
      </c>
      <c r="V932" s="43"/>
      <c r="W932" s="43"/>
      <c r="X932" s="43"/>
      <c r="Y932" s="43"/>
      <c r="Z932" s="43">
        <v>1.9465926333924746</v>
      </c>
      <c r="AA932" s="43"/>
      <c r="AB932" s="43"/>
      <c r="AC932" s="43"/>
      <c r="AD932" s="43"/>
      <c r="AE932" s="43"/>
      <c r="AF932" s="43"/>
      <c r="AG932" s="43"/>
      <c r="AH932" s="43"/>
      <c r="AI932" s="43"/>
      <c r="AJ932" s="43">
        <v>2.2659178530580681</v>
      </c>
      <c r="AK932" s="43"/>
      <c r="AL932" s="43"/>
      <c r="AM932" s="43"/>
      <c r="AN932" s="43"/>
      <c r="AO932" s="43"/>
      <c r="AP932" s="43"/>
      <c r="AQ932" s="43"/>
      <c r="AR932" s="43"/>
      <c r="AS932" s="43"/>
      <c r="AT932" s="43">
        <v>1.36447776116317</v>
      </c>
      <c r="AU932" s="43"/>
      <c r="AV932" s="43"/>
      <c r="AW932" s="43"/>
      <c r="AX932" s="43">
        <v>1.1226850423938446</v>
      </c>
      <c r="AY932" s="43"/>
      <c r="AZ932" s="43"/>
      <c r="BA932" s="43"/>
      <c r="BB932" s="43"/>
      <c r="BC932" s="43"/>
      <c r="BD932" s="43"/>
      <c r="BE932" s="43"/>
      <c r="BF932" s="43"/>
      <c r="BG932" s="43"/>
      <c r="BH932" s="43"/>
      <c r="BI932" s="43"/>
      <c r="BJ932" s="43"/>
      <c r="BK932" s="43"/>
      <c r="BL932" s="43"/>
      <c r="BM932" s="43"/>
      <c r="BN932" s="56">
        <f t="shared" si="26"/>
        <v>1.1226850423938446</v>
      </c>
      <c r="BO932" s="428">
        <f>IF(BN932="No reported value",INDEX('WB HCW &amp; Beds'!$BU$831:$BU$835,MATCH($BP932,'WB HCW &amp; Beds'!$BS$831:$BS$835,0)),$BN932)</f>
        <v>1.1226850423938446</v>
      </c>
      <c r="BP932" s="132" t="str">
        <f>INDEX('HCW + Staff Summary'!$E$7:$E$270,MATCH($B932,'HCW + Staff Summary'!$B$7:$B$270,0))</f>
        <v>OUT</v>
      </c>
      <c r="BQ932" s="429">
        <f>INDEX('WB HCW &amp; Beds'!$BU$838:$BU$842,MATCH($BP932,'WB HCW &amp; Beds'!$BS$838:$BS$842,0))*100</f>
        <v>2.7250000000000001</v>
      </c>
    </row>
    <row r="933" spans="2:69" x14ac:dyDescent="0.75">
      <c r="B933" s="43" t="s">
        <v>242</v>
      </c>
      <c r="C933" s="43" t="s">
        <v>58</v>
      </c>
      <c r="D933" s="43" t="s">
        <v>632</v>
      </c>
      <c r="E933" s="43" t="s">
        <v>633</v>
      </c>
      <c r="F933" s="43">
        <v>0.74045705795288097</v>
      </c>
      <c r="G933" s="43"/>
      <c r="H933" s="43"/>
      <c r="I933" s="43"/>
      <c r="J933" s="43"/>
      <c r="K933" s="43"/>
      <c r="L933" s="43"/>
      <c r="M933" s="43"/>
      <c r="N933" s="43"/>
      <c r="O933" s="43"/>
      <c r="P933" s="43">
        <v>0.65460002422332797</v>
      </c>
      <c r="Q933" s="43"/>
      <c r="R933" s="43"/>
      <c r="S933" s="43"/>
      <c r="T933" s="43"/>
      <c r="U933" s="43">
        <v>0.81830000877380404</v>
      </c>
      <c r="V933" s="43"/>
      <c r="W933" s="43"/>
      <c r="X933" s="43"/>
      <c r="Y933" s="43"/>
      <c r="Z933" s="43"/>
      <c r="AA933" s="43"/>
      <c r="AB933" s="43"/>
      <c r="AC933" s="43"/>
      <c r="AD933" s="43"/>
      <c r="AE933" s="43">
        <v>0.55680000782012895</v>
      </c>
      <c r="AF933" s="43"/>
      <c r="AG933" s="43"/>
      <c r="AH933" s="43"/>
      <c r="AI933" s="43">
        <v>0.70260000228881803</v>
      </c>
      <c r="AJ933" s="43">
        <v>0.66519999500000004</v>
      </c>
      <c r="AK933" s="43">
        <v>0.66860002279999997</v>
      </c>
      <c r="AL933" s="43">
        <v>0.66500002150000004</v>
      </c>
      <c r="AM933" s="43">
        <v>0.65759998559999999</v>
      </c>
      <c r="AN933" s="43">
        <v>0.66009998319999996</v>
      </c>
      <c r="AO933" s="43"/>
      <c r="AP933" s="43"/>
      <c r="AQ933" s="43"/>
      <c r="AR933" s="43">
        <v>0.6</v>
      </c>
      <c r="AS933" s="43"/>
      <c r="AT933" s="43"/>
      <c r="AU933" s="43"/>
      <c r="AV933" s="43">
        <v>0.6</v>
      </c>
      <c r="AW933" s="43"/>
      <c r="AX933" s="43"/>
      <c r="AY933" s="43"/>
      <c r="AZ933" s="43"/>
      <c r="BA933" s="43"/>
      <c r="BB933" s="43"/>
      <c r="BC933" s="43"/>
      <c r="BD933" s="43">
        <v>0.6</v>
      </c>
      <c r="BE933" s="43"/>
      <c r="BF933" s="43">
        <v>0.9</v>
      </c>
      <c r="BG933" s="43"/>
      <c r="BH933" s="43"/>
      <c r="BI933" s="43">
        <v>1.2</v>
      </c>
      <c r="BJ933" s="43"/>
      <c r="BK933" s="43"/>
      <c r="BL933" s="43"/>
      <c r="BM933" s="43"/>
      <c r="BN933" s="56">
        <f t="shared" si="26"/>
        <v>1.2</v>
      </c>
      <c r="BO933" s="428">
        <f>IF(BN933="No reported value",INDEX('WB HCW &amp; Beds'!$BU$831:$BU$835,MATCH($BP933,'WB HCW &amp; Beds'!$BS$831:$BS$835,0)),$BN933)</f>
        <v>1.2</v>
      </c>
      <c r="BP933" s="132" t="str">
        <f>INDEX('HCW + Staff Summary'!$E$7:$E$270,MATCH($B933,'HCW + Staff Summary'!$B$7:$B$270,0))</f>
        <v>Lower middle income</v>
      </c>
      <c r="BQ933" s="429">
        <f>INDEX('WB HCW &amp; Beds'!$BU$838:$BU$842,MATCH($BP933,'WB HCW &amp; Beds'!$BS$838:$BS$842,0))*100</f>
        <v>2.3800000000000003</v>
      </c>
    </row>
    <row r="934" spans="2:69" x14ac:dyDescent="0.75">
      <c r="B934" s="43" t="s">
        <v>642</v>
      </c>
      <c r="C934" s="43" t="s">
        <v>643</v>
      </c>
      <c r="D934" s="43" t="s">
        <v>632</v>
      </c>
      <c r="E934" s="43" t="s">
        <v>633</v>
      </c>
      <c r="F934" s="43">
        <v>1.2586431280686194</v>
      </c>
      <c r="G934" s="43"/>
      <c r="H934" s="43"/>
      <c r="I934" s="43"/>
      <c r="J934" s="43"/>
      <c r="K934" s="43"/>
      <c r="L934" s="43"/>
      <c r="M934" s="43"/>
      <c r="N934" s="43"/>
      <c r="O934" s="43"/>
      <c r="P934" s="43">
        <v>1.002929389439944</v>
      </c>
      <c r="Q934" s="43"/>
      <c r="R934" s="43"/>
      <c r="S934" s="43"/>
      <c r="T934" s="43"/>
      <c r="U934" s="43"/>
      <c r="V934" s="43"/>
      <c r="W934" s="43"/>
      <c r="X934" s="43"/>
      <c r="Y934" s="43"/>
      <c r="Z934" s="43"/>
      <c r="AA934" s="43"/>
      <c r="AB934" s="43"/>
      <c r="AC934" s="43"/>
      <c r="AD934" s="43"/>
      <c r="AE934" s="43"/>
      <c r="AF934" s="43"/>
      <c r="AG934" s="43"/>
      <c r="AH934" s="43"/>
      <c r="AI934" s="43"/>
      <c r="AJ934" s="43">
        <v>0.97496863705028103</v>
      </c>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c r="BI934" s="43"/>
      <c r="BJ934" s="43"/>
      <c r="BK934" s="43"/>
      <c r="BL934" s="43"/>
      <c r="BM934" s="43"/>
      <c r="BN934" s="56">
        <f t="shared" si="26"/>
        <v>0.97496863705028103</v>
      </c>
      <c r="BO934" s="428">
        <f>IF(BN934="No reported value",INDEX('WB HCW &amp; Beds'!$BU$831:$BU$835,MATCH($BP934,'WB HCW &amp; Beds'!$BS$831:$BS$835,0)),$BN934)</f>
        <v>0.97496863705028103</v>
      </c>
      <c r="BP934" s="132" t="str">
        <f>INDEX('HCW + Staff Summary'!$E$7:$E$270,MATCH($B934,'HCW + Staff Summary'!$B$7:$B$270,0))</f>
        <v>OUT</v>
      </c>
      <c r="BQ934" s="429">
        <f>INDEX('WB HCW &amp; Beds'!$BU$838:$BU$842,MATCH($BP934,'WB HCW &amp; Beds'!$BS$838:$BS$842,0))*100</f>
        <v>2.7250000000000001</v>
      </c>
    </row>
    <row r="935" spans="2:69" x14ac:dyDescent="0.75">
      <c r="B935" s="43" t="s">
        <v>421</v>
      </c>
      <c r="C935" s="43" t="s">
        <v>422</v>
      </c>
      <c r="D935" s="43" t="s">
        <v>632</v>
      </c>
      <c r="E935" s="43" t="s">
        <v>633</v>
      </c>
      <c r="F935" s="43">
        <v>1.8449837295145264</v>
      </c>
      <c r="G935" s="43"/>
      <c r="H935" s="43"/>
      <c r="I935" s="43"/>
      <c r="J935" s="43"/>
      <c r="K935" s="43"/>
      <c r="L935" s="43"/>
      <c r="M935" s="43"/>
      <c r="N935" s="43"/>
      <c r="O935" s="43"/>
      <c r="P935" s="43">
        <v>1.9132313316957892</v>
      </c>
      <c r="Q935" s="43"/>
      <c r="R935" s="43"/>
      <c r="S935" s="43"/>
      <c r="T935" s="43"/>
      <c r="U935" s="43"/>
      <c r="V935" s="43"/>
      <c r="W935" s="43"/>
      <c r="X935" s="43"/>
      <c r="Y935" s="43"/>
      <c r="Z935" s="43">
        <v>1.7561565950241553</v>
      </c>
      <c r="AA935" s="43">
        <v>1.7541120950407536</v>
      </c>
      <c r="AB935" s="43"/>
      <c r="AC935" s="43"/>
      <c r="AD935" s="43"/>
      <c r="AE935" s="43"/>
      <c r="AF935" s="43"/>
      <c r="AG935" s="43"/>
      <c r="AH935" s="43"/>
      <c r="AI935" s="43"/>
      <c r="AJ935" s="43">
        <v>1.7522383307353393</v>
      </c>
      <c r="AK935" s="43"/>
      <c r="AL935" s="43"/>
      <c r="AM935" s="43"/>
      <c r="AN935" s="43"/>
      <c r="AO935" s="43"/>
      <c r="AP935" s="43"/>
      <c r="AQ935" s="43"/>
      <c r="AR935" s="43"/>
      <c r="AS935" s="43"/>
      <c r="AT935" s="43"/>
      <c r="AU935" s="43"/>
      <c r="AV935" s="43"/>
      <c r="AW935" s="43"/>
      <c r="AX935" s="43"/>
      <c r="AY935" s="43">
        <v>1.7693946173590436</v>
      </c>
      <c r="AZ935" s="43">
        <v>1.5847432589061126</v>
      </c>
      <c r="BA935" s="43"/>
      <c r="BB935" s="43"/>
      <c r="BC935" s="43">
        <v>1.5842793837592861</v>
      </c>
      <c r="BD935" s="43"/>
      <c r="BE935" s="43"/>
      <c r="BF935" s="43"/>
      <c r="BG935" s="43"/>
      <c r="BH935" s="43"/>
      <c r="BI935" s="43"/>
      <c r="BJ935" s="43"/>
      <c r="BK935" s="43"/>
      <c r="BL935" s="43"/>
      <c r="BM935" s="43"/>
      <c r="BN935" s="56">
        <f t="shared" si="26"/>
        <v>1.5842793837592861</v>
      </c>
      <c r="BO935" s="428">
        <f>IF(BN935="No reported value",INDEX('WB HCW &amp; Beds'!$BU$831:$BU$835,MATCH($BP935,'WB HCW &amp; Beds'!$BS$831:$BS$835,0)),$BN935)</f>
        <v>1.5842793837592861</v>
      </c>
      <c r="BP935" s="132" t="str">
        <f>INDEX('HCW + Staff Summary'!$E$7:$E$270,MATCH($B935,'HCW + Staff Summary'!$B$7:$B$270,0))</f>
        <v>High income</v>
      </c>
      <c r="BQ935" s="429">
        <f>INDEX('WB HCW &amp; Beds'!$BU$838:$BU$842,MATCH($BP935,'WB HCW &amp; Beds'!$BS$838:$BS$842,0))*100</f>
        <v>3.5700000000000003</v>
      </c>
    </row>
    <row r="936" spans="2:69" x14ac:dyDescent="0.75">
      <c r="B936" s="43" t="s">
        <v>417</v>
      </c>
      <c r="C936" s="43" t="s">
        <v>59</v>
      </c>
      <c r="D936" s="43" t="s">
        <v>632</v>
      </c>
      <c r="E936" s="43" t="s">
        <v>633</v>
      </c>
      <c r="F936" s="43">
        <v>0.45898690819740301</v>
      </c>
      <c r="G936" s="43"/>
      <c r="H936" s="43"/>
      <c r="I936" s="43"/>
      <c r="J936" s="43"/>
      <c r="K936" s="43"/>
      <c r="L936" s="43"/>
      <c r="M936" s="43"/>
      <c r="N936" s="43"/>
      <c r="O936" s="43"/>
      <c r="P936" s="43">
        <v>0.60449999570846602</v>
      </c>
      <c r="Q936" s="43"/>
      <c r="R936" s="43"/>
      <c r="S936" s="43"/>
      <c r="T936" s="43"/>
      <c r="U936" s="43">
        <v>0.58819997310638406</v>
      </c>
      <c r="V936" s="43"/>
      <c r="W936" s="43"/>
      <c r="X936" s="43"/>
      <c r="Y936" s="43"/>
      <c r="Z936" s="43">
        <v>0.76969999074935902</v>
      </c>
      <c r="AA936" s="43">
        <v>0.76940000057220503</v>
      </c>
      <c r="AB936" s="43"/>
      <c r="AC936" s="43"/>
      <c r="AD936" s="43"/>
      <c r="AE936" s="43">
        <v>0.76920002698898304</v>
      </c>
      <c r="AF936" s="43"/>
      <c r="AG936" s="43">
        <v>0.71820002794265703</v>
      </c>
      <c r="AH936" s="43"/>
      <c r="AI936" s="43"/>
      <c r="AJ936" s="43"/>
      <c r="AK936" s="43">
        <v>0.78700000049999996</v>
      </c>
      <c r="AL936" s="43"/>
      <c r="AM936" s="43"/>
      <c r="AN936" s="43"/>
      <c r="AO936" s="43"/>
      <c r="AP936" s="43"/>
      <c r="AQ936" s="43"/>
      <c r="AR936" s="43"/>
      <c r="AS936" s="43"/>
      <c r="AT936" s="43"/>
      <c r="AU936" s="43"/>
      <c r="AV936" s="43">
        <v>0.69</v>
      </c>
      <c r="AW936" s="43">
        <v>0.89999997620000005</v>
      </c>
      <c r="AX936" s="43"/>
      <c r="AY936" s="43">
        <v>0.9</v>
      </c>
      <c r="AZ936" s="43"/>
      <c r="BA936" s="43"/>
      <c r="BB936" s="43"/>
      <c r="BC936" s="43"/>
      <c r="BD936" s="43"/>
      <c r="BE936" s="43">
        <v>0.7</v>
      </c>
      <c r="BF936" s="43"/>
      <c r="BG936" s="43"/>
      <c r="BH936" s="43"/>
      <c r="BI936" s="43"/>
      <c r="BJ936" s="43"/>
      <c r="BK936" s="43"/>
      <c r="BL936" s="43"/>
      <c r="BM936" s="43"/>
      <c r="BN936" s="56">
        <f t="shared" si="26"/>
        <v>0.7</v>
      </c>
      <c r="BO936" s="428">
        <f>IF(BN936="No reported value",INDEX('WB HCW &amp; Beds'!$BU$831:$BU$835,MATCH($BP936,'WB HCW &amp; Beds'!$BS$831:$BS$835,0)),$BN936)</f>
        <v>0.7</v>
      </c>
      <c r="BP936" s="132" t="str">
        <f>INDEX('HCW + Staff Summary'!$E$7:$E$270,MATCH($B936,'HCW + Staff Summary'!$B$7:$B$270,0))</f>
        <v>Lower middle income</v>
      </c>
      <c r="BQ936" s="429">
        <f>INDEX('WB HCW &amp; Beds'!$BU$838:$BU$842,MATCH($BP936,'WB HCW &amp; Beds'!$BS$838:$BS$842,0))*100</f>
        <v>2.3800000000000003</v>
      </c>
    </row>
    <row r="937" spans="2:69" x14ac:dyDescent="0.75">
      <c r="B937" s="43" t="s">
        <v>489</v>
      </c>
      <c r="C937" s="43" t="s">
        <v>490</v>
      </c>
      <c r="D937" s="43" t="s">
        <v>632</v>
      </c>
      <c r="E937" s="43" t="s">
        <v>633</v>
      </c>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c r="BI937" s="43"/>
      <c r="BJ937" s="43"/>
      <c r="BK937" s="43"/>
      <c r="BL937" s="43"/>
      <c r="BM937" s="43"/>
      <c r="BN937" s="56" t="str">
        <f t="shared" si="26"/>
        <v>No reported value</v>
      </c>
      <c r="BO937" s="428">
        <f>IF(BN937="No reported value",INDEX('WB HCW &amp; Beds'!$BU$831:$BU$835,MATCH($BP937,'WB HCW &amp; Beds'!$BS$831:$BS$835,0)),$BN937)</f>
        <v>2.7</v>
      </c>
      <c r="BP937" s="132" t="str">
        <f>INDEX('HCW + Staff Summary'!$E$7:$E$270,MATCH($B937,'HCW + Staff Summary'!$B$7:$B$270,0))</f>
        <v>OUT</v>
      </c>
      <c r="BQ937" s="429">
        <f>INDEX('WB HCW &amp; Beds'!$BU$838:$BU$842,MATCH($BP937,'WB HCW &amp; Beds'!$BS$838:$BS$842,0))*100</f>
        <v>2.7250000000000001</v>
      </c>
    </row>
    <row r="938" spans="2:69" x14ac:dyDescent="0.75">
      <c r="B938" s="43" t="s">
        <v>420</v>
      </c>
      <c r="C938" s="43" t="s">
        <v>60</v>
      </c>
      <c r="D938" s="43" t="s">
        <v>632</v>
      </c>
      <c r="E938" s="43" t="s">
        <v>633</v>
      </c>
      <c r="F938" s="43"/>
      <c r="G938" s="43"/>
      <c r="H938" s="43"/>
      <c r="I938" s="43"/>
      <c r="J938" s="43"/>
      <c r="K938" s="43"/>
      <c r="L938" s="43"/>
      <c r="M938" s="43"/>
      <c r="N938" s="43"/>
      <c r="O938" s="43"/>
      <c r="P938" s="43"/>
      <c r="Q938" s="43"/>
      <c r="R938" s="43"/>
      <c r="S938" s="43"/>
      <c r="T938" s="43"/>
      <c r="U938" s="43"/>
      <c r="V938" s="43"/>
      <c r="W938" s="43"/>
      <c r="X938" s="43"/>
      <c r="Y938" s="43"/>
      <c r="Z938" s="43">
        <v>9</v>
      </c>
      <c r="AA938" s="43">
        <v>9</v>
      </c>
      <c r="AB938" s="43">
        <v>8.8000001907348597</v>
      </c>
      <c r="AC938" s="43">
        <v>8.6000003814697301</v>
      </c>
      <c r="AD938" s="43">
        <v>8.3999996185302699</v>
      </c>
      <c r="AE938" s="43">
        <v>8.1999998092651403</v>
      </c>
      <c r="AF938" s="43">
        <v>7.9000000953674299</v>
      </c>
      <c r="AG938" s="43">
        <v>7.1999998092651403</v>
      </c>
      <c r="AH938" s="43">
        <v>6.4000000953674299</v>
      </c>
      <c r="AI938" s="43">
        <v>6.1999998092651403</v>
      </c>
      <c r="AJ938" s="43">
        <v>6.0999999045999997</v>
      </c>
      <c r="AK938" s="43">
        <v>6</v>
      </c>
      <c r="AL938" s="43">
        <v>5.6999998093000004</v>
      </c>
      <c r="AM938" s="43">
        <v>5.5</v>
      </c>
      <c r="AN938" s="43">
        <v>5.3000001906999996</v>
      </c>
      <c r="AO938" s="43">
        <v>5.1999998093000004</v>
      </c>
      <c r="AP938" s="43">
        <v>5.0999999045999997</v>
      </c>
      <c r="AQ938" s="43">
        <v>4.9000000954000003</v>
      </c>
      <c r="AR938" s="43">
        <v>4.8000001906999996</v>
      </c>
      <c r="AS938" s="43">
        <v>4.6999998093000004</v>
      </c>
      <c r="AT938" s="43">
        <v>6.2</v>
      </c>
      <c r="AU938" s="43">
        <v>5.9</v>
      </c>
      <c r="AV938" s="43">
        <v>5.8</v>
      </c>
      <c r="AW938" s="43">
        <v>5.7</v>
      </c>
      <c r="AX938" s="43">
        <v>5.7</v>
      </c>
      <c r="AY938" s="43">
        <v>5.5</v>
      </c>
      <c r="AZ938" s="43">
        <v>5.3</v>
      </c>
      <c r="BA938" s="43">
        <v>5.2</v>
      </c>
      <c r="BB938" s="43">
        <v>4.9000000000000004</v>
      </c>
      <c r="BC938" s="43">
        <v>3.2</v>
      </c>
      <c r="BD938" s="43">
        <v>3</v>
      </c>
      <c r="BE938" s="43">
        <v>2.9</v>
      </c>
      <c r="BF938" s="43">
        <v>2.8</v>
      </c>
      <c r="BG938" s="43">
        <v>2.8</v>
      </c>
      <c r="BH938" s="43"/>
      <c r="BI938" s="43"/>
      <c r="BJ938" s="43"/>
      <c r="BK938" s="43"/>
      <c r="BL938" s="43"/>
      <c r="BM938" s="43"/>
      <c r="BN938" s="56">
        <f t="shared" si="26"/>
        <v>2.8</v>
      </c>
      <c r="BO938" s="428">
        <f>IF(BN938="No reported value",INDEX('WB HCW &amp; Beds'!$BU$831:$BU$835,MATCH($BP938,'WB HCW &amp; Beds'!$BS$831:$BS$835,0)),$BN938)</f>
        <v>2.8</v>
      </c>
      <c r="BP938" s="132" t="str">
        <f>INDEX('HCW + Staff Summary'!$E$7:$E$270,MATCH($B938,'HCW + Staff Summary'!$B$7:$B$270,0))</f>
        <v>High income</v>
      </c>
      <c r="BQ938" s="429">
        <f>INDEX('WB HCW &amp; Beds'!$BU$838:$BU$842,MATCH($BP938,'WB HCW &amp; Beds'!$BS$838:$BS$842,0))*100</f>
        <v>3.5700000000000003</v>
      </c>
    </row>
    <row r="939" spans="2:69" x14ac:dyDescent="0.75">
      <c r="B939" s="43" t="s">
        <v>418</v>
      </c>
      <c r="C939" s="43" t="s">
        <v>61</v>
      </c>
      <c r="D939" s="43" t="s">
        <v>632</v>
      </c>
      <c r="E939" s="43" t="s">
        <v>633</v>
      </c>
      <c r="F939" s="43">
        <v>0.92567503452301003</v>
      </c>
      <c r="G939" s="43"/>
      <c r="H939" s="43"/>
      <c r="I939" s="43"/>
      <c r="J939" s="43"/>
      <c r="K939" s="43"/>
      <c r="L939" s="43"/>
      <c r="M939" s="43"/>
      <c r="N939" s="43"/>
      <c r="O939" s="43"/>
      <c r="P939" s="43">
        <v>1.37960004806519</v>
      </c>
      <c r="Q939" s="43"/>
      <c r="R939" s="43"/>
      <c r="S939" s="43"/>
      <c r="T939" s="43"/>
      <c r="U939" s="43"/>
      <c r="V939" s="43"/>
      <c r="W939" s="43"/>
      <c r="X939" s="43"/>
      <c r="Y939" s="43"/>
      <c r="Z939" s="43">
        <v>1.4805999994278001</v>
      </c>
      <c r="AA939" s="43">
        <v>1.5155999660491899</v>
      </c>
      <c r="AB939" s="43"/>
      <c r="AC939" s="43"/>
      <c r="AD939" s="43"/>
      <c r="AE939" s="43"/>
      <c r="AF939" s="43"/>
      <c r="AG939" s="43">
        <v>1.5104999542236299</v>
      </c>
      <c r="AH939" s="43">
        <v>1.4837000370025599</v>
      </c>
      <c r="AI939" s="43"/>
      <c r="AJ939" s="43">
        <v>1.4330999850999999</v>
      </c>
      <c r="AK939" s="43"/>
      <c r="AL939" s="43"/>
      <c r="AM939" s="43"/>
      <c r="AN939" s="43"/>
      <c r="AO939" s="43"/>
      <c r="AP939" s="43">
        <v>1.6000000238000001</v>
      </c>
      <c r="AQ939" s="43"/>
      <c r="AR939" s="43"/>
      <c r="AS939" s="43"/>
      <c r="AT939" s="43">
        <v>1.6</v>
      </c>
      <c r="AU939" s="43">
        <v>1.6</v>
      </c>
      <c r="AV939" s="43">
        <v>1.6</v>
      </c>
      <c r="AW939" s="43">
        <v>1.6</v>
      </c>
      <c r="AX939" s="43">
        <v>1.6</v>
      </c>
      <c r="AY939" s="43">
        <v>1.7</v>
      </c>
      <c r="AZ939" s="43">
        <v>1.7</v>
      </c>
      <c r="BA939" s="43">
        <v>1.7</v>
      </c>
      <c r="BB939" s="43">
        <v>1.4</v>
      </c>
      <c r="BC939" s="43">
        <v>1.4</v>
      </c>
      <c r="BD939" s="43">
        <v>1.7</v>
      </c>
      <c r="BE939" s="43">
        <v>1.7</v>
      </c>
      <c r="BF939" s="43">
        <v>0.1</v>
      </c>
      <c r="BG939" s="43">
        <v>1.5</v>
      </c>
      <c r="BH939" s="43">
        <v>1.5</v>
      </c>
      <c r="BI939" s="43"/>
      <c r="BJ939" s="43"/>
      <c r="BK939" s="43"/>
      <c r="BL939" s="43"/>
      <c r="BM939" s="43"/>
      <c r="BN939" s="56">
        <f t="shared" si="26"/>
        <v>1.5</v>
      </c>
      <c r="BO939" s="428">
        <f>IF(BN939="No reported value",INDEX('WB HCW &amp; Beds'!$BU$831:$BU$835,MATCH($BP939,'WB HCW &amp; Beds'!$BS$831:$BS$835,0)),$BN939)</f>
        <v>1.5</v>
      </c>
      <c r="BP939" s="132" t="str">
        <f>INDEX('HCW + Staff Summary'!$E$7:$E$270,MATCH($B939,'HCW + Staff Summary'!$B$7:$B$270,0))</f>
        <v>Upper middle income</v>
      </c>
      <c r="BQ939" s="429">
        <f>INDEX('WB HCW &amp; Beds'!$BU$838:$BU$842,MATCH($BP939,'WB HCW &amp; Beds'!$BS$838:$BS$842,0))*100</f>
        <v>3.32</v>
      </c>
    </row>
    <row r="940" spans="2:69" x14ac:dyDescent="0.75">
      <c r="B940" s="43" t="s">
        <v>419</v>
      </c>
      <c r="C940" s="43" t="s">
        <v>62</v>
      </c>
      <c r="D940" s="43" t="s">
        <v>632</v>
      </c>
      <c r="E940" s="43" t="s">
        <v>633</v>
      </c>
      <c r="F940" s="43">
        <v>1.8580399751663199</v>
      </c>
      <c r="G940" s="43"/>
      <c r="H940" s="43"/>
      <c r="I940" s="43"/>
      <c r="J940" s="43"/>
      <c r="K940" s="43"/>
      <c r="L940" s="43"/>
      <c r="M940" s="43"/>
      <c r="N940" s="43"/>
      <c r="O940" s="43"/>
      <c r="P940" s="43">
        <v>1.95099997520447</v>
      </c>
      <c r="Q940" s="43"/>
      <c r="R940" s="43"/>
      <c r="S940" s="43"/>
      <c r="T940" s="43"/>
      <c r="U940" s="43"/>
      <c r="V940" s="43"/>
      <c r="W940" s="43"/>
      <c r="X940" s="43"/>
      <c r="Y940" s="43"/>
      <c r="Z940" s="43">
        <v>1.94640004634857</v>
      </c>
      <c r="AA940" s="43">
        <v>1.89310002326965</v>
      </c>
      <c r="AB940" s="43"/>
      <c r="AC940" s="43"/>
      <c r="AD940" s="43"/>
      <c r="AE940" s="43"/>
      <c r="AF940" s="43"/>
      <c r="AG940" s="43"/>
      <c r="AH940" s="43"/>
      <c r="AI940" s="43">
        <v>1.71389997005463</v>
      </c>
      <c r="AJ940" s="43">
        <v>1.6596000195</v>
      </c>
      <c r="AK940" s="43"/>
      <c r="AL940" s="43"/>
      <c r="AM940" s="43"/>
      <c r="AN940" s="43"/>
      <c r="AO940" s="43"/>
      <c r="AP940" s="43"/>
      <c r="AQ940" s="43"/>
      <c r="AR940" s="43">
        <v>1.4500000476999999</v>
      </c>
      <c r="AS940" s="43"/>
      <c r="AT940" s="43">
        <v>1.2</v>
      </c>
      <c r="AU940" s="43">
        <v>1.3</v>
      </c>
      <c r="AV940" s="43">
        <v>1.3</v>
      </c>
      <c r="AW940" s="43">
        <v>1.3</v>
      </c>
      <c r="AX940" s="43">
        <v>1.3</v>
      </c>
      <c r="AY940" s="43">
        <v>1.3</v>
      </c>
      <c r="AZ940" s="43">
        <v>1.3</v>
      </c>
      <c r="BA940" s="43">
        <v>1.3</v>
      </c>
      <c r="BB940" s="43">
        <v>1.3</v>
      </c>
      <c r="BC940" s="43">
        <v>1.3</v>
      </c>
      <c r="BD940" s="43">
        <v>1.3</v>
      </c>
      <c r="BE940" s="43">
        <v>1.3</v>
      </c>
      <c r="BF940" s="43">
        <v>1.3</v>
      </c>
      <c r="BG940" s="43">
        <v>1.3</v>
      </c>
      <c r="BH940" s="43">
        <v>1.4</v>
      </c>
      <c r="BI940" s="43"/>
      <c r="BJ940" s="43"/>
      <c r="BK940" s="43"/>
      <c r="BL940" s="43"/>
      <c r="BM940" s="43"/>
      <c r="BN940" s="56">
        <f t="shared" si="26"/>
        <v>1.4</v>
      </c>
      <c r="BO940" s="428">
        <f>IF(BN940="No reported value",INDEX('WB HCW &amp; Beds'!$BU$831:$BU$835,MATCH($BP940,'WB HCW &amp; Beds'!$BS$831:$BS$835,0)),$BN940)</f>
        <v>1.4</v>
      </c>
      <c r="BP940" s="132" t="str">
        <f>INDEX('HCW + Staff Summary'!$E$7:$E$270,MATCH($B940,'HCW + Staff Summary'!$B$7:$B$270,0))</f>
        <v>Upper middle income</v>
      </c>
      <c r="BQ940" s="429">
        <f>INDEX('WB HCW &amp; Beds'!$BU$838:$BU$842,MATCH($BP940,'WB HCW &amp; Beds'!$BS$838:$BS$842,0))*100</f>
        <v>3.32</v>
      </c>
    </row>
    <row r="941" spans="2:69" x14ac:dyDescent="0.75">
      <c r="B941" s="43" t="s">
        <v>416</v>
      </c>
      <c r="C941" s="43" t="s">
        <v>63</v>
      </c>
      <c r="D941" s="43" t="s">
        <v>632</v>
      </c>
      <c r="E941" s="43" t="s">
        <v>633</v>
      </c>
      <c r="F941" s="43">
        <v>9.8000001907348597</v>
      </c>
      <c r="G941" s="43"/>
      <c r="H941" s="43"/>
      <c r="I941" s="43"/>
      <c r="J941" s="43"/>
      <c r="K941" s="43"/>
      <c r="L941" s="43"/>
      <c r="M941" s="43"/>
      <c r="N941" s="43"/>
      <c r="O941" s="43"/>
      <c r="P941" s="43">
        <v>12.8999996185303</v>
      </c>
      <c r="Q941" s="43"/>
      <c r="R941" s="43"/>
      <c r="S941" s="43"/>
      <c r="T941" s="43"/>
      <c r="U941" s="43"/>
      <c r="V941" s="43"/>
      <c r="W941" s="43"/>
      <c r="X941" s="43"/>
      <c r="Y941" s="43"/>
      <c r="Z941" s="43">
        <v>14.800000190734901</v>
      </c>
      <c r="AA941" s="43"/>
      <c r="AB941" s="43"/>
      <c r="AC941" s="43"/>
      <c r="AD941" s="43"/>
      <c r="AE941" s="43">
        <v>15.800000190734901</v>
      </c>
      <c r="AF941" s="43"/>
      <c r="AG941" s="43"/>
      <c r="AH941" s="43"/>
      <c r="AI941" s="43"/>
      <c r="AJ941" s="43">
        <v>16.7000007629</v>
      </c>
      <c r="AK941" s="43">
        <v>16.2999992371</v>
      </c>
      <c r="AL941" s="43">
        <v>15.899999618500001</v>
      </c>
      <c r="AM941" s="43">
        <v>14.800000190700001</v>
      </c>
      <c r="AN941" s="43">
        <v>14.699999809299999</v>
      </c>
      <c r="AO941" s="43">
        <v>14.600000381499999</v>
      </c>
      <c r="AP941" s="43"/>
      <c r="AQ941" s="43"/>
      <c r="AR941" s="43"/>
      <c r="AS941" s="43"/>
      <c r="AT941" s="43"/>
      <c r="AU941" s="43"/>
      <c r="AV941" s="43">
        <v>7.5</v>
      </c>
      <c r="AW941" s="43"/>
      <c r="AX941" s="43"/>
      <c r="AY941" s="43"/>
      <c r="AZ941" s="43">
        <v>5.3391000000000002</v>
      </c>
      <c r="BA941" s="43">
        <v>4.2</v>
      </c>
      <c r="BB941" s="43">
        <v>3.9</v>
      </c>
      <c r="BC941" s="43">
        <v>3.7</v>
      </c>
      <c r="BD941" s="43">
        <v>3.6</v>
      </c>
      <c r="BE941" s="43">
        <v>3.3</v>
      </c>
      <c r="BF941" s="43">
        <v>3.3</v>
      </c>
      <c r="BG941" s="43">
        <v>3.2</v>
      </c>
      <c r="BH941" s="43">
        <v>3.2</v>
      </c>
      <c r="BI941" s="43"/>
      <c r="BJ941" s="43"/>
      <c r="BK941" s="43"/>
      <c r="BL941" s="43"/>
      <c r="BM941" s="43"/>
      <c r="BN941" s="56">
        <f t="shared" si="26"/>
        <v>3.2</v>
      </c>
      <c r="BO941" s="428">
        <f>IF(BN941="No reported value",INDEX('WB HCW &amp; Beds'!$BU$831:$BU$835,MATCH($BP941,'WB HCW &amp; Beds'!$BS$831:$BS$835,0)),$BN941)</f>
        <v>3.2</v>
      </c>
      <c r="BP941" s="132" t="str">
        <f>INDEX('HCW + Staff Summary'!$E$7:$E$270,MATCH($B941,'HCW + Staff Summary'!$B$7:$B$270,0))</f>
        <v>High income</v>
      </c>
      <c r="BQ941" s="429">
        <f>INDEX('WB HCW &amp; Beds'!$BU$838:$BU$842,MATCH($BP941,'WB HCW &amp; Beds'!$BS$838:$BS$842,0))*100</f>
        <v>3.5700000000000003</v>
      </c>
    </row>
    <row r="942" spans="2:69" x14ac:dyDescent="0.75">
      <c r="B942" s="43" t="s">
        <v>423</v>
      </c>
      <c r="C942" s="43" t="s">
        <v>64</v>
      </c>
      <c r="D942" s="43" t="s">
        <v>632</v>
      </c>
      <c r="E942" s="43" t="s">
        <v>633</v>
      </c>
      <c r="F942" s="43">
        <v>6.73793745040894</v>
      </c>
      <c r="G942" s="43"/>
      <c r="H942" s="43"/>
      <c r="I942" s="43"/>
      <c r="J942" s="43"/>
      <c r="K942" s="43"/>
      <c r="L942" s="43"/>
      <c r="M942" s="43"/>
      <c r="N942" s="43"/>
      <c r="O942" s="43"/>
      <c r="P942" s="43"/>
      <c r="Q942" s="43"/>
      <c r="R942" s="43"/>
      <c r="S942" s="43"/>
      <c r="T942" s="43"/>
      <c r="U942" s="43">
        <v>8.0792999267578107</v>
      </c>
      <c r="V942" s="43"/>
      <c r="W942" s="43"/>
      <c r="X942" s="43"/>
      <c r="Y942" s="43"/>
      <c r="Z942" s="43">
        <v>6.7973999977111799</v>
      </c>
      <c r="AA942" s="43">
        <v>6.7294001579284703</v>
      </c>
      <c r="AB942" s="43">
        <v>6.7666001319885298</v>
      </c>
      <c r="AC942" s="43">
        <v>6.5434999465942401</v>
      </c>
      <c r="AD942" s="43">
        <v>6.4966001510620099</v>
      </c>
      <c r="AE942" s="43">
        <v>6.50950002670288</v>
      </c>
      <c r="AF942" s="43">
        <v>6.3801999092102104</v>
      </c>
      <c r="AG942" s="43">
        <v>6.2898998260498002</v>
      </c>
      <c r="AH942" s="43">
        <v>6.3168997764587402</v>
      </c>
      <c r="AI942" s="43">
        <v>6.2836999893188503</v>
      </c>
      <c r="AJ942" s="43">
        <v>6.2431998252999996</v>
      </c>
      <c r="AK942" s="43">
        <v>5.9699997902000002</v>
      </c>
      <c r="AL942" s="43">
        <v>5.9895000457999998</v>
      </c>
      <c r="AM942" s="43">
        <v>6.0778999329000003</v>
      </c>
      <c r="AN942" s="43">
        <v>6.1012001038000001</v>
      </c>
      <c r="AO942" s="43">
        <v>5.9800000191000002</v>
      </c>
      <c r="AP942" s="43">
        <v>6.0300002097999998</v>
      </c>
      <c r="AQ942" s="43">
        <v>6.0500001906999996</v>
      </c>
      <c r="AR942" s="43">
        <v>6.0999999045999997</v>
      </c>
      <c r="AS942" s="43">
        <v>6.1199998856000004</v>
      </c>
      <c r="AT942" s="43">
        <v>3.7</v>
      </c>
      <c r="AU942" s="43">
        <v>3.8</v>
      </c>
      <c r="AV942" s="43">
        <v>3.8</v>
      </c>
      <c r="AW942" s="43">
        <v>3.8</v>
      </c>
      <c r="AX942" s="43">
        <v>3.7</v>
      </c>
      <c r="AY942" s="43">
        <v>3.7</v>
      </c>
      <c r="AZ942" s="43">
        <v>3.4</v>
      </c>
      <c r="BA942" s="43">
        <v>5.8</v>
      </c>
      <c r="BB942" s="43">
        <v>3.2</v>
      </c>
      <c r="BC942" s="43">
        <v>3.2</v>
      </c>
      <c r="BD942" s="43">
        <v>3.2</v>
      </c>
      <c r="BE942" s="43">
        <v>3.1</v>
      </c>
      <c r="BF942" s="43">
        <v>3.1</v>
      </c>
      <c r="BG942" s="43">
        <v>3.1</v>
      </c>
      <c r="BH942" s="43"/>
      <c r="BI942" s="43"/>
      <c r="BJ942" s="43"/>
      <c r="BK942" s="43"/>
      <c r="BL942" s="43"/>
      <c r="BM942" s="43"/>
      <c r="BN942" s="56">
        <f t="shared" si="26"/>
        <v>3.1</v>
      </c>
      <c r="BO942" s="428">
        <f>IF(BN942="No reported value",INDEX('WB HCW &amp; Beds'!$BU$831:$BU$835,MATCH($BP942,'WB HCW &amp; Beds'!$BS$831:$BS$835,0)),$BN942)</f>
        <v>3.1</v>
      </c>
      <c r="BP942" s="132" t="str">
        <f>INDEX('HCW + Staff Summary'!$E$7:$E$270,MATCH($B942,'HCW + Staff Summary'!$B$7:$B$270,0))</f>
        <v>High income</v>
      </c>
      <c r="BQ942" s="429">
        <f>INDEX('WB HCW &amp; Beds'!$BU$838:$BU$842,MATCH($BP942,'WB HCW &amp; Beds'!$BS$838:$BS$842,0))*100</f>
        <v>3.5700000000000003</v>
      </c>
    </row>
    <row r="943" spans="2:69" x14ac:dyDescent="0.75">
      <c r="B943" s="43" t="s">
        <v>424</v>
      </c>
      <c r="C943" s="43" t="s">
        <v>65</v>
      </c>
      <c r="D943" s="43" t="s">
        <v>632</v>
      </c>
      <c r="E943" s="43" t="s">
        <v>633</v>
      </c>
      <c r="F943" s="43">
        <v>8.8999996185302699</v>
      </c>
      <c r="G943" s="43">
        <v>9</v>
      </c>
      <c r="H943" s="43">
        <v>9.1999998092651403</v>
      </c>
      <c r="I943" s="43">
        <v>9.3000001907348597</v>
      </c>
      <c r="J943" s="43">
        <v>9.5</v>
      </c>
      <c r="K943" s="43">
        <v>9.6000003814697301</v>
      </c>
      <c r="L943" s="43">
        <v>9.6999998092651403</v>
      </c>
      <c r="M943" s="43">
        <v>9.8999996185302699</v>
      </c>
      <c r="N943" s="43">
        <v>10.1000003814697</v>
      </c>
      <c r="O943" s="43">
        <v>10.300000190734901</v>
      </c>
      <c r="P943" s="43">
        <v>10.6000003814697</v>
      </c>
      <c r="Q943" s="43">
        <v>10.6000003814697</v>
      </c>
      <c r="R943" s="43">
        <v>10.6000003814697</v>
      </c>
      <c r="S943" s="43">
        <v>10.5</v>
      </c>
      <c r="T943" s="43">
        <v>10.6000003814697</v>
      </c>
      <c r="U943" s="43">
        <v>10.6000003814697</v>
      </c>
      <c r="V943" s="43">
        <v>10.3999996185303</v>
      </c>
      <c r="W943" s="43">
        <v>10.300000190734901</v>
      </c>
      <c r="X943" s="43">
        <v>10</v>
      </c>
      <c r="Y943" s="43">
        <v>9.8000001907348597</v>
      </c>
      <c r="Z943" s="43">
        <v>9.6000003814697301</v>
      </c>
      <c r="AA943" s="43">
        <v>9.3999996185302699</v>
      </c>
      <c r="AB943" s="43">
        <v>9.1000003814697301</v>
      </c>
      <c r="AC943" s="43">
        <v>8.8999996185302699</v>
      </c>
      <c r="AD943" s="43">
        <v>8.5</v>
      </c>
      <c r="AE943" s="43">
        <v>8.3000001907348597</v>
      </c>
      <c r="AF943" s="43">
        <v>8</v>
      </c>
      <c r="AG943" s="43">
        <v>7.8000001907348597</v>
      </c>
      <c r="AH943" s="43">
        <v>7.5</v>
      </c>
      <c r="AI943" s="43">
        <v>7.0999999046325701</v>
      </c>
      <c r="AJ943" s="43">
        <v>7.1999998093000004</v>
      </c>
      <c r="AK943" s="43">
        <v>6.8000001906999996</v>
      </c>
      <c r="AL943" s="43">
        <v>6.9000000954000003</v>
      </c>
      <c r="AM943" s="43">
        <v>6.6999998093000004</v>
      </c>
      <c r="AN943" s="43">
        <v>6.5999999045999997</v>
      </c>
      <c r="AO943" s="43">
        <v>6.3000001906999996</v>
      </c>
      <c r="AP943" s="43">
        <v>6.5</v>
      </c>
      <c r="AQ943" s="43">
        <v>5.9000000954000003</v>
      </c>
      <c r="AR943" s="43">
        <v>5.5</v>
      </c>
      <c r="AS943" s="43">
        <v>4.9000000954000003</v>
      </c>
      <c r="AT943" s="43">
        <v>4.7</v>
      </c>
      <c r="AU943" s="43">
        <v>4.5999999999999996</v>
      </c>
      <c r="AV943" s="43">
        <v>4.4000000000000004</v>
      </c>
      <c r="AW943" s="43">
        <v>4.2</v>
      </c>
      <c r="AX943" s="43">
        <v>4</v>
      </c>
      <c r="AY943" s="43">
        <v>4</v>
      </c>
      <c r="AZ943" s="43">
        <v>3.9</v>
      </c>
      <c r="BA943" s="43">
        <v>3.8</v>
      </c>
      <c r="BB943" s="43">
        <v>3.7</v>
      </c>
      <c r="BC943" s="43">
        <v>3.6</v>
      </c>
      <c r="BD943" s="43">
        <v>3.6</v>
      </c>
      <c r="BE943" s="43">
        <v>3.5</v>
      </c>
      <c r="BF943" s="43">
        <v>3.4</v>
      </c>
      <c r="BG943" s="43"/>
      <c r="BH943" s="43"/>
      <c r="BI943" s="43"/>
      <c r="BJ943" s="43"/>
      <c r="BK943" s="43"/>
      <c r="BL943" s="43"/>
      <c r="BM943" s="43"/>
      <c r="BN943" s="56">
        <f t="shared" si="26"/>
        <v>3.4</v>
      </c>
      <c r="BO943" s="428">
        <f>IF(BN943="No reported value",INDEX('WB HCW &amp; Beds'!$BU$831:$BU$835,MATCH($BP943,'WB HCW &amp; Beds'!$BS$831:$BS$835,0)),$BN943)</f>
        <v>3.4</v>
      </c>
      <c r="BP943" s="132" t="str">
        <f>INDEX('HCW + Staff Summary'!$E$7:$E$270,MATCH($B943,'HCW + Staff Summary'!$B$7:$B$270,0))</f>
        <v>High income</v>
      </c>
      <c r="BQ943" s="429">
        <f>INDEX('WB HCW &amp; Beds'!$BU$838:$BU$842,MATCH($BP943,'WB HCW &amp; Beds'!$BS$838:$BS$842,0))*100</f>
        <v>3.5700000000000003</v>
      </c>
    </row>
    <row r="944" spans="2:69" x14ac:dyDescent="0.75">
      <c r="B944" s="43" t="s">
        <v>425</v>
      </c>
      <c r="C944" s="43" t="s">
        <v>66</v>
      </c>
      <c r="D944" s="43" t="s">
        <v>632</v>
      </c>
      <c r="E944" s="43" t="s">
        <v>633</v>
      </c>
      <c r="F944" s="43">
        <v>4.1454882621765101</v>
      </c>
      <c r="G944" s="43"/>
      <c r="H944" s="43"/>
      <c r="I944" s="43"/>
      <c r="J944" s="43"/>
      <c r="K944" s="43"/>
      <c r="L944" s="43"/>
      <c r="M944" s="43"/>
      <c r="N944" s="43"/>
      <c r="O944" s="43"/>
      <c r="P944" s="43">
        <v>4.1048998832702601</v>
      </c>
      <c r="Q944" s="43"/>
      <c r="R944" s="43"/>
      <c r="S944" s="43"/>
      <c r="T944" s="43"/>
      <c r="U944" s="43">
        <v>4.9994997978210396</v>
      </c>
      <c r="V944" s="43"/>
      <c r="W944" s="43"/>
      <c r="X944" s="43"/>
      <c r="Y944" s="43"/>
      <c r="Z944" s="43"/>
      <c r="AA944" s="43"/>
      <c r="AB944" s="43"/>
      <c r="AC944" s="43"/>
      <c r="AD944" s="43"/>
      <c r="AE944" s="43">
        <v>3.3333001136779798</v>
      </c>
      <c r="AF944" s="43"/>
      <c r="AG944" s="43"/>
      <c r="AH944" s="43"/>
      <c r="AI944" s="43">
        <v>2.4000999927520801</v>
      </c>
      <c r="AJ944" s="43">
        <v>2.2000000477000001</v>
      </c>
      <c r="AK944" s="43"/>
      <c r="AL944" s="43"/>
      <c r="AM944" s="43">
        <v>2.1003000736000002</v>
      </c>
      <c r="AN944" s="43"/>
      <c r="AO944" s="43">
        <v>2.1</v>
      </c>
      <c r="AP944" s="43">
        <v>2.1199998856</v>
      </c>
      <c r="AQ944" s="43"/>
      <c r="AR944" s="43"/>
      <c r="AS944" s="43"/>
      <c r="AT944" s="43"/>
      <c r="AU944" s="43">
        <v>1.5</v>
      </c>
      <c r="AV944" s="43">
        <v>1.5</v>
      </c>
      <c r="AW944" s="43">
        <v>1.3999999761999999</v>
      </c>
      <c r="AX944" s="43">
        <v>1.8</v>
      </c>
      <c r="AY944" s="43">
        <v>1.7</v>
      </c>
      <c r="AZ944" s="43">
        <v>2</v>
      </c>
      <c r="BA944" s="43">
        <v>1.7</v>
      </c>
      <c r="BB944" s="43"/>
      <c r="BC944" s="43">
        <v>1.7</v>
      </c>
      <c r="BD944" s="43">
        <v>1.8</v>
      </c>
      <c r="BE944" s="43"/>
      <c r="BF944" s="43">
        <v>1.7</v>
      </c>
      <c r="BG944" s="43">
        <v>1.7</v>
      </c>
      <c r="BH944" s="43"/>
      <c r="BI944" s="43"/>
      <c r="BJ944" s="43"/>
      <c r="BK944" s="43"/>
      <c r="BL944" s="43"/>
      <c r="BM944" s="43"/>
      <c r="BN944" s="56">
        <f t="shared" si="26"/>
        <v>1.7</v>
      </c>
      <c r="BO944" s="428">
        <f>IF(BN944="No reported value",INDEX('WB HCW &amp; Beds'!$BU$831:$BU$835,MATCH($BP944,'WB HCW &amp; Beds'!$BS$831:$BS$835,0)),$BN944)</f>
        <v>1.7</v>
      </c>
      <c r="BP944" s="132" t="str">
        <f>INDEX('HCW + Staff Summary'!$E$7:$E$270,MATCH($B944,'HCW + Staff Summary'!$B$7:$B$270,0))</f>
        <v>Upper middle income</v>
      </c>
      <c r="BQ944" s="429">
        <f>INDEX('WB HCW &amp; Beds'!$BU$838:$BU$842,MATCH($BP944,'WB HCW &amp; Beds'!$BS$838:$BS$842,0))*100</f>
        <v>3.32</v>
      </c>
    </row>
    <row r="945" spans="2:69" x14ac:dyDescent="0.75">
      <c r="B945" s="43" t="s">
        <v>427</v>
      </c>
      <c r="C945" s="43" t="s">
        <v>67</v>
      </c>
      <c r="D945" s="43" t="s">
        <v>632</v>
      </c>
      <c r="E945" s="43" t="s">
        <v>633</v>
      </c>
      <c r="F945" s="43">
        <v>3.6054501533508301</v>
      </c>
      <c r="G945" s="43"/>
      <c r="H945" s="43"/>
      <c r="I945" s="43"/>
      <c r="J945" s="43"/>
      <c r="K945" s="43"/>
      <c r="L945" s="43"/>
      <c r="M945" s="43"/>
      <c r="N945" s="43"/>
      <c r="O945" s="43"/>
      <c r="P945" s="43">
        <v>1.1280000209808301</v>
      </c>
      <c r="Q945" s="43"/>
      <c r="R945" s="43"/>
      <c r="S945" s="43"/>
      <c r="T945" s="43"/>
      <c r="U945" s="43">
        <v>1.02600002288818</v>
      </c>
      <c r="V945" s="43"/>
      <c r="W945" s="43"/>
      <c r="X945" s="43"/>
      <c r="Y945" s="43"/>
      <c r="Z945" s="43">
        <v>1.2576999664306601</v>
      </c>
      <c r="AA945" s="43">
        <v>1.2063000202178999</v>
      </c>
      <c r="AB945" s="43"/>
      <c r="AC945" s="43"/>
      <c r="AD945" s="43"/>
      <c r="AE945" s="43">
        <v>1.20550000667572</v>
      </c>
      <c r="AF945" s="43"/>
      <c r="AG945" s="43"/>
      <c r="AH945" s="43"/>
      <c r="AI945" s="43"/>
      <c r="AJ945" s="43">
        <v>1.7977999448999999</v>
      </c>
      <c r="AK945" s="43"/>
      <c r="AL945" s="43"/>
      <c r="AM945" s="43"/>
      <c r="AN945" s="43">
        <v>1.6302000284</v>
      </c>
      <c r="AO945" s="43"/>
      <c r="AP945" s="43"/>
      <c r="AQ945" s="43">
        <v>1.7999999523000001</v>
      </c>
      <c r="AR945" s="43"/>
      <c r="AS945" s="43"/>
      <c r="AT945" s="43">
        <v>1.7</v>
      </c>
      <c r="AU945" s="43">
        <v>1.7</v>
      </c>
      <c r="AV945" s="43">
        <v>1.7</v>
      </c>
      <c r="AW945" s="43">
        <v>1.7</v>
      </c>
      <c r="AX945" s="43">
        <v>1.7</v>
      </c>
      <c r="AY945" s="43">
        <v>1.7</v>
      </c>
      <c r="AZ945" s="43">
        <v>1.9</v>
      </c>
      <c r="BA945" s="43">
        <v>1.9</v>
      </c>
      <c r="BB945" s="43">
        <v>1.8</v>
      </c>
      <c r="BC945" s="43">
        <v>1.8</v>
      </c>
      <c r="BD945" s="43">
        <v>1.8</v>
      </c>
      <c r="BE945" s="43">
        <v>1.8</v>
      </c>
      <c r="BF945" s="43">
        <v>1.8</v>
      </c>
      <c r="BG945" s="43">
        <v>1.8</v>
      </c>
      <c r="BH945" s="43">
        <v>1.9</v>
      </c>
      <c r="BI945" s="43">
        <v>1.4</v>
      </c>
      <c r="BJ945" s="43"/>
      <c r="BK945" s="43"/>
      <c r="BL945" s="43"/>
      <c r="BM945" s="43"/>
      <c r="BN945" s="56">
        <f t="shared" si="26"/>
        <v>1.4</v>
      </c>
      <c r="BO945" s="428">
        <f>IF(BN945="No reported value",INDEX('WB HCW &amp; Beds'!$BU$831:$BU$835,MATCH($BP945,'WB HCW &amp; Beds'!$BS$831:$BS$835,0)),$BN945)</f>
        <v>1.4</v>
      </c>
      <c r="BP945" s="132" t="str">
        <f>INDEX('HCW + Staff Summary'!$E$7:$E$270,MATCH($B945,'HCW + Staff Summary'!$B$7:$B$270,0))</f>
        <v>Upper middle income</v>
      </c>
      <c r="BQ945" s="429">
        <f>INDEX('WB HCW &amp; Beds'!$BU$838:$BU$842,MATCH($BP945,'WB HCW &amp; Beds'!$BS$838:$BS$842,0))*100</f>
        <v>3.32</v>
      </c>
    </row>
    <row r="946" spans="2:69" x14ac:dyDescent="0.75">
      <c r="B946" s="43" t="s">
        <v>426</v>
      </c>
      <c r="C946" s="43" t="s">
        <v>68</v>
      </c>
      <c r="D946" s="43" t="s">
        <v>632</v>
      </c>
      <c r="E946" s="43" t="s">
        <v>633</v>
      </c>
      <c r="F946" s="43">
        <v>9</v>
      </c>
      <c r="G946" s="43"/>
      <c r="H946" s="43"/>
      <c r="I946" s="43"/>
      <c r="J946" s="43"/>
      <c r="K946" s="43"/>
      <c r="L946" s="43"/>
      <c r="M946" s="43"/>
      <c r="N946" s="43"/>
      <c r="O946" s="43"/>
      <c r="P946" s="43">
        <v>12.5</v>
      </c>
      <c r="Q946" s="43"/>
      <c r="R946" s="43"/>
      <c r="S946" s="43"/>
      <c r="T946" s="43"/>
      <c r="U946" s="43"/>
      <c r="V946" s="43"/>
      <c r="W946" s="43"/>
      <c r="X946" s="43"/>
      <c r="Y946" s="43"/>
      <c r="Z946" s="43">
        <v>13.699999809265099</v>
      </c>
      <c r="AA946" s="43"/>
      <c r="AB946" s="43"/>
      <c r="AC946" s="43"/>
      <c r="AD946" s="43"/>
      <c r="AE946" s="43">
        <v>14.699999809265099</v>
      </c>
      <c r="AF946" s="43"/>
      <c r="AG946" s="43"/>
      <c r="AH946" s="43"/>
      <c r="AI946" s="43"/>
      <c r="AJ946" s="43"/>
      <c r="AK946" s="43"/>
      <c r="AL946" s="43"/>
      <c r="AM946" s="43">
        <v>15.600000381499999</v>
      </c>
      <c r="AN946" s="43">
        <v>15.5</v>
      </c>
      <c r="AO946" s="43">
        <v>15.399999618500001</v>
      </c>
      <c r="AP946" s="43">
        <v>15.199999809299999</v>
      </c>
      <c r="AQ946" s="43">
        <v>15.100000381499999</v>
      </c>
      <c r="AR946" s="43">
        <v>15</v>
      </c>
      <c r="AS946" s="43">
        <v>14.800000190700001</v>
      </c>
      <c r="AT946" s="43">
        <v>14.699999809299999</v>
      </c>
      <c r="AU946" s="43">
        <v>12.9</v>
      </c>
      <c r="AV946" s="43">
        <v>14.399999618500001</v>
      </c>
      <c r="AW946" s="43">
        <v>14.300000190700001</v>
      </c>
      <c r="AX946" s="43">
        <v>13.9</v>
      </c>
      <c r="AY946" s="43">
        <v>14.1</v>
      </c>
      <c r="AZ946" s="43">
        <v>13.98</v>
      </c>
      <c r="BA946" s="43"/>
      <c r="BB946" s="43">
        <v>13.8</v>
      </c>
      <c r="BC946" s="43">
        <v>13.7</v>
      </c>
      <c r="BD946" s="43"/>
      <c r="BE946" s="43"/>
      <c r="BF946" s="43">
        <v>13.4</v>
      </c>
      <c r="BG946" s="43"/>
      <c r="BH946" s="43"/>
      <c r="BI946" s="43"/>
      <c r="BJ946" s="43"/>
      <c r="BK946" s="43"/>
      <c r="BL946" s="43"/>
      <c r="BM946" s="43"/>
      <c r="BN946" s="56">
        <f t="shared" si="26"/>
        <v>13.4</v>
      </c>
      <c r="BO946" s="428">
        <f>IF(BN946="No reported value",INDEX('WB HCW &amp; Beds'!$BU$831:$BU$835,MATCH($BP946,'WB HCW &amp; Beds'!$BS$831:$BS$835,0)),$BN946)</f>
        <v>13.4</v>
      </c>
      <c r="BP946" s="132" t="str">
        <f>INDEX('HCW + Staff Summary'!$E$7:$E$270,MATCH($B946,'HCW + Staff Summary'!$B$7:$B$270,0))</f>
        <v>High income</v>
      </c>
      <c r="BQ946" s="429">
        <f>INDEX('WB HCW &amp; Beds'!$BU$838:$BU$842,MATCH($BP946,'WB HCW &amp; Beds'!$BS$838:$BS$842,0))*100</f>
        <v>3.5700000000000003</v>
      </c>
    </row>
    <row r="947" spans="2:69" x14ac:dyDescent="0.75">
      <c r="B947" s="43" t="s">
        <v>428</v>
      </c>
      <c r="C947" s="43" t="s">
        <v>69</v>
      </c>
      <c r="D947" s="43" t="s">
        <v>632</v>
      </c>
      <c r="E947" s="43" t="s">
        <v>633</v>
      </c>
      <c r="F947" s="43"/>
      <c r="G947" s="43"/>
      <c r="H947" s="43"/>
      <c r="I947" s="43"/>
      <c r="J947" s="43"/>
      <c r="K947" s="43"/>
      <c r="L947" s="43"/>
      <c r="M947" s="43"/>
      <c r="N947" s="43"/>
      <c r="O947" s="43"/>
      <c r="P947" s="43"/>
      <c r="Q947" s="43"/>
      <c r="R947" s="43"/>
      <c r="S947" s="43"/>
      <c r="T947" s="43"/>
      <c r="U947" s="43"/>
      <c r="V947" s="43"/>
      <c r="W947" s="43"/>
      <c r="X947" s="43"/>
      <c r="Y947" s="43"/>
      <c r="Z947" s="43">
        <v>13.0934000015259</v>
      </c>
      <c r="AA947" s="43">
        <v>13.229100227356</v>
      </c>
      <c r="AB947" s="43">
        <v>13.311499595642101</v>
      </c>
      <c r="AC947" s="43">
        <v>13.3694000244141</v>
      </c>
      <c r="AD947" s="43">
        <v>13.5123996734619</v>
      </c>
      <c r="AE947" s="43">
        <v>13.585700035095201</v>
      </c>
      <c r="AF947" s="43">
        <v>13.560700416564901</v>
      </c>
      <c r="AG947" s="43">
        <v>13.556099891662599</v>
      </c>
      <c r="AH947" s="43">
        <v>13.5441999435425</v>
      </c>
      <c r="AI947" s="43">
        <v>13.6300001144409</v>
      </c>
      <c r="AJ947" s="43">
        <v>13.6660995483</v>
      </c>
      <c r="AK947" s="43">
        <v>13.7089996338</v>
      </c>
      <c r="AL947" s="43">
        <v>13.461899757399999</v>
      </c>
      <c r="AM947" s="43">
        <v>13.1665000916</v>
      </c>
      <c r="AN947" s="43">
        <v>12.144700050399999</v>
      </c>
      <c r="AO947" s="43">
        <v>11.649999618500001</v>
      </c>
      <c r="AP947" s="43">
        <v>10.329999923700001</v>
      </c>
      <c r="AQ947" s="43">
        <v>8.4499998092999995</v>
      </c>
      <c r="AR947" s="43">
        <v>8.1899995804000003</v>
      </c>
      <c r="AS947" s="43">
        <v>7.25</v>
      </c>
      <c r="AT947" s="43">
        <v>7.2</v>
      </c>
      <c r="AU947" s="43">
        <v>7</v>
      </c>
      <c r="AV947" s="43">
        <v>7</v>
      </c>
      <c r="AW947" s="43">
        <v>7.7</v>
      </c>
      <c r="AX947" s="43">
        <v>7.8</v>
      </c>
      <c r="AY947" s="43">
        <v>7.8</v>
      </c>
      <c r="AZ947" s="43">
        <v>7.8</v>
      </c>
      <c r="BA947" s="43">
        <v>7.7</v>
      </c>
      <c r="BB947" s="43">
        <v>7.7</v>
      </c>
      <c r="BC947" s="43">
        <v>7.6</v>
      </c>
      <c r="BD947" s="43">
        <v>7.3</v>
      </c>
      <c r="BE947" s="43">
        <v>7.1</v>
      </c>
      <c r="BF947" s="43">
        <v>7</v>
      </c>
      <c r="BG947" s="43">
        <v>6.7</v>
      </c>
      <c r="BH947" s="43"/>
      <c r="BI947" s="43"/>
      <c r="BJ947" s="43"/>
      <c r="BK947" s="43"/>
      <c r="BL947" s="43"/>
      <c r="BM947" s="43"/>
      <c r="BN947" s="56">
        <f t="shared" si="26"/>
        <v>6.7</v>
      </c>
      <c r="BO947" s="428">
        <f>IF(BN947="No reported value",INDEX('WB HCW &amp; Beds'!$BU$831:$BU$835,MATCH($BP947,'WB HCW &amp; Beds'!$BS$831:$BS$835,0)),$BN947)</f>
        <v>6.7</v>
      </c>
      <c r="BP947" s="132" t="str">
        <f>INDEX('HCW + Staff Summary'!$E$7:$E$270,MATCH($B947,'HCW + Staff Summary'!$B$7:$B$270,0))</f>
        <v>Upper middle income</v>
      </c>
      <c r="BQ947" s="429">
        <f>INDEX('WB HCW &amp; Beds'!$BU$838:$BU$842,MATCH($BP947,'WB HCW &amp; Beds'!$BS$838:$BS$842,0))*100</f>
        <v>3.32</v>
      </c>
    </row>
    <row r="948" spans="2:69" x14ac:dyDescent="0.75">
      <c r="B948" s="43" t="s">
        <v>199</v>
      </c>
      <c r="C948" s="43" t="s">
        <v>70</v>
      </c>
      <c r="D948" s="43" t="s">
        <v>632</v>
      </c>
      <c r="E948" s="43" t="s">
        <v>633</v>
      </c>
      <c r="F948" s="43">
        <v>1.2504800558090201</v>
      </c>
      <c r="G948" s="43"/>
      <c r="H948" s="43"/>
      <c r="I948" s="43"/>
      <c r="J948" s="43"/>
      <c r="K948" s="43"/>
      <c r="L948" s="43"/>
      <c r="M948" s="43"/>
      <c r="N948" s="43"/>
      <c r="O948" s="43"/>
      <c r="P948" s="43">
        <v>1.26429998874664</v>
      </c>
      <c r="Q948" s="43"/>
      <c r="R948" s="43"/>
      <c r="S948" s="43"/>
      <c r="T948" s="43"/>
      <c r="U948" s="43">
        <v>1.25</v>
      </c>
      <c r="V948" s="43"/>
      <c r="W948" s="43"/>
      <c r="X948" s="43"/>
      <c r="Y948" s="43"/>
      <c r="Z948" s="43"/>
      <c r="AA948" s="43"/>
      <c r="AB948" s="43"/>
      <c r="AC948" s="43"/>
      <c r="AD948" s="43"/>
      <c r="AE948" s="43">
        <v>1.7071000337600699</v>
      </c>
      <c r="AF948" s="43"/>
      <c r="AG948" s="43"/>
      <c r="AH948" s="43"/>
      <c r="AI948" s="43">
        <v>1.4362000226974501</v>
      </c>
      <c r="AJ948" s="43">
        <v>1.6471999883999999</v>
      </c>
      <c r="AK948" s="43"/>
      <c r="AL948" s="43"/>
      <c r="AM948" s="43"/>
      <c r="AN948" s="43"/>
      <c r="AO948" s="43"/>
      <c r="AP948" s="43"/>
      <c r="AQ948" s="43"/>
      <c r="AR948" s="43"/>
      <c r="AS948" s="43"/>
      <c r="AT948" s="43"/>
      <c r="AU948" s="43"/>
      <c r="AV948" s="43">
        <v>1.9</v>
      </c>
      <c r="AW948" s="43"/>
      <c r="AX948" s="43">
        <v>1.4</v>
      </c>
      <c r="AY948" s="43"/>
      <c r="AZ948" s="43">
        <v>1.4</v>
      </c>
      <c r="BA948" s="43"/>
      <c r="BB948" s="43"/>
      <c r="BC948" s="43"/>
      <c r="BD948" s="43">
        <v>1.4</v>
      </c>
      <c r="BE948" s="43"/>
      <c r="BF948" s="43"/>
      <c r="BG948" s="43"/>
      <c r="BH948" s="43"/>
      <c r="BI948" s="43"/>
      <c r="BJ948" s="43"/>
      <c r="BK948" s="43"/>
      <c r="BL948" s="43"/>
      <c r="BM948" s="43"/>
      <c r="BN948" s="56">
        <f t="shared" si="26"/>
        <v>1.4</v>
      </c>
      <c r="BO948" s="428">
        <f>IF(BN948="No reported value",INDEX('WB HCW &amp; Beds'!$BU$831:$BU$835,MATCH($BP948,'WB HCW &amp; Beds'!$BS$831:$BS$835,0)),$BN948)</f>
        <v>1.4</v>
      </c>
      <c r="BP948" s="132" t="str">
        <f>INDEX('HCW + Staff Summary'!$E$7:$E$270,MATCH($B948,'HCW + Staff Summary'!$B$7:$B$270,0))</f>
        <v>Lower middle income</v>
      </c>
      <c r="BQ948" s="429">
        <f>INDEX('WB HCW &amp; Beds'!$BU$838:$BU$842,MATCH($BP948,'WB HCW &amp; Beds'!$BS$838:$BS$842,0))*100</f>
        <v>2.3800000000000003</v>
      </c>
    </row>
    <row r="949" spans="2:69" x14ac:dyDescent="0.75">
      <c r="B949" s="43" t="s">
        <v>433</v>
      </c>
      <c r="C949" s="43" t="s">
        <v>71</v>
      </c>
      <c r="D949" s="43" t="s">
        <v>632</v>
      </c>
      <c r="E949" s="43" t="s">
        <v>633</v>
      </c>
      <c r="F949" s="43"/>
      <c r="G949" s="43"/>
      <c r="H949" s="43"/>
      <c r="I949" s="43"/>
      <c r="J949" s="43"/>
      <c r="K949" s="43"/>
      <c r="L949" s="43"/>
      <c r="M949" s="43"/>
      <c r="N949" s="43"/>
      <c r="O949" s="43"/>
      <c r="P949" s="43"/>
      <c r="Q949" s="43"/>
      <c r="R949" s="43"/>
      <c r="S949" s="43"/>
      <c r="T949" s="43"/>
      <c r="U949" s="43"/>
      <c r="V949" s="43"/>
      <c r="W949" s="43"/>
      <c r="X949" s="43"/>
      <c r="Y949" s="43"/>
      <c r="Z949" s="43">
        <v>12.011400222778301</v>
      </c>
      <c r="AA949" s="43">
        <v>12.1184997558594</v>
      </c>
      <c r="AB949" s="43">
        <v>12.103300094604499</v>
      </c>
      <c r="AC949" s="43">
        <v>11.936499595642101</v>
      </c>
      <c r="AD949" s="43">
        <v>11.977100372314499</v>
      </c>
      <c r="AE949" s="43">
        <v>12.0304002761841</v>
      </c>
      <c r="AF949" s="43">
        <v>12.0309000015259</v>
      </c>
      <c r="AG949" s="43">
        <v>12.0642004013062</v>
      </c>
      <c r="AH949" s="43">
        <v>11.947400093078601</v>
      </c>
      <c r="AI949" s="43">
        <v>11.9720001220703</v>
      </c>
      <c r="AJ949" s="43">
        <v>11.977299690200001</v>
      </c>
      <c r="AK949" s="43">
        <v>12.0579996109</v>
      </c>
      <c r="AL949" s="43">
        <v>11.932000160199999</v>
      </c>
      <c r="AM949" s="43">
        <v>10.7455997467</v>
      </c>
      <c r="AN949" s="43">
        <v>9.6052999496000009</v>
      </c>
      <c r="AO949" s="43">
        <v>8.6400003433000006</v>
      </c>
      <c r="AP949" s="43">
        <v>8.4099998474</v>
      </c>
      <c r="AQ949" s="43">
        <v>8.6000003814999992</v>
      </c>
      <c r="AR949" s="43">
        <v>8.3000001907000005</v>
      </c>
      <c r="AS949" s="43">
        <v>7.4699997902000002</v>
      </c>
      <c r="AT949" s="43">
        <v>7</v>
      </c>
      <c r="AU949" s="43">
        <v>6.2</v>
      </c>
      <c r="AV949" s="43">
        <v>5.5</v>
      </c>
      <c r="AW949" s="43">
        <v>5.3</v>
      </c>
      <c r="AX949" s="43">
        <v>5.0999999999999996</v>
      </c>
      <c r="AY949" s="43">
        <v>5.0999999999999996</v>
      </c>
      <c r="AZ949" s="43">
        <v>5.0999999999999996</v>
      </c>
      <c r="BA949" s="43">
        <v>5.0999999999999996</v>
      </c>
      <c r="BB949" s="43">
        <v>5</v>
      </c>
      <c r="BC949" s="43">
        <v>4.8</v>
      </c>
      <c r="BD949" s="43">
        <v>4.8</v>
      </c>
      <c r="BE949" s="43">
        <v>4.7</v>
      </c>
      <c r="BF949" s="43">
        <v>4.5999999999999996</v>
      </c>
      <c r="BG949" s="43">
        <v>4.5</v>
      </c>
      <c r="BH949" s="43"/>
      <c r="BI949" s="43"/>
      <c r="BJ949" s="43"/>
      <c r="BK949" s="43"/>
      <c r="BL949" s="43"/>
      <c r="BM949" s="43"/>
      <c r="BN949" s="56">
        <f t="shared" si="26"/>
        <v>4.5</v>
      </c>
      <c r="BO949" s="428">
        <f>IF(BN949="No reported value",INDEX('WB HCW &amp; Beds'!$BU$831:$BU$835,MATCH($BP949,'WB HCW &amp; Beds'!$BS$831:$BS$835,0)),$BN949)</f>
        <v>4.5</v>
      </c>
      <c r="BP949" s="132" t="str">
        <f>INDEX('HCW + Staff Summary'!$E$7:$E$270,MATCH($B949,'HCW + Staff Summary'!$B$7:$B$270,0))</f>
        <v>Lower middle income</v>
      </c>
      <c r="BQ949" s="429">
        <f>INDEX('WB HCW &amp; Beds'!$BU$838:$BU$842,MATCH($BP949,'WB HCW &amp; Beds'!$BS$838:$BS$842,0))*100</f>
        <v>2.3800000000000003</v>
      </c>
    </row>
    <row r="950" spans="2:69" x14ac:dyDescent="0.75">
      <c r="B950" s="43" t="s">
        <v>247</v>
      </c>
      <c r="C950" s="43" t="s">
        <v>72</v>
      </c>
      <c r="D950" s="43" t="s">
        <v>632</v>
      </c>
      <c r="E950" s="43" t="s">
        <v>633</v>
      </c>
      <c r="F950" s="43">
        <v>0.74654889106750499</v>
      </c>
      <c r="G950" s="43"/>
      <c r="H950" s="43"/>
      <c r="I950" s="43"/>
      <c r="J950" s="43"/>
      <c r="K950" s="43"/>
      <c r="L950" s="43"/>
      <c r="M950" s="43"/>
      <c r="N950" s="43"/>
      <c r="O950" s="43"/>
      <c r="P950" s="43">
        <v>1.0809999704361</v>
      </c>
      <c r="Q950" s="43"/>
      <c r="R950" s="43"/>
      <c r="S950" s="43"/>
      <c r="T950" s="43"/>
      <c r="U950" s="43"/>
      <c r="V950" s="43"/>
      <c r="W950" s="43"/>
      <c r="X950" s="43"/>
      <c r="Y950" s="43"/>
      <c r="Z950" s="43"/>
      <c r="AA950" s="43"/>
      <c r="AB950" s="43"/>
      <c r="AC950" s="43"/>
      <c r="AD950" s="43"/>
      <c r="AE950" s="43"/>
      <c r="AF950" s="43"/>
      <c r="AG950" s="43"/>
      <c r="AH950" s="43">
        <v>2.0987000465393102</v>
      </c>
      <c r="AI950" s="43"/>
      <c r="AJ950" s="43">
        <v>2.0720999241000002</v>
      </c>
      <c r="AK950" s="43"/>
      <c r="AL950" s="43"/>
      <c r="AM950" s="43"/>
      <c r="AN950" s="43"/>
      <c r="AO950" s="43"/>
      <c r="AP950" s="43"/>
      <c r="AQ950" s="43"/>
      <c r="AR950" s="43"/>
      <c r="AS950" s="43"/>
      <c r="AT950" s="43"/>
      <c r="AU950" s="43">
        <v>0.6</v>
      </c>
      <c r="AV950" s="43"/>
      <c r="AW950" s="43"/>
      <c r="AX950" s="43">
        <v>0.1</v>
      </c>
      <c r="AY950" s="43"/>
      <c r="AZ950" s="43"/>
      <c r="BA950" s="43"/>
      <c r="BB950" s="43"/>
      <c r="BC950" s="43"/>
      <c r="BD950" s="43">
        <v>0.84</v>
      </c>
      <c r="BE950" s="43">
        <v>0.7</v>
      </c>
      <c r="BF950" s="43"/>
      <c r="BG950" s="43">
        <v>0.7</v>
      </c>
      <c r="BH950" s="43"/>
      <c r="BI950" s="43">
        <v>0.8</v>
      </c>
      <c r="BJ950" s="43"/>
      <c r="BK950" s="43"/>
      <c r="BL950" s="43"/>
      <c r="BM950" s="43"/>
      <c r="BN950" s="56">
        <f t="shared" si="26"/>
        <v>0.8</v>
      </c>
      <c r="BO950" s="428">
        <f>IF(BN950="No reported value",INDEX('WB HCW &amp; Beds'!$BU$831:$BU$835,MATCH($BP950,'WB HCW &amp; Beds'!$BS$831:$BS$835,0)),$BN950)</f>
        <v>0.8</v>
      </c>
      <c r="BP950" s="132" t="str">
        <f>INDEX('HCW + Staff Summary'!$E$7:$E$270,MATCH($B950,'HCW + Staff Summary'!$B$7:$B$270,0))</f>
        <v>Lower middle income</v>
      </c>
      <c r="BQ950" s="429">
        <f>INDEX('WB HCW &amp; Beds'!$BU$838:$BU$842,MATCH($BP950,'WB HCW &amp; Beds'!$BS$838:$BS$842,0))*100</f>
        <v>2.3800000000000003</v>
      </c>
    </row>
    <row r="951" spans="2:69" x14ac:dyDescent="0.75">
      <c r="B951" s="43" t="s">
        <v>249</v>
      </c>
      <c r="C951" s="43" t="s">
        <v>73</v>
      </c>
      <c r="D951" s="43" t="s">
        <v>632</v>
      </c>
      <c r="E951" s="43" t="s">
        <v>633</v>
      </c>
      <c r="F951" s="43">
        <v>6.3636364936828604</v>
      </c>
      <c r="G951" s="43"/>
      <c r="H951" s="43"/>
      <c r="I951" s="43"/>
      <c r="J951" s="43"/>
      <c r="K951" s="43"/>
      <c r="L951" s="43"/>
      <c r="M951" s="43"/>
      <c r="N951" s="43"/>
      <c r="O951" s="43"/>
      <c r="P951" s="43">
        <v>12.3312997817993</v>
      </c>
      <c r="Q951" s="43"/>
      <c r="R951" s="43"/>
      <c r="S951" s="43"/>
      <c r="T951" s="43"/>
      <c r="U951" s="43"/>
      <c r="V951" s="43"/>
      <c r="W951" s="43"/>
      <c r="X951" s="43"/>
      <c r="Y951" s="43"/>
      <c r="Z951" s="43">
        <v>5.0946998596191397</v>
      </c>
      <c r="AA951" s="43">
        <v>4.7683000564575204</v>
      </c>
      <c r="AB951" s="43"/>
      <c r="AC951" s="43"/>
      <c r="AD951" s="43"/>
      <c r="AE951" s="43"/>
      <c r="AF951" s="43"/>
      <c r="AG951" s="43"/>
      <c r="AH951" s="43"/>
      <c r="AI951" s="43"/>
      <c r="AJ951" s="43">
        <v>4.2718000411999997</v>
      </c>
      <c r="AK951" s="43"/>
      <c r="AL951" s="43"/>
      <c r="AM951" s="43"/>
      <c r="AN951" s="43"/>
      <c r="AO951" s="43"/>
      <c r="AP951" s="43"/>
      <c r="AQ951" s="43"/>
      <c r="AR951" s="43">
        <v>1.7999999523000001</v>
      </c>
      <c r="AS951" s="43"/>
      <c r="AT951" s="43"/>
      <c r="AU951" s="43"/>
      <c r="AV951" s="43"/>
      <c r="AW951" s="43"/>
      <c r="AX951" s="43">
        <v>1.5</v>
      </c>
      <c r="AY951" s="43">
        <v>1.51</v>
      </c>
      <c r="AZ951" s="43"/>
      <c r="BA951" s="43"/>
      <c r="BB951" s="43"/>
      <c r="BC951" s="43">
        <v>1.5</v>
      </c>
      <c r="BD951" s="43">
        <v>1.4</v>
      </c>
      <c r="BE951" s="43">
        <v>1.3</v>
      </c>
      <c r="BF951" s="43"/>
      <c r="BG951" s="43"/>
      <c r="BH951" s="43"/>
      <c r="BI951" s="43">
        <v>1.9</v>
      </c>
      <c r="BJ951" s="43"/>
      <c r="BK951" s="43"/>
      <c r="BL951" s="43"/>
      <c r="BM951" s="43"/>
      <c r="BN951" s="56">
        <f t="shared" si="26"/>
        <v>1.9</v>
      </c>
      <c r="BO951" s="428">
        <f>IF(BN951="No reported value",INDEX('WB HCW &amp; Beds'!$BU$831:$BU$835,MATCH($BP951,'WB HCW &amp; Beds'!$BS$831:$BS$835,0)),$BN951)</f>
        <v>1.9</v>
      </c>
      <c r="BP951" s="132" t="str">
        <f>INDEX('HCW + Staff Summary'!$E$7:$E$270,MATCH($B951,'HCW + Staff Summary'!$B$7:$B$270,0))</f>
        <v>Lower middle income</v>
      </c>
      <c r="BQ951" s="429">
        <f>INDEX('WB HCW &amp; Beds'!$BU$838:$BU$842,MATCH($BP951,'WB HCW &amp; Beds'!$BS$838:$BS$842,0))*100</f>
        <v>2.3800000000000003</v>
      </c>
    </row>
    <row r="952" spans="2:69" x14ac:dyDescent="0.75">
      <c r="B952" s="43" t="s">
        <v>531</v>
      </c>
      <c r="C952" s="43" t="s">
        <v>532</v>
      </c>
      <c r="D952" s="43" t="s">
        <v>632</v>
      </c>
      <c r="E952" s="43" t="s">
        <v>633</v>
      </c>
      <c r="F952" s="43">
        <v>3.8627450466156001</v>
      </c>
      <c r="G952" s="43"/>
      <c r="H952" s="43"/>
      <c r="I952" s="43"/>
      <c r="J952" s="43"/>
      <c r="K952" s="43"/>
      <c r="L952" s="43"/>
      <c r="M952" s="43"/>
      <c r="N952" s="43"/>
      <c r="O952" s="43"/>
      <c r="P952" s="43">
        <v>5.9464998245239302</v>
      </c>
      <c r="Q952" s="43"/>
      <c r="R952" s="43"/>
      <c r="S952" s="43"/>
      <c r="T952" s="43"/>
      <c r="U952" s="43"/>
      <c r="V952" s="43"/>
      <c r="W952" s="43"/>
      <c r="X952" s="43"/>
      <c r="Y952" s="43"/>
      <c r="Z952" s="43">
        <v>8.5360002517700195</v>
      </c>
      <c r="AA952" s="43"/>
      <c r="AB952" s="43"/>
      <c r="AC952" s="43"/>
      <c r="AD952" s="43"/>
      <c r="AE952" s="43"/>
      <c r="AF952" s="43"/>
      <c r="AG952" s="43"/>
      <c r="AH952" s="43"/>
      <c r="AI952" s="43"/>
      <c r="AJ952" s="43">
        <v>9.1999998092999995</v>
      </c>
      <c r="AK952" s="43"/>
      <c r="AL952" s="43"/>
      <c r="AM952" s="43"/>
      <c r="AN952" s="43"/>
      <c r="AO952" s="43">
        <v>6.4</v>
      </c>
      <c r="AP952" s="43">
        <v>6.3600001334999998</v>
      </c>
      <c r="AQ952" s="43"/>
      <c r="AR952" s="43"/>
      <c r="AS952" s="43"/>
      <c r="AT952" s="43"/>
      <c r="AU952" s="43">
        <v>4.3</v>
      </c>
      <c r="AV952" s="43">
        <v>5.5</v>
      </c>
      <c r="AW952" s="43">
        <v>5.5</v>
      </c>
      <c r="AX952" s="43">
        <v>6</v>
      </c>
      <c r="AY952" s="43">
        <v>5.7</v>
      </c>
      <c r="AZ952" s="43"/>
      <c r="BA952" s="43"/>
      <c r="BB952" s="43">
        <v>5.5</v>
      </c>
      <c r="BC952" s="43">
        <v>6</v>
      </c>
      <c r="BD952" s="43">
        <v>4.8</v>
      </c>
      <c r="BE952" s="43">
        <v>4.8</v>
      </c>
      <c r="BF952" s="43">
        <v>2.2999999999999998</v>
      </c>
      <c r="BG952" s="43"/>
      <c r="BH952" s="43"/>
      <c r="BI952" s="43"/>
      <c r="BJ952" s="43"/>
      <c r="BK952" s="43"/>
      <c r="BL952" s="43"/>
      <c r="BM952" s="43"/>
      <c r="BN952" s="56">
        <f t="shared" si="26"/>
        <v>2.2999999999999998</v>
      </c>
      <c r="BO952" s="428">
        <f>IF(BN952="No reported value",INDEX('WB HCW &amp; Beds'!$BU$831:$BU$835,MATCH($BP952,'WB HCW &amp; Beds'!$BS$831:$BS$835,0)),$BN952)</f>
        <v>2.2999999999999998</v>
      </c>
      <c r="BP952" s="132" t="str">
        <f>INDEX('HCW + Staff Summary'!$E$7:$E$270,MATCH($B952,'HCW + Staff Summary'!$B$7:$B$270,0))</f>
        <v>High income</v>
      </c>
      <c r="BQ952" s="429">
        <f>INDEX('WB HCW &amp; Beds'!$BU$838:$BU$842,MATCH($BP952,'WB HCW &amp; Beds'!$BS$838:$BS$842,0))*100</f>
        <v>3.5700000000000003</v>
      </c>
    </row>
    <row r="953" spans="2:69" x14ac:dyDescent="0.75">
      <c r="B953" s="43" t="s">
        <v>430</v>
      </c>
      <c r="C953" s="43" t="s">
        <v>74</v>
      </c>
      <c r="D953" s="43" t="s">
        <v>632</v>
      </c>
      <c r="E953" s="43" t="s">
        <v>633</v>
      </c>
      <c r="F953" s="43"/>
      <c r="G953" s="43"/>
      <c r="H953" s="43"/>
      <c r="I953" s="43"/>
      <c r="J953" s="43"/>
      <c r="K953" s="43"/>
      <c r="L953" s="43"/>
      <c r="M953" s="43"/>
      <c r="N953" s="43"/>
      <c r="O953" s="43"/>
      <c r="P953" s="43"/>
      <c r="Q953" s="43"/>
      <c r="R953" s="43"/>
      <c r="S953" s="43"/>
      <c r="T953" s="43"/>
      <c r="U953" s="43"/>
      <c r="V953" s="43"/>
      <c r="W953" s="43"/>
      <c r="X953" s="43"/>
      <c r="Y953" s="43"/>
      <c r="Z953" s="43">
        <v>1.70000004768372</v>
      </c>
      <c r="AA953" s="43"/>
      <c r="AB953" s="43"/>
      <c r="AC953" s="43"/>
      <c r="AD953" s="43"/>
      <c r="AE953" s="43">
        <v>2.4000000953674299</v>
      </c>
      <c r="AF953" s="43"/>
      <c r="AG953" s="43"/>
      <c r="AH953" s="43"/>
      <c r="AI953" s="43">
        <v>3</v>
      </c>
      <c r="AJ953" s="43">
        <v>3.0999999046000002</v>
      </c>
      <c r="AK953" s="43">
        <v>3.2999999522999999</v>
      </c>
      <c r="AL953" s="43">
        <v>3.5</v>
      </c>
      <c r="AM953" s="43">
        <v>3.7000000477000001</v>
      </c>
      <c r="AN953" s="43">
        <v>4.0999999045999997</v>
      </c>
      <c r="AO953" s="43">
        <v>4.4000000954000003</v>
      </c>
      <c r="AP953" s="43">
        <v>4.5999999045999997</v>
      </c>
      <c r="AQ953" s="43">
        <v>4.8000001906999996</v>
      </c>
      <c r="AR953" s="43">
        <v>5.0999999045999997</v>
      </c>
      <c r="AS953" s="43">
        <v>5.5999999045999997</v>
      </c>
      <c r="AT953" s="43">
        <v>6.0999999045999997</v>
      </c>
      <c r="AU953" s="43">
        <v>6.0999999045999997</v>
      </c>
      <c r="AV953" s="43">
        <v>6.6</v>
      </c>
      <c r="AW953" s="43">
        <v>7.0999999045999997</v>
      </c>
      <c r="AX953" s="43">
        <v>8.6</v>
      </c>
      <c r="AY953" s="43"/>
      <c r="AZ953" s="43">
        <v>8.64</v>
      </c>
      <c r="BA953" s="43"/>
      <c r="BB953" s="43">
        <v>12.3</v>
      </c>
      <c r="BC953" s="43">
        <v>10.3</v>
      </c>
      <c r="BD953" s="43"/>
      <c r="BE953" s="43"/>
      <c r="BF953" s="43">
        <v>10.3</v>
      </c>
      <c r="BG953" s="43"/>
      <c r="BH953" s="43"/>
      <c r="BI953" s="43">
        <v>11.5</v>
      </c>
      <c r="BJ953" s="43"/>
      <c r="BK953" s="43"/>
      <c r="BL953" s="43"/>
      <c r="BM953" s="43"/>
      <c r="BN953" s="56">
        <f t="shared" si="26"/>
        <v>11.5</v>
      </c>
      <c r="BO953" s="428">
        <f>IF(BN953="No reported value",INDEX('WB HCW &amp; Beds'!$BU$831:$BU$835,MATCH($BP953,'WB HCW &amp; Beds'!$BS$831:$BS$835,0)),$BN953)</f>
        <v>11.5</v>
      </c>
      <c r="BP953" s="132" t="str">
        <f>INDEX('HCW + Staff Summary'!$E$7:$E$270,MATCH($B953,'HCW + Staff Summary'!$B$7:$B$270,0))</f>
        <v>High income</v>
      </c>
      <c r="BQ953" s="429">
        <f>INDEX('WB HCW &amp; Beds'!$BU$838:$BU$842,MATCH($BP953,'WB HCW &amp; Beds'!$BS$838:$BS$842,0))*100</f>
        <v>3.5700000000000003</v>
      </c>
    </row>
    <row r="954" spans="2:69" x14ac:dyDescent="0.75">
      <c r="B954" s="43" t="s">
        <v>432</v>
      </c>
      <c r="C954" s="43" t="s">
        <v>75</v>
      </c>
      <c r="D954" s="43" t="s">
        <v>632</v>
      </c>
      <c r="E954" s="43" t="s">
        <v>633</v>
      </c>
      <c r="F954" s="43">
        <v>6.7985610961914098</v>
      </c>
      <c r="G954" s="43"/>
      <c r="H954" s="43"/>
      <c r="I954" s="43"/>
      <c r="J954" s="43"/>
      <c r="K954" s="43"/>
      <c r="L954" s="43"/>
      <c r="M954" s="43"/>
      <c r="N954" s="43"/>
      <c r="O954" s="43"/>
      <c r="P954" s="43">
        <v>4.8347001075744602</v>
      </c>
      <c r="Q954" s="43"/>
      <c r="R954" s="43"/>
      <c r="S954" s="43"/>
      <c r="T954" s="43"/>
      <c r="U954" s="43"/>
      <c r="V954" s="43"/>
      <c r="W954" s="43"/>
      <c r="X954" s="43"/>
      <c r="Y954" s="43"/>
      <c r="Z954" s="43">
        <v>4.1447000503540004</v>
      </c>
      <c r="AA954" s="43"/>
      <c r="AB954" s="43"/>
      <c r="AC954" s="43"/>
      <c r="AD954" s="43"/>
      <c r="AE954" s="43"/>
      <c r="AF954" s="43"/>
      <c r="AG954" s="43"/>
      <c r="AH954" s="43"/>
      <c r="AI954" s="43">
        <v>2.9853999614715598</v>
      </c>
      <c r="AJ954" s="43"/>
      <c r="AK954" s="43"/>
      <c r="AL954" s="43"/>
      <c r="AM954" s="43"/>
      <c r="AN954" s="43"/>
      <c r="AO954" s="43"/>
      <c r="AP954" s="43"/>
      <c r="AQ954" s="43">
        <v>2.7599999904999999</v>
      </c>
      <c r="AR954" s="43"/>
      <c r="AS954" s="43"/>
      <c r="AT954" s="43">
        <v>2.4</v>
      </c>
      <c r="AU954" s="43">
        <v>2.2999999999999998</v>
      </c>
      <c r="AV954" s="43">
        <v>2.2000000000000002</v>
      </c>
      <c r="AW954" s="43">
        <v>2.2000000000000002</v>
      </c>
      <c r="AX954" s="43">
        <v>2.1</v>
      </c>
      <c r="AY954" s="43">
        <v>1.9</v>
      </c>
      <c r="AZ954" s="43">
        <v>1.9</v>
      </c>
      <c r="BA954" s="43">
        <v>1.9</v>
      </c>
      <c r="BB954" s="43">
        <v>1.8</v>
      </c>
      <c r="BC954" s="43">
        <v>2</v>
      </c>
      <c r="BD954" s="43">
        <v>2</v>
      </c>
      <c r="BE954" s="43">
        <v>1.9</v>
      </c>
      <c r="BF954" s="43">
        <v>2.2000000000000002</v>
      </c>
      <c r="BG954" s="43">
        <v>2.2000000000000002</v>
      </c>
      <c r="BH954" s="43">
        <v>2</v>
      </c>
      <c r="BI954" s="43"/>
      <c r="BJ954" s="43"/>
      <c r="BK954" s="43"/>
      <c r="BL954" s="43"/>
      <c r="BM954" s="43"/>
      <c r="BN954" s="56">
        <f t="shared" si="26"/>
        <v>2</v>
      </c>
      <c r="BO954" s="428">
        <f>IF(BN954="No reported value",INDEX('WB HCW &amp; Beds'!$BU$831:$BU$835,MATCH($BP954,'WB HCW &amp; Beds'!$BS$831:$BS$835,0)),$BN954)</f>
        <v>2</v>
      </c>
      <c r="BP954" s="132" t="str">
        <f>INDEX('HCW + Staff Summary'!$E$7:$E$270,MATCH($B954,'HCW + Staff Summary'!$B$7:$B$270,0))</f>
        <v>High income</v>
      </c>
      <c r="BQ954" s="429">
        <f>INDEX('WB HCW &amp; Beds'!$BU$838:$BU$842,MATCH($BP954,'WB HCW &amp; Beds'!$BS$838:$BS$842,0))*100</f>
        <v>3.5700000000000003</v>
      </c>
    </row>
    <row r="955" spans="2:69" x14ac:dyDescent="0.75">
      <c r="B955" s="43" t="s">
        <v>439</v>
      </c>
      <c r="C955" s="43" t="s">
        <v>440</v>
      </c>
      <c r="D955" s="43" t="s">
        <v>632</v>
      </c>
      <c r="E955" s="43" t="s">
        <v>633</v>
      </c>
      <c r="F955" s="43">
        <v>3.3643986694181667</v>
      </c>
      <c r="G955" s="43"/>
      <c r="H955" s="43"/>
      <c r="I955" s="43"/>
      <c r="J955" s="43"/>
      <c r="K955" s="43"/>
      <c r="L955" s="43"/>
      <c r="M955" s="43"/>
      <c r="N955" s="43"/>
      <c r="O955" s="43"/>
      <c r="P955" s="43">
        <v>3.4023376263007501</v>
      </c>
      <c r="Q955" s="43"/>
      <c r="R955" s="43"/>
      <c r="S955" s="43"/>
      <c r="T955" s="43"/>
      <c r="U955" s="43"/>
      <c r="V955" s="43"/>
      <c r="W955" s="43"/>
      <c r="X955" s="43"/>
      <c r="Y955" s="43"/>
      <c r="Z955" s="43"/>
      <c r="AA955" s="43"/>
      <c r="AB955" s="43"/>
      <c r="AC955" s="43"/>
      <c r="AD955" s="43"/>
      <c r="AE955" s="43"/>
      <c r="AF955" s="43"/>
      <c r="AG955" s="43"/>
      <c r="AH955" s="43"/>
      <c r="AI955" s="43"/>
      <c r="AJ955" s="43">
        <v>2.4378533258951576</v>
      </c>
      <c r="AK955" s="43"/>
      <c r="AL955" s="43"/>
      <c r="AM955" s="43">
        <v>2.5268369042786767</v>
      </c>
      <c r="AN955" s="43"/>
      <c r="AO955" s="43"/>
      <c r="AP955" s="43">
        <v>2.2137664736337821</v>
      </c>
      <c r="AQ955" s="43"/>
      <c r="AR955" s="43"/>
      <c r="AS955" s="43"/>
      <c r="AT955" s="43"/>
      <c r="AU955" s="43"/>
      <c r="AV955" s="43"/>
      <c r="AW955" s="43"/>
      <c r="AX955" s="43"/>
      <c r="AY955" s="43"/>
      <c r="AZ955" s="43"/>
      <c r="BA955" s="43"/>
      <c r="BB955" s="43"/>
      <c r="BC955" s="43">
        <v>1.9405190020747887</v>
      </c>
      <c r="BD955" s="43">
        <v>2.2444139681495319</v>
      </c>
      <c r="BE955" s="43">
        <v>1.9922714667902508</v>
      </c>
      <c r="BF955" s="43">
        <v>2.0912725042613385</v>
      </c>
      <c r="BG955" s="43">
        <v>2.1293092837867889</v>
      </c>
      <c r="BH955" s="43">
        <v>2.1629051321494908</v>
      </c>
      <c r="BI955" s="43"/>
      <c r="BJ955" s="43"/>
      <c r="BK955" s="43"/>
      <c r="BL955" s="43"/>
      <c r="BM955" s="43"/>
      <c r="BN955" s="56">
        <f t="shared" si="26"/>
        <v>2.1629051321494908</v>
      </c>
      <c r="BO955" s="428">
        <f>IF(BN955="No reported value",INDEX('WB HCW &amp; Beds'!$BU$831:$BU$835,MATCH($BP955,'WB HCW &amp; Beds'!$BS$831:$BS$835,0)),$BN955)</f>
        <v>2.1629051321494908</v>
      </c>
      <c r="BP955" s="132" t="str">
        <f>INDEX('HCW + Staff Summary'!$E$7:$E$270,MATCH($B955,'HCW + Staff Summary'!$B$7:$B$270,0))</f>
        <v>OUT</v>
      </c>
      <c r="BQ955" s="429">
        <f>INDEX('WB HCW &amp; Beds'!$BU$838:$BU$842,MATCH($BP955,'WB HCW &amp; Beds'!$BS$838:$BS$842,0))*100</f>
        <v>2.7250000000000001</v>
      </c>
    </row>
    <row r="956" spans="2:69" x14ac:dyDescent="0.75">
      <c r="B956" s="43" t="s">
        <v>434</v>
      </c>
      <c r="C956" s="43" t="s">
        <v>76</v>
      </c>
      <c r="D956" s="43" t="s">
        <v>632</v>
      </c>
      <c r="E956" s="43" t="s">
        <v>633</v>
      </c>
      <c r="F956" s="43">
        <v>0.472209453582764</v>
      </c>
      <c r="G956" s="43"/>
      <c r="H956" s="43"/>
      <c r="I956" s="43"/>
      <c r="J956" s="43"/>
      <c r="K956" s="43"/>
      <c r="L956" s="43"/>
      <c r="M956" s="43"/>
      <c r="N956" s="43"/>
      <c r="O956" s="43"/>
      <c r="P956" s="43">
        <v>0.92739999294280995</v>
      </c>
      <c r="Q956" s="43"/>
      <c r="R956" s="43"/>
      <c r="S956" s="43"/>
      <c r="T956" s="43"/>
      <c r="U956" s="43"/>
      <c r="V956" s="43"/>
      <c r="W956" s="43"/>
      <c r="X956" s="43"/>
      <c r="Y956" s="43"/>
      <c r="Z956" s="43"/>
      <c r="AA956" s="43"/>
      <c r="AB956" s="43"/>
      <c r="AC956" s="43"/>
      <c r="AD956" s="43"/>
      <c r="AE956" s="43"/>
      <c r="AF956" s="43"/>
      <c r="AG956" s="43"/>
      <c r="AH956" s="43"/>
      <c r="AI956" s="43"/>
      <c r="AJ956" s="43">
        <v>2.5697999001</v>
      </c>
      <c r="AK956" s="43"/>
      <c r="AL956" s="43"/>
      <c r="AM956" s="43"/>
      <c r="AN956" s="43"/>
      <c r="AO956" s="43"/>
      <c r="AP956" s="43"/>
      <c r="AQ956" s="43"/>
      <c r="AR956" s="43"/>
      <c r="AS956" s="43"/>
      <c r="AT956" s="43"/>
      <c r="AU956" s="43"/>
      <c r="AV956" s="43">
        <v>0.9</v>
      </c>
      <c r="AW956" s="43"/>
      <c r="AX956" s="43"/>
      <c r="AY956" s="43">
        <v>1.2</v>
      </c>
      <c r="AZ956" s="43"/>
      <c r="BA956" s="43"/>
      <c r="BB956" s="43"/>
      <c r="BC956" s="43"/>
      <c r="BD956" s="43">
        <v>0.7</v>
      </c>
      <c r="BE956" s="43"/>
      <c r="BF956" s="43">
        <v>1.5</v>
      </c>
      <c r="BG956" s="43"/>
      <c r="BH956" s="43"/>
      <c r="BI956" s="43"/>
      <c r="BJ956" s="43"/>
      <c r="BK956" s="43"/>
      <c r="BL956" s="43"/>
      <c r="BM956" s="43"/>
      <c r="BN956" s="56">
        <f t="shared" si="26"/>
        <v>1.5</v>
      </c>
      <c r="BO956" s="428">
        <f>IF(BN956="No reported value",INDEX('WB HCW &amp; Beds'!$BU$831:$BU$835,MATCH($BP956,'WB HCW &amp; Beds'!$BS$831:$BS$835,0)),$BN956)</f>
        <v>1.5</v>
      </c>
      <c r="BP956" s="132" t="str">
        <f>INDEX('HCW + Staff Summary'!$E$7:$E$270,MATCH($B956,'HCW + Staff Summary'!$B$7:$B$270,0))</f>
        <v>Lower middle income</v>
      </c>
      <c r="BQ956" s="429">
        <f>INDEX('WB HCW &amp; Beds'!$BU$838:$BU$842,MATCH($BP956,'WB HCW &amp; Beds'!$BS$838:$BS$842,0))*100</f>
        <v>2.3800000000000003</v>
      </c>
    </row>
    <row r="957" spans="2:69" x14ac:dyDescent="0.75">
      <c r="B957" s="43" t="s">
        <v>446</v>
      </c>
      <c r="C957" s="43" t="s">
        <v>77</v>
      </c>
      <c r="D957" s="43" t="s">
        <v>632</v>
      </c>
      <c r="E957" s="43" t="s">
        <v>633</v>
      </c>
      <c r="F957" s="43">
        <v>4.5813393592834499</v>
      </c>
      <c r="G957" s="43"/>
      <c r="H957" s="43"/>
      <c r="I957" s="43"/>
      <c r="J957" s="43"/>
      <c r="K957" s="43"/>
      <c r="L957" s="43"/>
      <c r="M957" s="43"/>
      <c r="N957" s="43"/>
      <c r="O957" s="43"/>
      <c r="P957" s="43">
        <v>4.0987000465393102</v>
      </c>
      <c r="Q957" s="43"/>
      <c r="R957" s="43"/>
      <c r="S957" s="43"/>
      <c r="T957" s="43"/>
      <c r="U957" s="43"/>
      <c r="V957" s="43"/>
      <c r="W957" s="43"/>
      <c r="X957" s="43"/>
      <c r="Y957" s="43"/>
      <c r="Z957" s="43"/>
      <c r="AA957" s="43"/>
      <c r="AB957" s="43"/>
      <c r="AC957" s="43"/>
      <c r="AD957" s="43"/>
      <c r="AE957" s="43"/>
      <c r="AF957" s="43"/>
      <c r="AG957" s="43"/>
      <c r="AH957" s="43"/>
      <c r="AI957" s="43"/>
      <c r="AJ957" s="43">
        <v>1.6505999565</v>
      </c>
      <c r="AK957" s="43"/>
      <c r="AL957" s="43">
        <v>3.0827000140999998</v>
      </c>
      <c r="AM957" s="43"/>
      <c r="AN957" s="43"/>
      <c r="AO957" s="43"/>
      <c r="AP957" s="43"/>
      <c r="AQ957" s="43">
        <v>2.7000000477000001</v>
      </c>
      <c r="AR957" s="43"/>
      <c r="AS957" s="43"/>
      <c r="AT957" s="43">
        <v>3.1</v>
      </c>
      <c r="AU957" s="43">
        <v>3</v>
      </c>
      <c r="AV957" s="43">
        <v>3</v>
      </c>
      <c r="AW957" s="43">
        <v>3</v>
      </c>
      <c r="AX957" s="43">
        <v>3</v>
      </c>
      <c r="AY957" s="43">
        <v>3.6</v>
      </c>
      <c r="AZ957" s="43">
        <v>3.6</v>
      </c>
      <c r="BA957" s="43">
        <v>3.4</v>
      </c>
      <c r="BB957" s="43">
        <v>3.4</v>
      </c>
      <c r="BC957" s="43">
        <v>3.5</v>
      </c>
      <c r="BD957" s="43">
        <v>3.5</v>
      </c>
      <c r="BE957" s="43">
        <v>3.5</v>
      </c>
      <c r="BF957" s="43">
        <v>3.5</v>
      </c>
      <c r="BG957" s="43">
        <v>2.9</v>
      </c>
      <c r="BH957" s="43">
        <v>2.9</v>
      </c>
      <c r="BI957" s="43"/>
      <c r="BJ957" s="43"/>
      <c r="BK957" s="43"/>
      <c r="BL957" s="43"/>
      <c r="BM957" s="43"/>
      <c r="BN957" s="56">
        <f t="shared" ref="BN957:BN1020" si="27">IFERROR(LOOKUP(2,1/(ISNUMBER(F957:BM957)),F957:BM957),"No reported value")</f>
        <v>2.9</v>
      </c>
      <c r="BO957" s="428">
        <f>IF(BN957="No reported value",INDEX('WB HCW &amp; Beds'!$BU$831:$BU$835,MATCH($BP957,'WB HCW &amp; Beds'!$BS$831:$BS$835,0)),$BN957)</f>
        <v>2.9</v>
      </c>
      <c r="BP957" s="132" t="str">
        <f>INDEX('HCW + Staff Summary'!$E$7:$E$270,MATCH($B957,'HCW + Staff Summary'!$B$7:$B$270,0))</f>
        <v>Upper middle income</v>
      </c>
      <c r="BQ957" s="429">
        <f>INDEX('WB HCW &amp; Beds'!$BU$838:$BU$842,MATCH($BP957,'WB HCW &amp; Beds'!$BS$838:$BS$842,0))*100</f>
        <v>3.32</v>
      </c>
    </row>
    <row r="958" spans="2:69" x14ac:dyDescent="0.75">
      <c r="B958" s="43" t="s">
        <v>201</v>
      </c>
      <c r="C958" s="43" t="s">
        <v>78</v>
      </c>
      <c r="D958" s="43" t="s">
        <v>632</v>
      </c>
      <c r="E958" s="43" t="s">
        <v>633</v>
      </c>
      <c r="F958" s="43">
        <v>1.322425365448</v>
      </c>
      <c r="G958" s="43"/>
      <c r="H958" s="43"/>
      <c r="I958" s="43"/>
      <c r="J958" s="43"/>
      <c r="K958" s="43"/>
      <c r="L958" s="43"/>
      <c r="M958" s="43"/>
      <c r="N958" s="43"/>
      <c r="O958" s="43"/>
      <c r="P958" s="43">
        <v>1.5769000053405799</v>
      </c>
      <c r="Q958" s="43"/>
      <c r="R958" s="43"/>
      <c r="S958" s="43"/>
      <c r="T958" s="43"/>
      <c r="U958" s="43">
        <v>1.64699995517731</v>
      </c>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v>0.7</v>
      </c>
      <c r="BD958" s="43">
        <v>0.8</v>
      </c>
      <c r="BE958" s="43"/>
      <c r="BF958" s="43"/>
      <c r="BG958" s="43"/>
      <c r="BH958" s="43"/>
      <c r="BI958" s="43"/>
      <c r="BJ958" s="43"/>
      <c r="BK958" s="43"/>
      <c r="BL958" s="43"/>
      <c r="BM958" s="43"/>
      <c r="BN958" s="56">
        <f t="shared" si="27"/>
        <v>0.8</v>
      </c>
      <c r="BO958" s="428">
        <f>IF(BN958="No reported value",INDEX('WB HCW &amp; Beds'!$BU$831:$BU$835,MATCH($BP958,'WB HCW &amp; Beds'!$BS$831:$BS$835,0)),$BN958)</f>
        <v>0.8</v>
      </c>
      <c r="BP958" s="132" t="str">
        <f>INDEX('HCW + Staff Summary'!$E$7:$E$270,MATCH($B958,'HCW + Staff Summary'!$B$7:$B$270,0))</f>
        <v>Low income</v>
      </c>
      <c r="BQ958" s="429">
        <f>INDEX('WB HCW &amp; Beds'!$BU$838:$BU$842,MATCH($BP958,'WB HCW &amp; Beds'!$BS$838:$BS$842,0))*100</f>
        <v>1.63</v>
      </c>
    </row>
    <row r="959" spans="2:69" x14ac:dyDescent="0.75">
      <c r="B959" s="43" t="s">
        <v>447</v>
      </c>
      <c r="C959" s="43" t="s">
        <v>79</v>
      </c>
      <c r="D959" s="43" t="s">
        <v>632</v>
      </c>
      <c r="E959" s="43" t="s">
        <v>633</v>
      </c>
      <c r="F959" s="43">
        <v>2.7553744316101101</v>
      </c>
      <c r="G959" s="43"/>
      <c r="H959" s="43"/>
      <c r="I959" s="43"/>
      <c r="J959" s="43"/>
      <c r="K959" s="43"/>
      <c r="L959" s="43"/>
      <c r="M959" s="43"/>
      <c r="N959" s="43"/>
      <c r="O959" s="43"/>
      <c r="P959" s="43">
        <v>3.8136999607086199</v>
      </c>
      <c r="Q959" s="43"/>
      <c r="R959" s="43"/>
      <c r="S959" s="43"/>
      <c r="T959" s="43"/>
      <c r="U959" s="43"/>
      <c r="V959" s="43"/>
      <c r="W959" s="43"/>
      <c r="X959" s="43"/>
      <c r="Y959" s="43"/>
      <c r="Z959" s="43"/>
      <c r="AA959" s="43">
        <v>4.82550001144409</v>
      </c>
      <c r="AB959" s="43"/>
      <c r="AC959" s="43"/>
      <c r="AD959" s="43"/>
      <c r="AE959" s="43"/>
      <c r="AF959" s="43"/>
      <c r="AG959" s="43"/>
      <c r="AH959" s="43"/>
      <c r="AI959" s="43"/>
      <c r="AJ959" s="43">
        <v>4.1729998588999999</v>
      </c>
      <c r="AK959" s="43"/>
      <c r="AL959" s="43"/>
      <c r="AM959" s="43"/>
      <c r="AN959" s="43"/>
      <c r="AO959" s="43"/>
      <c r="AP959" s="43"/>
      <c r="AQ959" s="43">
        <v>4.3000001906999996</v>
      </c>
      <c r="AR959" s="43"/>
      <c r="AS959" s="43"/>
      <c r="AT959" s="43">
        <v>4.0999999999999996</v>
      </c>
      <c r="AU959" s="43">
        <v>3.9</v>
      </c>
      <c r="AV959" s="43">
        <v>3.9</v>
      </c>
      <c r="AW959" s="43">
        <v>3.9</v>
      </c>
      <c r="AX959" s="43">
        <v>3.9</v>
      </c>
      <c r="AY959" s="43">
        <v>3.4</v>
      </c>
      <c r="AZ959" s="43">
        <v>3.7</v>
      </c>
      <c r="BA959" s="43">
        <v>3.7</v>
      </c>
      <c r="BB959" s="43">
        <v>3.7</v>
      </c>
      <c r="BC959" s="43">
        <v>3.7</v>
      </c>
      <c r="BD959" s="43">
        <v>3.7</v>
      </c>
      <c r="BE959" s="43">
        <v>3.7</v>
      </c>
      <c r="BF959" s="43">
        <v>3.7</v>
      </c>
      <c r="BG959" s="43">
        <v>3.7</v>
      </c>
      <c r="BH959" s="43">
        <v>3.7</v>
      </c>
      <c r="BI959" s="43"/>
      <c r="BJ959" s="43"/>
      <c r="BK959" s="43"/>
      <c r="BL959" s="43"/>
      <c r="BM959" s="43"/>
      <c r="BN959" s="56">
        <f t="shared" si="27"/>
        <v>3.7</v>
      </c>
      <c r="BO959" s="428">
        <f>IF(BN959="No reported value",INDEX('WB HCW &amp; Beds'!$BU$831:$BU$835,MATCH($BP959,'WB HCW &amp; Beds'!$BS$831:$BS$835,0)),$BN959)</f>
        <v>3.7</v>
      </c>
      <c r="BP959" s="132" t="str">
        <f>INDEX('HCW + Staff Summary'!$E$7:$E$270,MATCH($B959,'HCW + Staff Summary'!$B$7:$B$270,0))</f>
        <v>Upper middle income</v>
      </c>
      <c r="BQ959" s="429">
        <f>INDEX('WB HCW &amp; Beds'!$BU$838:$BU$842,MATCH($BP959,'WB HCW &amp; Beds'!$BS$838:$BS$842,0))*100</f>
        <v>3.32</v>
      </c>
    </row>
    <row r="960" spans="2:69" x14ac:dyDescent="0.75">
      <c r="B960" s="43" t="s">
        <v>533</v>
      </c>
      <c r="C960" s="43" t="s">
        <v>80</v>
      </c>
      <c r="D960" s="43" t="s">
        <v>632</v>
      </c>
      <c r="E960" s="43" t="s">
        <v>633</v>
      </c>
      <c r="F960" s="43">
        <v>4.2804255485534703</v>
      </c>
      <c r="G960" s="43"/>
      <c r="H960" s="43"/>
      <c r="I960" s="43"/>
      <c r="J960" s="43"/>
      <c r="K960" s="43"/>
      <c r="L960" s="43"/>
      <c r="M960" s="43"/>
      <c r="N960" s="43"/>
      <c r="O960" s="43"/>
      <c r="P960" s="43">
        <v>5.0493001937866202</v>
      </c>
      <c r="Q960" s="43"/>
      <c r="R960" s="43"/>
      <c r="S960" s="43"/>
      <c r="T960" s="43"/>
      <c r="U960" s="43"/>
      <c r="V960" s="43"/>
      <c r="W960" s="43"/>
      <c r="X960" s="43"/>
      <c r="Y960" s="43"/>
      <c r="Z960" s="43"/>
      <c r="AA960" s="43"/>
      <c r="AB960" s="43"/>
      <c r="AC960" s="43"/>
      <c r="AD960" s="43"/>
      <c r="AE960" s="43"/>
      <c r="AF960" s="43"/>
      <c r="AG960" s="43"/>
      <c r="AH960" s="43"/>
      <c r="AI960" s="43"/>
      <c r="AJ960" s="43">
        <v>4</v>
      </c>
      <c r="AK960" s="43"/>
      <c r="AL960" s="43"/>
      <c r="AM960" s="43">
        <v>4.3517999648999997</v>
      </c>
      <c r="AN960" s="43"/>
      <c r="AO960" s="43">
        <v>3.3</v>
      </c>
      <c r="AP960" s="43">
        <v>3.3800001144</v>
      </c>
      <c r="AQ960" s="43"/>
      <c r="AR960" s="43"/>
      <c r="AS960" s="43"/>
      <c r="AT960" s="43">
        <v>2.2999999999999998</v>
      </c>
      <c r="AU960" s="43"/>
      <c r="AV960" s="43">
        <v>3.2000000477000001</v>
      </c>
      <c r="AW960" s="43">
        <v>2.9</v>
      </c>
      <c r="AX960" s="43"/>
      <c r="AY960" s="43">
        <v>3</v>
      </c>
      <c r="AZ960" s="43">
        <v>2.9</v>
      </c>
      <c r="BA960" s="43">
        <v>2.8</v>
      </c>
      <c r="BB960" s="43"/>
      <c r="BC960" s="43">
        <v>1.5</v>
      </c>
      <c r="BD960" s="43"/>
      <c r="BE960" s="43">
        <v>1.6</v>
      </c>
      <c r="BF960" s="43"/>
      <c r="BG960" s="43">
        <v>1.3</v>
      </c>
      <c r="BH960" s="43"/>
      <c r="BI960" s="43"/>
      <c r="BJ960" s="43"/>
      <c r="BK960" s="43"/>
      <c r="BL960" s="43"/>
      <c r="BM960" s="43"/>
      <c r="BN960" s="56">
        <f t="shared" si="27"/>
        <v>1.3</v>
      </c>
      <c r="BO960" s="428">
        <f>IF(BN960="No reported value",INDEX('WB HCW &amp; Beds'!$BU$831:$BU$835,MATCH($BP960,'WB HCW &amp; Beds'!$BS$831:$BS$835,0)),$BN960)</f>
        <v>1.3</v>
      </c>
      <c r="BP960" s="132" t="str">
        <f>INDEX('HCW + Staff Summary'!$E$7:$E$270,MATCH($B960,'HCW + Staff Summary'!$B$7:$B$270,0))</f>
        <v>Upper middle income</v>
      </c>
      <c r="BQ960" s="429">
        <f>INDEX('WB HCW &amp; Beds'!$BU$838:$BU$842,MATCH($BP960,'WB HCW &amp; Beds'!$BS$838:$BS$842,0))*100</f>
        <v>3.32</v>
      </c>
    </row>
    <row r="961" spans="2:69" x14ac:dyDescent="0.75">
      <c r="B961" s="43" t="s">
        <v>437</v>
      </c>
      <c r="C961" s="43" t="s">
        <v>438</v>
      </c>
      <c r="D961" s="43" t="s">
        <v>632</v>
      </c>
      <c r="E961" s="43" t="s">
        <v>633</v>
      </c>
      <c r="F961" s="43">
        <v>3.4311206469669862</v>
      </c>
      <c r="G961" s="43"/>
      <c r="H961" s="43"/>
      <c r="I961" s="43"/>
      <c r="J961" s="43"/>
      <c r="K961" s="43"/>
      <c r="L961" s="43"/>
      <c r="M961" s="43"/>
      <c r="N961" s="43"/>
      <c r="O961" s="43"/>
      <c r="P961" s="43">
        <v>3.4648023148814207</v>
      </c>
      <c r="Q961" s="43"/>
      <c r="R961" s="43"/>
      <c r="S961" s="43"/>
      <c r="T961" s="43"/>
      <c r="U961" s="43"/>
      <c r="V961" s="43"/>
      <c r="W961" s="43"/>
      <c r="X961" s="43"/>
      <c r="Y961" s="43"/>
      <c r="Z961" s="43"/>
      <c r="AA961" s="43"/>
      <c r="AB961" s="43"/>
      <c r="AC961" s="43"/>
      <c r="AD961" s="43"/>
      <c r="AE961" s="43"/>
      <c r="AF961" s="43"/>
      <c r="AG961" s="43"/>
      <c r="AH961" s="43"/>
      <c r="AI961" s="43"/>
      <c r="AJ961" s="43">
        <v>2.4855337377944937</v>
      </c>
      <c r="AK961" s="43"/>
      <c r="AL961" s="43"/>
      <c r="AM961" s="43">
        <v>2.561483228387047</v>
      </c>
      <c r="AN961" s="43"/>
      <c r="AO961" s="43"/>
      <c r="AP961" s="43">
        <v>2.26576227111368</v>
      </c>
      <c r="AQ961" s="43"/>
      <c r="AR961" s="43"/>
      <c r="AS961" s="43"/>
      <c r="AT961" s="43"/>
      <c r="AU961" s="43"/>
      <c r="AV961" s="43"/>
      <c r="AW961" s="43"/>
      <c r="AX961" s="43"/>
      <c r="AY961" s="43"/>
      <c r="AZ961" s="43"/>
      <c r="BA961" s="43"/>
      <c r="BB961" s="43"/>
      <c r="BC961" s="43">
        <v>1.9551288005379266</v>
      </c>
      <c r="BD961" s="43">
        <v>2.2329149699344031</v>
      </c>
      <c r="BE961" s="43">
        <v>2.0035321218920146</v>
      </c>
      <c r="BF961" s="43">
        <v>2.102988932508647</v>
      </c>
      <c r="BG961" s="43">
        <v>2.139311631339488</v>
      </c>
      <c r="BH961" s="43">
        <v>2.1732772592924778</v>
      </c>
      <c r="BI961" s="43"/>
      <c r="BJ961" s="43"/>
      <c r="BK961" s="43"/>
      <c r="BL961" s="43"/>
      <c r="BM961" s="43"/>
      <c r="BN961" s="56">
        <f t="shared" si="27"/>
        <v>2.1732772592924778</v>
      </c>
      <c r="BO961" s="428">
        <f>IF(BN961="No reported value",INDEX('WB HCW &amp; Beds'!$BU$831:$BU$835,MATCH($BP961,'WB HCW &amp; Beds'!$BS$831:$BS$835,0)),$BN961)</f>
        <v>2.1732772592924778</v>
      </c>
      <c r="BP961" s="132" t="str">
        <f>INDEX('HCW + Staff Summary'!$E$7:$E$270,MATCH($B961,'HCW + Staff Summary'!$B$7:$B$270,0))</f>
        <v>OUT</v>
      </c>
      <c r="BQ961" s="429">
        <f>INDEX('WB HCW &amp; Beds'!$BU$838:$BU$842,MATCH($BP961,'WB HCW &amp; Beds'!$BS$838:$BS$842,0))*100</f>
        <v>2.7250000000000001</v>
      </c>
    </row>
    <row r="962" spans="2:69" x14ac:dyDescent="0.75">
      <c r="B962" s="43" t="s">
        <v>444</v>
      </c>
      <c r="C962" s="43" t="s">
        <v>445</v>
      </c>
      <c r="D962" s="43" t="s">
        <v>632</v>
      </c>
      <c r="E962" s="43" t="s">
        <v>633</v>
      </c>
      <c r="F962" s="43">
        <v>1.2734462106972273</v>
      </c>
      <c r="G962" s="43"/>
      <c r="H962" s="43"/>
      <c r="I962" s="43"/>
      <c r="J962" s="43"/>
      <c r="K962" s="43"/>
      <c r="L962" s="43"/>
      <c r="M962" s="43"/>
      <c r="N962" s="43"/>
      <c r="O962" s="43"/>
      <c r="P962" s="43">
        <v>0.99665513568732766</v>
      </c>
      <c r="Q962" s="43"/>
      <c r="R962" s="43"/>
      <c r="S962" s="43"/>
      <c r="T962" s="43"/>
      <c r="U962" s="43"/>
      <c r="V962" s="43"/>
      <c r="W962" s="43"/>
      <c r="X962" s="43"/>
      <c r="Y962" s="43"/>
      <c r="Z962" s="43"/>
      <c r="AA962" s="43"/>
      <c r="AB962" s="43"/>
      <c r="AC962" s="43"/>
      <c r="AD962" s="43"/>
      <c r="AE962" s="43"/>
      <c r="AF962" s="43"/>
      <c r="AG962" s="43"/>
      <c r="AH962" s="43"/>
      <c r="AI962" s="43"/>
      <c r="AJ962" s="43">
        <v>0.73179654582033493</v>
      </c>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56">
        <f t="shared" si="27"/>
        <v>0.73179654582033493</v>
      </c>
      <c r="BO962" s="428">
        <f>IF(BN962="No reported value",INDEX('WB HCW &amp; Beds'!$BU$831:$BU$835,MATCH($BP962,'WB HCW &amp; Beds'!$BS$831:$BS$835,0)),$BN962)</f>
        <v>0.73179654582033493</v>
      </c>
      <c r="BP962" s="132" t="str">
        <f>INDEX('HCW + Staff Summary'!$E$7:$E$270,MATCH($B962,'HCW + Staff Summary'!$B$7:$B$270,0))</f>
        <v>OUT</v>
      </c>
      <c r="BQ962" s="429">
        <f>INDEX('WB HCW &amp; Beds'!$BU$838:$BU$842,MATCH($BP962,'WB HCW &amp; Beds'!$BS$838:$BS$842,0))*100</f>
        <v>2.7250000000000001</v>
      </c>
    </row>
    <row r="963" spans="2:69" x14ac:dyDescent="0.75">
      <c r="B963" s="43" t="s">
        <v>453</v>
      </c>
      <c r="C963" s="43" t="s">
        <v>454</v>
      </c>
      <c r="D963" s="43" t="s">
        <v>632</v>
      </c>
      <c r="E963" s="43" t="s">
        <v>633</v>
      </c>
      <c r="F963" s="43">
        <v>1.322424675002543</v>
      </c>
      <c r="G963" s="43"/>
      <c r="H963" s="43"/>
      <c r="I963" s="43"/>
      <c r="J963" s="43"/>
      <c r="K963" s="43"/>
      <c r="L963" s="43"/>
      <c r="M963" s="43"/>
      <c r="N963" s="43"/>
      <c r="O963" s="43"/>
      <c r="P963" s="43">
        <v>1.1863437178799601</v>
      </c>
      <c r="Q963" s="43"/>
      <c r="R963" s="43"/>
      <c r="S963" s="43"/>
      <c r="T963" s="43"/>
      <c r="U963" s="43"/>
      <c r="V963" s="43"/>
      <c r="W963" s="43"/>
      <c r="X963" s="43"/>
      <c r="Y963" s="43"/>
      <c r="Z963" s="43"/>
      <c r="AA963" s="43"/>
      <c r="AB963" s="43"/>
      <c r="AC963" s="43"/>
      <c r="AD963" s="43"/>
      <c r="AE963" s="43"/>
      <c r="AF963" s="43"/>
      <c r="AG963" s="43"/>
      <c r="AH963" s="43"/>
      <c r="AI963" s="43"/>
      <c r="AJ963" s="43">
        <v>1.0057067888280706</v>
      </c>
      <c r="AK963" s="43"/>
      <c r="AL963" s="43"/>
      <c r="AM963" s="43"/>
      <c r="AN963" s="43"/>
      <c r="AO963" s="43"/>
      <c r="AP963" s="43"/>
      <c r="AQ963" s="43"/>
      <c r="AR963" s="43"/>
      <c r="AS963" s="43"/>
      <c r="AT963" s="43"/>
      <c r="AU963" s="43"/>
      <c r="AV963" s="43"/>
      <c r="AW963" s="43"/>
      <c r="AX963" s="43"/>
      <c r="AY963" s="43"/>
      <c r="AZ963" s="43">
        <v>1.1504840579990769</v>
      </c>
      <c r="BA963" s="43"/>
      <c r="BB963" s="43"/>
      <c r="BC963" s="43"/>
      <c r="BD963" s="43"/>
      <c r="BE963" s="43"/>
      <c r="BF963" s="43"/>
      <c r="BG963" s="43"/>
      <c r="BH963" s="43"/>
      <c r="BI963" s="43"/>
      <c r="BJ963" s="43"/>
      <c r="BK963" s="43"/>
      <c r="BL963" s="43"/>
      <c r="BM963" s="43"/>
      <c r="BN963" s="56">
        <f t="shared" si="27"/>
        <v>1.1504840579990769</v>
      </c>
      <c r="BO963" s="428">
        <f>IF(BN963="No reported value",INDEX('WB HCW &amp; Beds'!$BU$831:$BU$835,MATCH($BP963,'WB HCW &amp; Beds'!$BS$831:$BS$835,0)),$BN963)</f>
        <v>1.1504840579990769</v>
      </c>
      <c r="BP963" s="132" t="str">
        <f>INDEX('HCW + Staff Summary'!$E$7:$E$270,MATCH($B963,'HCW + Staff Summary'!$B$7:$B$270,0))</f>
        <v>OUT</v>
      </c>
      <c r="BQ963" s="429">
        <f>INDEX('WB HCW &amp; Beds'!$BU$838:$BU$842,MATCH($BP963,'WB HCW &amp; Beds'!$BS$838:$BS$842,0))*100</f>
        <v>2.7250000000000001</v>
      </c>
    </row>
    <row r="964" spans="2:69" x14ac:dyDescent="0.75">
      <c r="B964" s="43" t="s">
        <v>448</v>
      </c>
      <c r="C964" s="43" t="s">
        <v>449</v>
      </c>
      <c r="D964" s="43" t="s">
        <v>632</v>
      </c>
      <c r="E964" s="43" t="s">
        <v>633</v>
      </c>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56" t="str">
        <f t="shared" si="27"/>
        <v>No reported value</v>
      </c>
      <c r="BO964" s="428">
        <f>IF(BN964="No reported value",INDEX('WB HCW &amp; Beds'!$BU$831:$BU$835,MATCH($BP964,'WB HCW &amp; Beds'!$BS$831:$BS$835,0)),$BN964)</f>
        <v>4.82</v>
      </c>
      <c r="BP964" s="132" t="str">
        <f>INDEX('HCW + Staff Summary'!$E$7:$E$270,MATCH($B964,'HCW + Staff Summary'!$B$7:$B$270,0))</f>
        <v>High income</v>
      </c>
      <c r="BQ964" s="429">
        <f>INDEX('WB HCW &amp; Beds'!$BU$838:$BU$842,MATCH($BP964,'WB HCW &amp; Beds'!$BS$838:$BS$842,0))*100</f>
        <v>3.5700000000000003</v>
      </c>
    </row>
    <row r="965" spans="2:69" x14ac:dyDescent="0.75">
      <c r="B965" s="43" t="s">
        <v>245</v>
      </c>
      <c r="C965" s="43" t="s">
        <v>81</v>
      </c>
      <c r="D965" s="43" t="s">
        <v>632</v>
      </c>
      <c r="E965" s="43" t="s">
        <v>633</v>
      </c>
      <c r="F965" s="43">
        <v>3.1388411521911599</v>
      </c>
      <c r="G965" s="43"/>
      <c r="H965" s="43"/>
      <c r="I965" s="43"/>
      <c r="J965" s="43"/>
      <c r="K965" s="43"/>
      <c r="L965" s="43"/>
      <c r="M965" s="43"/>
      <c r="N965" s="43"/>
      <c r="O965" s="43"/>
      <c r="P965" s="43">
        <v>3.01690006256104</v>
      </c>
      <c r="Q965" s="43"/>
      <c r="R965" s="43"/>
      <c r="S965" s="43"/>
      <c r="T965" s="43"/>
      <c r="U965" s="43">
        <v>3.3333001136779798</v>
      </c>
      <c r="V965" s="43"/>
      <c r="W965" s="43"/>
      <c r="X965" s="43"/>
      <c r="Y965" s="43"/>
      <c r="Z965" s="43">
        <v>2.9440000057220499</v>
      </c>
      <c r="AA965" s="43">
        <v>2.93759989738464</v>
      </c>
      <c r="AB965" s="43"/>
      <c r="AC965" s="43"/>
      <c r="AD965" s="43"/>
      <c r="AE965" s="43"/>
      <c r="AF965" s="43"/>
      <c r="AG965" s="43"/>
      <c r="AH965" s="43"/>
      <c r="AI965" s="43">
        <v>2.4030001163482702</v>
      </c>
      <c r="AJ965" s="43">
        <v>2.7434999943</v>
      </c>
      <c r="AK965" s="43"/>
      <c r="AL965" s="43"/>
      <c r="AM965" s="43"/>
      <c r="AN965" s="43"/>
      <c r="AO965" s="43"/>
      <c r="AP965" s="43"/>
      <c r="AQ965" s="43"/>
      <c r="AR965" s="43"/>
      <c r="AS965" s="43">
        <v>2.2000000477000001</v>
      </c>
      <c r="AT965" s="43">
        <v>2.9</v>
      </c>
      <c r="AU965" s="43">
        <v>3</v>
      </c>
      <c r="AV965" s="43">
        <v>3.1</v>
      </c>
      <c r="AW965" s="43"/>
      <c r="AX965" s="43">
        <v>3.1</v>
      </c>
      <c r="AY965" s="43"/>
      <c r="AZ965" s="43"/>
      <c r="BA965" s="43"/>
      <c r="BB965" s="43"/>
      <c r="BC965" s="43"/>
      <c r="BD965" s="43">
        <v>3.5</v>
      </c>
      <c r="BE965" s="43"/>
      <c r="BF965" s="43">
        <v>3.6</v>
      </c>
      <c r="BG965" s="43"/>
      <c r="BH965" s="43"/>
      <c r="BI965" s="43"/>
      <c r="BJ965" s="43"/>
      <c r="BK965" s="43"/>
      <c r="BL965" s="43"/>
      <c r="BM965" s="43"/>
      <c r="BN965" s="56">
        <f t="shared" si="27"/>
        <v>3.6</v>
      </c>
      <c r="BO965" s="428">
        <f>IF(BN965="No reported value",INDEX('WB HCW &amp; Beds'!$BU$831:$BU$835,MATCH($BP965,'WB HCW &amp; Beds'!$BS$831:$BS$835,0)),$BN965)</f>
        <v>3.6</v>
      </c>
      <c r="BP965" s="132" t="str">
        <f>INDEX('HCW + Staff Summary'!$E$7:$E$270,MATCH($B965,'HCW + Staff Summary'!$B$7:$B$270,0))</f>
        <v>Upper middle income</v>
      </c>
      <c r="BQ965" s="429">
        <f>INDEX('WB HCW &amp; Beds'!$BU$838:$BU$842,MATCH($BP965,'WB HCW &amp; Beds'!$BS$838:$BS$842,0))*100</f>
        <v>3.32</v>
      </c>
    </row>
    <row r="966" spans="2:69" x14ac:dyDescent="0.75">
      <c r="B966" s="43" t="s">
        <v>455</v>
      </c>
      <c r="C966" s="43" t="s">
        <v>456</v>
      </c>
      <c r="D966" s="43" t="s">
        <v>632</v>
      </c>
      <c r="E966" s="43" t="s">
        <v>633</v>
      </c>
      <c r="F966" s="43">
        <v>0.71009658523985075</v>
      </c>
      <c r="G966" s="43"/>
      <c r="H966" s="43"/>
      <c r="I966" s="43"/>
      <c r="J966" s="43"/>
      <c r="K966" s="43"/>
      <c r="L966" s="43"/>
      <c r="M966" s="43"/>
      <c r="N966" s="43"/>
      <c r="O966" s="43"/>
      <c r="P966" s="43">
        <v>0.80207928437426423</v>
      </c>
      <c r="Q966" s="43"/>
      <c r="R966" s="43"/>
      <c r="S966" s="43"/>
      <c r="T966" s="43"/>
      <c r="U966" s="43">
        <v>0.82883988980628598</v>
      </c>
      <c r="V966" s="43"/>
      <c r="W966" s="43"/>
      <c r="X966" s="43"/>
      <c r="Y966" s="43"/>
      <c r="Z966" s="43">
        <v>1.6251294374163854</v>
      </c>
      <c r="AA966" s="43">
        <v>1.5483147272079183</v>
      </c>
      <c r="AB966" s="43"/>
      <c r="AC966" s="43"/>
      <c r="AD966" s="43"/>
      <c r="AE966" s="43">
        <v>1.5212854158884335</v>
      </c>
      <c r="AF966" s="43"/>
      <c r="AG966" s="43"/>
      <c r="AH966" s="43"/>
      <c r="AI966" s="43"/>
      <c r="AJ966" s="43"/>
      <c r="AK966" s="43">
        <v>1.4456309119477027</v>
      </c>
      <c r="AL966" s="43"/>
      <c r="AM966" s="43"/>
      <c r="AN966" s="43"/>
      <c r="AO966" s="43"/>
      <c r="AP966" s="43"/>
      <c r="AQ966" s="43"/>
      <c r="AR966" s="43"/>
      <c r="AS966" s="43"/>
      <c r="AT966" s="43"/>
      <c r="AU966" s="43"/>
      <c r="AV966" s="43">
        <v>1.037127042461693</v>
      </c>
      <c r="AW966" s="43"/>
      <c r="AX966" s="43"/>
      <c r="AY966" s="43">
        <v>1.2586196330412807</v>
      </c>
      <c r="AZ966" s="43"/>
      <c r="BA966" s="43"/>
      <c r="BB966" s="43"/>
      <c r="BC966" s="43"/>
      <c r="BD966" s="43"/>
      <c r="BE966" s="43">
        <v>0.98612363139289738</v>
      </c>
      <c r="BF966" s="43"/>
      <c r="BG966" s="43"/>
      <c r="BH966" s="43"/>
      <c r="BI966" s="43"/>
      <c r="BJ966" s="43"/>
      <c r="BK966" s="43"/>
      <c r="BL966" s="43"/>
      <c r="BM966" s="43"/>
      <c r="BN966" s="56">
        <f t="shared" si="27"/>
        <v>0.98612363139289738</v>
      </c>
      <c r="BO966" s="428">
        <f>IF(BN966="No reported value",INDEX('WB HCW &amp; Beds'!$BU$831:$BU$835,MATCH($BP966,'WB HCW &amp; Beds'!$BS$831:$BS$835,0)),$BN966)</f>
        <v>0.98612363139289738</v>
      </c>
      <c r="BP966" s="132" t="str">
        <f>INDEX('HCW + Staff Summary'!$E$7:$E$270,MATCH($B966,'HCW + Staff Summary'!$B$7:$B$270,0))</f>
        <v>OUT</v>
      </c>
      <c r="BQ966" s="429">
        <f>INDEX('WB HCW &amp; Beds'!$BU$838:$BU$842,MATCH($BP966,'WB HCW &amp; Beds'!$BS$838:$BS$842,0))*100</f>
        <v>2.7250000000000001</v>
      </c>
    </row>
    <row r="967" spans="2:69" x14ac:dyDescent="0.75">
      <c r="B967" s="43" t="s">
        <v>451</v>
      </c>
      <c r="C967" s="43" t="s">
        <v>452</v>
      </c>
      <c r="D967" s="43" t="s">
        <v>632</v>
      </c>
      <c r="E967" s="43" t="s">
        <v>633</v>
      </c>
      <c r="F967" s="43"/>
      <c r="G967" s="43"/>
      <c r="H967" s="43"/>
      <c r="I967" s="43"/>
      <c r="J967" s="43"/>
      <c r="K967" s="43"/>
      <c r="L967" s="43"/>
      <c r="M967" s="43"/>
      <c r="N967" s="43"/>
      <c r="O967" s="43"/>
      <c r="P967" s="43">
        <v>1.3809891265196323</v>
      </c>
      <c r="Q967" s="43"/>
      <c r="R967" s="43"/>
      <c r="S967" s="43"/>
      <c r="T967" s="43"/>
      <c r="U967" s="43">
        <v>1.5386779054421782</v>
      </c>
      <c r="V967" s="43"/>
      <c r="W967" s="43"/>
      <c r="X967" s="43"/>
      <c r="Y967" s="43"/>
      <c r="Z967" s="43">
        <v>2.047324963833975</v>
      </c>
      <c r="AA967" s="43"/>
      <c r="AB967" s="43"/>
      <c r="AC967" s="43"/>
      <c r="AD967" s="43"/>
      <c r="AE967" s="43">
        <v>2.7742033139572886</v>
      </c>
      <c r="AF967" s="43"/>
      <c r="AG967" s="43"/>
      <c r="AH967" s="43"/>
      <c r="AI967" s="43"/>
      <c r="AJ967" s="43">
        <v>2.9768584535401952</v>
      </c>
      <c r="AK967" s="43">
        <v>2.6474835334785323</v>
      </c>
      <c r="AL967" s="43"/>
      <c r="AM967" s="43"/>
      <c r="AN967" s="43"/>
      <c r="AO967" s="43"/>
      <c r="AP967" s="43"/>
      <c r="AQ967" s="43"/>
      <c r="AR967" s="43"/>
      <c r="AS967" s="43"/>
      <c r="AT967" s="43"/>
      <c r="AU967" s="43"/>
      <c r="AV967" s="43">
        <v>2.0985518108309504</v>
      </c>
      <c r="AW967" s="43">
        <v>2.1767059671354705</v>
      </c>
      <c r="AX967" s="43"/>
      <c r="AY967" s="43">
        <v>2.1745182789746549</v>
      </c>
      <c r="AZ967" s="43"/>
      <c r="BA967" s="43"/>
      <c r="BB967" s="43"/>
      <c r="BC967" s="43"/>
      <c r="BD967" s="43"/>
      <c r="BE967" s="43">
        <v>2.4320061049447586</v>
      </c>
      <c r="BF967" s="43"/>
      <c r="BG967" s="43"/>
      <c r="BH967" s="43"/>
      <c r="BI967" s="43"/>
      <c r="BJ967" s="43"/>
      <c r="BK967" s="43"/>
      <c r="BL967" s="43"/>
      <c r="BM967" s="43"/>
      <c r="BN967" s="56">
        <f t="shared" si="27"/>
        <v>2.4320061049447586</v>
      </c>
      <c r="BO967" s="428">
        <f>IF(BN967="No reported value",INDEX('WB HCW &amp; Beds'!$BU$831:$BU$835,MATCH($BP967,'WB HCW &amp; Beds'!$BS$831:$BS$835,0)),$BN967)</f>
        <v>2.4320061049447586</v>
      </c>
      <c r="BP967" s="132" t="str">
        <f>INDEX('HCW + Staff Summary'!$E$7:$E$270,MATCH($B967,'HCW + Staff Summary'!$B$7:$B$270,0))</f>
        <v>OUT</v>
      </c>
      <c r="BQ967" s="429">
        <f>INDEX('WB HCW &amp; Beds'!$BU$838:$BU$842,MATCH($BP967,'WB HCW &amp; Beds'!$BS$838:$BS$842,0))*100</f>
        <v>2.7250000000000001</v>
      </c>
    </row>
    <row r="968" spans="2:69" x14ac:dyDescent="0.75">
      <c r="B968" s="43" t="s">
        <v>200</v>
      </c>
      <c r="C968" s="43" t="s">
        <v>167</v>
      </c>
      <c r="D968" s="43" t="s">
        <v>632</v>
      </c>
      <c r="E968" s="43" t="s">
        <v>633</v>
      </c>
      <c r="F968" s="43">
        <v>1.10372042655945</v>
      </c>
      <c r="G968" s="43"/>
      <c r="H968" s="43"/>
      <c r="I968" s="43"/>
      <c r="J968" s="43"/>
      <c r="K968" s="43"/>
      <c r="L968" s="43"/>
      <c r="M968" s="43"/>
      <c r="N968" s="43"/>
      <c r="O968" s="43"/>
      <c r="P968" s="43">
        <v>1.744500041008</v>
      </c>
      <c r="Q968" s="43"/>
      <c r="R968" s="43"/>
      <c r="S968" s="43"/>
      <c r="T968" s="43"/>
      <c r="U968" s="43">
        <v>1.6283999681472801</v>
      </c>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v>1.3</v>
      </c>
      <c r="BA968" s="43"/>
      <c r="BB968" s="43"/>
      <c r="BC968" s="43"/>
      <c r="BD968" s="43"/>
      <c r="BE968" s="43"/>
      <c r="BF968" s="43"/>
      <c r="BG968" s="43"/>
      <c r="BH968" s="43"/>
      <c r="BI968" s="43"/>
      <c r="BJ968" s="43"/>
      <c r="BK968" s="43"/>
      <c r="BL968" s="43"/>
      <c r="BM968" s="43"/>
      <c r="BN968" s="56">
        <f t="shared" si="27"/>
        <v>1.3</v>
      </c>
      <c r="BO968" s="428">
        <f>IF(BN968="No reported value",INDEX('WB HCW &amp; Beds'!$BU$831:$BU$835,MATCH($BP968,'WB HCW &amp; Beds'!$BS$831:$BS$835,0)),$BN968)</f>
        <v>1.3</v>
      </c>
      <c r="BP968" s="132" t="str">
        <f>INDEX('HCW + Staff Summary'!$E$7:$E$270,MATCH($B968,'HCW + Staff Summary'!$B$7:$B$270,0))</f>
        <v>Lower middle income</v>
      </c>
      <c r="BQ968" s="429">
        <f>INDEX('WB HCW &amp; Beds'!$BU$838:$BU$842,MATCH($BP968,'WB HCW &amp; Beds'!$BS$838:$BS$842,0))*100</f>
        <v>2.3800000000000003</v>
      </c>
    </row>
    <row r="969" spans="2:69" x14ac:dyDescent="0.75">
      <c r="B969" s="43" t="s">
        <v>435</v>
      </c>
      <c r="C969" s="43" t="s">
        <v>436</v>
      </c>
      <c r="D969" s="43" t="s">
        <v>632</v>
      </c>
      <c r="E969" s="43" t="s">
        <v>633</v>
      </c>
      <c r="F969" s="43"/>
      <c r="G969" s="43"/>
      <c r="H969" s="43"/>
      <c r="I969" s="43"/>
      <c r="J969" s="43"/>
      <c r="K969" s="43"/>
      <c r="L969" s="43"/>
      <c r="M969" s="43"/>
      <c r="N969" s="43"/>
      <c r="O969" s="43"/>
      <c r="P969" s="43">
        <v>1.9564033100507561</v>
      </c>
      <c r="Q969" s="43"/>
      <c r="R969" s="43"/>
      <c r="S969" s="43"/>
      <c r="T969" s="43"/>
      <c r="U969" s="43">
        <v>2.2361484699873388</v>
      </c>
      <c r="V969" s="43"/>
      <c r="W969" s="43"/>
      <c r="X969" s="43"/>
      <c r="Y969" s="43"/>
      <c r="Z969" s="43">
        <v>2.8202457563040717</v>
      </c>
      <c r="AA969" s="43">
        <v>2.7006847130432221</v>
      </c>
      <c r="AB969" s="43"/>
      <c r="AC969" s="43"/>
      <c r="AD969" s="43"/>
      <c r="AE969" s="43">
        <v>4.0339522633416749</v>
      </c>
      <c r="AF969" s="43">
        <v>4.0771112966991474</v>
      </c>
      <c r="AG969" s="43">
        <v>4.0637433594949313</v>
      </c>
      <c r="AH969" s="43">
        <v>4.1789333140794147</v>
      </c>
      <c r="AI969" s="43">
        <v>4.0147962327511761</v>
      </c>
      <c r="AJ969" s="43">
        <v>3.8877871336899656</v>
      </c>
      <c r="AK969" s="43">
        <v>4.0509509294539949</v>
      </c>
      <c r="AL969" s="43">
        <v>3.9745962079437631</v>
      </c>
      <c r="AM969" s="43">
        <v>3.9313110523409085</v>
      </c>
      <c r="AN969" s="43">
        <v>3.9160384262014802</v>
      </c>
      <c r="AO969" s="43">
        <v>3.8319244278430715</v>
      </c>
      <c r="AP969" s="43">
        <v>3.6726235840300401</v>
      </c>
      <c r="AQ969" s="43">
        <v>3.6006557187023986</v>
      </c>
      <c r="AR969" s="43">
        <v>3.6985277096140305</v>
      </c>
      <c r="AS969" s="43">
        <v>3.5613206338722323</v>
      </c>
      <c r="AT969" s="43">
        <v>3.4977379427890014</v>
      </c>
      <c r="AU969" s="43">
        <v>3.4024032797377171</v>
      </c>
      <c r="AV969" s="43">
        <v>3.3630944420286233</v>
      </c>
      <c r="AW969" s="43">
        <v>3.1801862390840969</v>
      </c>
      <c r="AX969" s="43">
        <v>3.6897837375995954</v>
      </c>
      <c r="AY969" s="43">
        <v>3.1701934077918215</v>
      </c>
      <c r="AZ969" s="43">
        <v>3.0735014821081235</v>
      </c>
      <c r="BA969" s="43"/>
      <c r="BB969" s="43"/>
      <c r="BC969" s="43">
        <v>4.3106498908310984</v>
      </c>
      <c r="BD969" s="43">
        <v>3.8515000888970148</v>
      </c>
      <c r="BE969" s="43">
        <v>3.9375128781156596</v>
      </c>
      <c r="BF969" s="43">
        <v>4.2193819656913014</v>
      </c>
      <c r="BG969" s="43"/>
      <c r="BH969" s="43"/>
      <c r="BI969" s="43"/>
      <c r="BJ969" s="43"/>
      <c r="BK969" s="43"/>
      <c r="BL969" s="43"/>
      <c r="BM969" s="43"/>
      <c r="BN969" s="56">
        <f t="shared" si="27"/>
        <v>4.2193819656913014</v>
      </c>
      <c r="BO969" s="428">
        <f>IF(BN969="No reported value",INDEX('WB HCW &amp; Beds'!$BU$831:$BU$835,MATCH($BP969,'WB HCW &amp; Beds'!$BS$831:$BS$835,0)),$BN969)</f>
        <v>4.2193819656913014</v>
      </c>
      <c r="BP969" s="132" t="str">
        <f>INDEX('HCW + Staff Summary'!$E$7:$E$270,MATCH($B969,'HCW + Staff Summary'!$B$7:$B$270,0))</f>
        <v>OUT</v>
      </c>
      <c r="BQ969" s="429">
        <f>INDEX('WB HCW &amp; Beds'!$BU$838:$BU$842,MATCH($BP969,'WB HCW &amp; Beds'!$BS$838:$BS$842,0))*100</f>
        <v>2.7250000000000001</v>
      </c>
    </row>
    <row r="970" spans="2:69" x14ac:dyDescent="0.75">
      <c r="B970" s="43" t="s">
        <v>450</v>
      </c>
      <c r="C970" s="43" t="s">
        <v>82</v>
      </c>
      <c r="D970" s="43" t="s">
        <v>632</v>
      </c>
      <c r="E970" s="43" t="s">
        <v>633</v>
      </c>
      <c r="F970" s="43"/>
      <c r="G970" s="43"/>
      <c r="H970" s="43"/>
      <c r="I970" s="43"/>
      <c r="J970" s="43"/>
      <c r="K970" s="43"/>
      <c r="L970" s="43"/>
      <c r="M970" s="43"/>
      <c r="N970" s="43"/>
      <c r="O970" s="43"/>
      <c r="P970" s="43"/>
      <c r="Q970" s="43"/>
      <c r="R970" s="43"/>
      <c r="S970" s="43"/>
      <c r="T970" s="43"/>
      <c r="U970" s="43"/>
      <c r="V970" s="43"/>
      <c r="W970" s="43"/>
      <c r="X970" s="43"/>
      <c r="Y970" s="43"/>
      <c r="Z970" s="43">
        <v>12.066399574279799</v>
      </c>
      <c r="AA970" s="43"/>
      <c r="AB970" s="43"/>
      <c r="AC970" s="43"/>
      <c r="AD970" s="43"/>
      <c r="AE970" s="43">
        <v>12.7760000228882</v>
      </c>
      <c r="AF970" s="43">
        <v>12.7692003250122</v>
      </c>
      <c r="AG970" s="43">
        <v>12.802900314331101</v>
      </c>
      <c r="AH970" s="43">
        <v>12.8053998947144</v>
      </c>
      <c r="AI970" s="43">
        <v>12.635800361633301</v>
      </c>
      <c r="AJ970" s="43">
        <v>12.487199783299999</v>
      </c>
      <c r="AK970" s="43">
        <v>12.465399742100001</v>
      </c>
      <c r="AL970" s="43">
        <v>12.0453996658</v>
      </c>
      <c r="AM970" s="43">
        <v>11.9105997086</v>
      </c>
      <c r="AN970" s="43">
        <v>11.283800125100001</v>
      </c>
      <c r="AO970" s="43">
        <v>11.0900001526</v>
      </c>
      <c r="AP970" s="43">
        <v>10.8800001144</v>
      </c>
      <c r="AQ970" s="43">
        <v>10.1899995804</v>
      </c>
      <c r="AR970" s="43">
        <v>10.029999733</v>
      </c>
      <c r="AS970" s="43">
        <v>9.8500003814999992</v>
      </c>
      <c r="AT970" s="43">
        <v>8.8000000000000007</v>
      </c>
      <c r="AU970" s="43">
        <v>8.3000000000000007</v>
      </c>
      <c r="AV970" s="43">
        <v>8.1</v>
      </c>
      <c r="AW970" s="43">
        <v>7.9</v>
      </c>
      <c r="AX970" s="43">
        <v>7.6</v>
      </c>
      <c r="AY970" s="43">
        <v>7.3</v>
      </c>
      <c r="AZ970" s="43">
        <v>7.1</v>
      </c>
      <c r="BA970" s="43">
        <v>7.2</v>
      </c>
      <c r="BB970" s="43">
        <v>6.8</v>
      </c>
      <c r="BC970" s="43">
        <v>6.8</v>
      </c>
      <c r="BD970" s="43">
        <v>7.2</v>
      </c>
      <c r="BE970" s="43">
        <v>7.4</v>
      </c>
      <c r="BF970" s="43">
        <v>7.4</v>
      </c>
      <c r="BG970" s="43">
        <v>7.3</v>
      </c>
      <c r="BH970" s="43"/>
      <c r="BI970" s="43"/>
      <c r="BJ970" s="43"/>
      <c r="BK970" s="43"/>
      <c r="BL970" s="43"/>
      <c r="BM970" s="43"/>
      <c r="BN970" s="56">
        <f t="shared" si="27"/>
        <v>7.3</v>
      </c>
      <c r="BO970" s="428">
        <f>IF(BN970="No reported value",INDEX('WB HCW &amp; Beds'!$BU$831:$BU$835,MATCH($BP970,'WB HCW &amp; Beds'!$BS$831:$BS$835,0)),$BN970)</f>
        <v>7.3</v>
      </c>
      <c r="BP970" s="132" t="str">
        <f>INDEX('HCW + Staff Summary'!$E$7:$E$270,MATCH($B970,'HCW + Staff Summary'!$B$7:$B$270,0))</f>
        <v>High income</v>
      </c>
      <c r="BQ970" s="429">
        <f>INDEX('WB HCW &amp; Beds'!$BU$838:$BU$842,MATCH($BP970,'WB HCW &amp; Beds'!$BS$838:$BS$842,0))*100</f>
        <v>3.5700000000000003</v>
      </c>
    </row>
    <row r="971" spans="2:69" x14ac:dyDescent="0.75">
      <c r="B971" s="43" t="s">
        <v>457</v>
      </c>
      <c r="C971" s="43" t="s">
        <v>83</v>
      </c>
      <c r="D971" s="43" t="s">
        <v>632</v>
      </c>
      <c r="E971" s="43" t="s">
        <v>633</v>
      </c>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v>8.1000003814697301</v>
      </c>
      <c r="AG971" s="43">
        <v>8</v>
      </c>
      <c r="AH971" s="43">
        <v>7.9000000953674299</v>
      </c>
      <c r="AI971" s="43">
        <v>7.8000001907348597</v>
      </c>
      <c r="AJ971" s="43">
        <v>7.5999999045999997</v>
      </c>
      <c r="AK971" s="43">
        <v>7.5</v>
      </c>
      <c r="AL971" s="43">
        <v>7.3000001906999996</v>
      </c>
      <c r="AM971" s="43">
        <v>7.4000000954000003</v>
      </c>
      <c r="AN971" s="43">
        <v>7.1999998093000004</v>
      </c>
      <c r="AO971" s="43">
        <v>7.0999999045999997</v>
      </c>
      <c r="AP971" s="43">
        <v>7</v>
      </c>
      <c r="AQ971" s="43">
        <v>6.9000000954000003</v>
      </c>
      <c r="AR971" s="43">
        <v>6.8000001906999996</v>
      </c>
      <c r="AS971" s="43">
        <v>6.3000001906999996</v>
      </c>
      <c r="AT971" s="43">
        <v>6.1999998093000004</v>
      </c>
      <c r="AU971" s="43">
        <v>6.0999999045999997</v>
      </c>
      <c r="AV971" s="43">
        <v>6</v>
      </c>
      <c r="AW971" s="43">
        <v>6</v>
      </c>
      <c r="AX971" s="43">
        <v>6.4</v>
      </c>
      <c r="AY971" s="43">
        <v>5.8</v>
      </c>
      <c r="AZ971" s="43">
        <v>5.7</v>
      </c>
      <c r="BA971" s="43">
        <v>5.7</v>
      </c>
      <c r="BB971" s="43">
        <v>5.6</v>
      </c>
      <c r="BC971" s="43">
        <v>5.6</v>
      </c>
      <c r="BD971" s="43">
        <v>5.4</v>
      </c>
      <c r="BE971" s="43">
        <v>5.3</v>
      </c>
      <c r="BF971" s="43">
        <v>5.2</v>
      </c>
      <c r="BG971" s="43">
        <v>5.0999999999999996</v>
      </c>
      <c r="BH971" s="43">
        <v>4.9000000000000004</v>
      </c>
      <c r="BI971" s="43">
        <v>4.8</v>
      </c>
      <c r="BJ971" s="43"/>
      <c r="BK971" s="43"/>
      <c r="BL971" s="43"/>
      <c r="BM971" s="43"/>
      <c r="BN971" s="56">
        <f t="shared" si="27"/>
        <v>4.8</v>
      </c>
      <c r="BO971" s="428">
        <f>IF(BN971="No reported value",INDEX('WB HCW &amp; Beds'!$BU$831:$BU$835,MATCH($BP971,'WB HCW &amp; Beds'!$BS$831:$BS$835,0)),$BN971)</f>
        <v>4.8</v>
      </c>
      <c r="BP971" s="132" t="str">
        <f>INDEX('HCW + Staff Summary'!$E$7:$E$270,MATCH($B971,'HCW + Staff Summary'!$B$7:$B$270,0))</f>
        <v>High income</v>
      </c>
      <c r="BQ971" s="429">
        <f>INDEX('WB HCW &amp; Beds'!$BU$838:$BU$842,MATCH($BP971,'WB HCW &amp; Beds'!$BS$838:$BS$842,0))*100</f>
        <v>3.5700000000000003</v>
      </c>
    </row>
    <row r="972" spans="2:69" x14ac:dyDescent="0.75">
      <c r="B972" s="43" t="s">
        <v>443</v>
      </c>
      <c r="C972" s="43" t="s">
        <v>84</v>
      </c>
      <c r="D972" s="43" t="s">
        <v>632</v>
      </c>
      <c r="E972" s="43" t="s">
        <v>633</v>
      </c>
      <c r="F972" s="43"/>
      <c r="G972" s="43"/>
      <c r="H972" s="43"/>
      <c r="I972" s="43"/>
      <c r="J972" s="43"/>
      <c r="K972" s="43"/>
      <c r="L972" s="43"/>
      <c r="M972" s="43"/>
      <c r="N972" s="43"/>
      <c r="O972" s="43"/>
      <c r="P972" s="43"/>
      <c r="Q972" s="43"/>
      <c r="R972" s="43"/>
      <c r="S972" s="43"/>
      <c r="T972" s="43"/>
      <c r="U972" s="43"/>
      <c r="V972" s="43"/>
      <c r="W972" s="43"/>
      <c r="X972" s="43"/>
      <c r="Y972" s="43"/>
      <c r="Z972" s="43">
        <v>13.8909997940063</v>
      </c>
      <c r="AA972" s="43"/>
      <c r="AB972" s="43"/>
      <c r="AC972" s="43"/>
      <c r="AD972" s="43"/>
      <c r="AE972" s="43">
        <v>14.308600425720201</v>
      </c>
      <c r="AF972" s="43">
        <v>14.192899703979499</v>
      </c>
      <c r="AG972" s="43">
        <v>14.239000320434601</v>
      </c>
      <c r="AH972" s="43">
        <v>14.0949001312256</v>
      </c>
      <c r="AI972" s="43">
        <v>14.023500442504901</v>
      </c>
      <c r="AJ972" s="43">
        <v>14.075400352500001</v>
      </c>
      <c r="AK972" s="43">
        <v>13.621899604799999</v>
      </c>
      <c r="AL972" s="43">
        <v>12.940600395200001</v>
      </c>
      <c r="AM972" s="43">
        <v>12.2314996719</v>
      </c>
      <c r="AN972" s="43">
        <v>12.0551996231</v>
      </c>
      <c r="AO972" s="43">
        <v>11.1899995804</v>
      </c>
      <c r="AP972" s="43">
        <v>10.4399995804</v>
      </c>
      <c r="AQ972" s="43">
        <v>9.8000001907000005</v>
      </c>
      <c r="AR972" s="43">
        <v>9.4099998474</v>
      </c>
      <c r="AS972" s="43">
        <v>9.0299997330000004</v>
      </c>
      <c r="AT972" s="43">
        <v>8.8000000000000007</v>
      </c>
      <c r="AU972" s="43">
        <v>8.3000000000000007</v>
      </c>
      <c r="AV972" s="43">
        <v>7.9</v>
      </c>
      <c r="AW972" s="43">
        <v>8</v>
      </c>
      <c r="AX972" s="43">
        <v>7.9</v>
      </c>
      <c r="AY972" s="43">
        <v>7.9</v>
      </c>
      <c r="AZ972" s="43">
        <v>7.8</v>
      </c>
      <c r="BA972" s="43">
        <v>7.8</v>
      </c>
      <c r="BB972" s="43">
        <v>7.8</v>
      </c>
      <c r="BC972" s="43">
        <v>6.7</v>
      </c>
      <c r="BD972" s="43">
        <v>5.7</v>
      </c>
      <c r="BE972" s="43">
        <v>5.9</v>
      </c>
      <c r="BF972" s="43">
        <v>5.9</v>
      </c>
      <c r="BG972" s="43">
        <v>5.8</v>
      </c>
      <c r="BH972" s="43"/>
      <c r="BI972" s="43"/>
      <c r="BJ972" s="43"/>
      <c r="BK972" s="43"/>
      <c r="BL972" s="43"/>
      <c r="BM972" s="43"/>
      <c r="BN972" s="56">
        <f t="shared" si="27"/>
        <v>5.8</v>
      </c>
      <c r="BO972" s="428">
        <f>IF(BN972="No reported value",INDEX('WB HCW &amp; Beds'!$BU$831:$BU$835,MATCH($BP972,'WB HCW &amp; Beds'!$BS$831:$BS$835,0)),$BN972)</f>
        <v>5.8</v>
      </c>
      <c r="BP972" s="132" t="str">
        <f>INDEX('HCW + Staff Summary'!$E$7:$E$270,MATCH($B972,'HCW + Staff Summary'!$B$7:$B$270,0))</f>
        <v>High income</v>
      </c>
      <c r="BQ972" s="429">
        <f>INDEX('WB HCW &amp; Beds'!$BU$838:$BU$842,MATCH($BP972,'WB HCW &amp; Beds'!$BS$838:$BS$842,0))*100</f>
        <v>3.5700000000000003</v>
      </c>
    </row>
    <row r="973" spans="2:69" x14ac:dyDescent="0.75">
      <c r="B973" s="43" t="s">
        <v>458</v>
      </c>
      <c r="C973" s="43" t="s">
        <v>459</v>
      </c>
      <c r="D973" s="43" t="s">
        <v>632</v>
      </c>
      <c r="E973" s="43" t="s">
        <v>633</v>
      </c>
      <c r="F973" s="43">
        <v>10.121386528015099</v>
      </c>
      <c r="G973" s="43"/>
      <c r="H973" s="43"/>
      <c r="I973" s="43"/>
      <c r="J973" s="43"/>
      <c r="K973" s="43"/>
      <c r="L973" s="43"/>
      <c r="M973" s="43"/>
      <c r="N973" s="43"/>
      <c r="O973" s="43"/>
      <c r="P973" s="43">
        <v>5.2953000068664604</v>
      </c>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56">
        <f t="shared" si="27"/>
        <v>5.2953000068664604</v>
      </c>
      <c r="BO973" s="428">
        <f>IF(BN973="No reported value",INDEX('WB HCW &amp; Beds'!$BU$831:$BU$835,MATCH($BP973,'WB HCW &amp; Beds'!$BS$831:$BS$835,0)),$BN973)</f>
        <v>5.2953000068664604</v>
      </c>
      <c r="BP973" s="132" t="str">
        <f>INDEX('HCW + Staff Summary'!$E$7:$E$270,MATCH($B973,'HCW + Staff Summary'!$B$7:$B$270,0))</f>
        <v>High income</v>
      </c>
      <c r="BQ973" s="429">
        <f>INDEX('WB HCW &amp; Beds'!$BU$838:$BU$842,MATCH($BP973,'WB HCW &amp; Beds'!$BS$838:$BS$842,0))*100</f>
        <v>3.5700000000000003</v>
      </c>
    </row>
    <row r="974" spans="2:69" x14ac:dyDescent="0.75">
      <c r="B974" s="43" t="s">
        <v>534</v>
      </c>
      <c r="C974" s="43" t="s">
        <v>535</v>
      </c>
      <c r="D974" s="43" t="s">
        <v>632</v>
      </c>
      <c r="E974" s="43" t="s">
        <v>633</v>
      </c>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56" t="str">
        <f t="shared" si="27"/>
        <v>No reported value</v>
      </c>
      <c r="BO974" s="428">
        <f>IF(BN974="No reported value",INDEX('WB HCW &amp; Beds'!$BU$831:$BU$835,MATCH($BP974,'WB HCW &amp; Beds'!$BS$831:$BS$835,0)),$BN974)</f>
        <v>4.82</v>
      </c>
      <c r="BP974" s="132" t="str">
        <f>INDEX('HCW + Staff Summary'!$E$7:$E$270,MATCH($B974,'HCW + Staff Summary'!$B$7:$B$270,0))</f>
        <v>High income</v>
      </c>
      <c r="BQ974" s="429">
        <f>INDEX('WB HCW &amp; Beds'!$BU$838:$BU$842,MATCH($BP974,'WB HCW &amp; Beds'!$BS$838:$BS$842,0))*100</f>
        <v>3.5700000000000003</v>
      </c>
    </row>
    <row r="975" spans="2:69" x14ac:dyDescent="0.75">
      <c r="B975" s="43" t="s">
        <v>477</v>
      </c>
      <c r="C975" s="43" t="s">
        <v>85</v>
      </c>
      <c r="D975" s="43" t="s">
        <v>632</v>
      </c>
      <c r="E975" s="43" t="s">
        <v>633</v>
      </c>
      <c r="F975" s="43">
        <v>1.5984001159668</v>
      </c>
      <c r="G975" s="43"/>
      <c r="H975" s="43"/>
      <c r="I975" s="43"/>
      <c r="J975" s="43"/>
      <c r="K975" s="43"/>
      <c r="L975" s="43"/>
      <c r="M975" s="43"/>
      <c r="N975" s="43"/>
      <c r="O975" s="43"/>
      <c r="P975" s="43">
        <v>1.47420001029968</v>
      </c>
      <c r="Q975" s="43"/>
      <c r="R975" s="43"/>
      <c r="S975" s="43"/>
      <c r="T975" s="43"/>
      <c r="U975" s="43">
        <v>1.42859995365143</v>
      </c>
      <c r="V975" s="43"/>
      <c r="W975" s="43"/>
      <c r="X975" s="43"/>
      <c r="Y975" s="43"/>
      <c r="Z975" s="43"/>
      <c r="AA975" s="43">
        <v>1.22819995880127</v>
      </c>
      <c r="AB975" s="43"/>
      <c r="AC975" s="43"/>
      <c r="AD975" s="43"/>
      <c r="AE975" s="43">
        <v>1.26689994335175</v>
      </c>
      <c r="AF975" s="43"/>
      <c r="AG975" s="43"/>
      <c r="AH975" s="43"/>
      <c r="AI975" s="43"/>
      <c r="AJ975" s="43">
        <v>1.2899999619</v>
      </c>
      <c r="AK975" s="43"/>
      <c r="AL975" s="43"/>
      <c r="AM975" s="43"/>
      <c r="AN975" s="43">
        <v>1.1123000382999999</v>
      </c>
      <c r="AO975" s="43"/>
      <c r="AP975" s="43"/>
      <c r="AQ975" s="43">
        <v>0.98000001910000001</v>
      </c>
      <c r="AR975" s="43"/>
      <c r="AS975" s="43"/>
      <c r="AT975" s="43">
        <v>1.1000000000000001</v>
      </c>
      <c r="AU975" s="43">
        <v>0.9</v>
      </c>
      <c r="AV975" s="43">
        <v>1.1000000000000001</v>
      </c>
      <c r="AW975" s="43">
        <v>0.8</v>
      </c>
      <c r="AX975" s="43">
        <v>0.9</v>
      </c>
      <c r="AY975" s="43">
        <v>0.9</v>
      </c>
      <c r="AZ975" s="43">
        <v>0.9</v>
      </c>
      <c r="BA975" s="43">
        <v>0.9</v>
      </c>
      <c r="BB975" s="43">
        <v>1.1000000000000001</v>
      </c>
      <c r="BC975" s="43">
        <v>1.1000000000000001</v>
      </c>
      <c r="BD975" s="43">
        <v>1.1000000000000001</v>
      </c>
      <c r="BE975" s="43">
        <v>0.9</v>
      </c>
      <c r="BF975" s="43">
        <v>0.9</v>
      </c>
      <c r="BG975" s="43">
        <v>0.9</v>
      </c>
      <c r="BH975" s="43">
        <v>1.1000000000000001</v>
      </c>
      <c r="BI975" s="43"/>
      <c r="BJ975" s="43"/>
      <c r="BK975" s="43"/>
      <c r="BL975" s="43"/>
      <c r="BM975" s="43"/>
      <c r="BN975" s="56">
        <f t="shared" si="27"/>
        <v>1.1000000000000001</v>
      </c>
      <c r="BO975" s="428">
        <f>IF(BN975="No reported value",INDEX('WB HCW &amp; Beds'!$BU$831:$BU$835,MATCH($BP975,'WB HCW &amp; Beds'!$BS$831:$BS$835,0)),$BN975)</f>
        <v>1.1000000000000001</v>
      </c>
      <c r="BP975" s="132" t="str">
        <f>INDEX('HCW + Staff Summary'!$E$7:$E$270,MATCH($B975,'HCW + Staff Summary'!$B$7:$B$270,0))</f>
        <v>Lower middle income</v>
      </c>
      <c r="BQ975" s="429">
        <f>INDEX('WB HCW &amp; Beds'!$BU$838:$BU$842,MATCH($BP975,'WB HCW &amp; Beds'!$BS$838:$BS$842,0))*100</f>
        <v>2.3800000000000003</v>
      </c>
    </row>
    <row r="976" spans="2:69" x14ac:dyDescent="0.75">
      <c r="B976" s="43" t="s">
        <v>475</v>
      </c>
      <c r="C976" s="43" t="s">
        <v>86</v>
      </c>
      <c r="D976" s="43" t="s">
        <v>632</v>
      </c>
      <c r="E976" s="43" t="s">
        <v>633</v>
      </c>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v>18.107099533081101</v>
      </c>
      <c r="AJ976" s="43"/>
      <c r="AK976" s="43"/>
      <c r="AL976" s="43">
        <v>21.678600311299999</v>
      </c>
      <c r="AM976" s="43"/>
      <c r="AN976" s="43"/>
      <c r="AO976" s="43">
        <v>19.5699996948</v>
      </c>
      <c r="AP976" s="43"/>
      <c r="AQ976" s="43"/>
      <c r="AR976" s="43"/>
      <c r="AS976" s="43"/>
      <c r="AT976" s="43"/>
      <c r="AU976" s="43"/>
      <c r="AV976" s="43"/>
      <c r="AW976" s="43"/>
      <c r="AX976" s="43"/>
      <c r="AY976" s="43"/>
      <c r="AZ976" s="43"/>
      <c r="BA976" s="43"/>
      <c r="BB976" s="43"/>
      <c r="BC976" s="43"/>
      <c r="BD976" s="43"/>
      <c r="BE976" s="43">
        <v>16.46</v>
      </c>
      <c r="BF976" s="43">
        <v>13.8</v>
      </c>
      <c r="BG976" s="43"/>
      <c r="BH976" s="43"/>
      <c r="BI976" s="43"/>
      <c r="BJ976" s="43"/>
      <c r="BK976" s="43"/>
      <c r="BL976" s="43"/>
      <c r="BM976" s="43"/>
      <c r="BN976" s="56">
        <f t="shared" si="27"/>
        <v>13.8</v>
      </c>
      <c r="BO976" s="428">
        <f>IF(BN976="No reported value",INDEX('WB HCW &amp; Beds'!$BU$831:$BU$835,MATCH($BP976,'WB HCW &amp; Beds'!$BS$831:$BS$835,0)),$BN976)</f>
        <v>13.8</v>
      </c>
      <c r="BP976" s="132" t="str">
        <f>INDEX('HCW + Staff Summary'!$E$7:$E$270,MATCH($B976,'HCW + Staff Summary'!$B$7:$B$270,0))</f>
        <v>High income</v>
      </c>
      <c r="BQ976" s="429">
        <f>INDEX('WB HCW &amp; Beds'!$BU$838:$BU$842,MATCH($BP976,'WB HCW &amp; Beds'!$BS$838:$BS$842,0))*100</f>
        <v>3.5700000000000003</v>
      </c>
    </row>
    <row r="977" spans="2:69" x14ac:dyDescent="0.75">
      <c r="B977" s="43" t="s">
        <v>474</v>
      </c>
      <c r="C977" s="43" t="s">
        <v>87</v>
      </c>
      <c r="D977" s="43" t="s">
        <v>632</v>
      </c>
      <c r="E977" s="43" t="s">
        <v>633</v>
      </c>
      <c r="F977" s="43"/>
      <c r="G977" s="43"/>
      <c r="H977" s="43"/>
      <c r="I977" s="43"/>
      <c r="J977" s="43"/>
      <c r="K977" s="43"/>
      <c r="L977" s="43"/>
      <c r="M977" s="43"/>
      <c r="N977" s="43"/>
      <c r="O977" s="43"/>
      <c r="P977" s="43"/>
      <c r="Q977" s="43"/>
      <c r="R977" s="43"/>
      <c r="S977" s="43"/>
      <c r="T977" s="43"/>
      <c r="U977" s="43"/>
      <c r="V977" s="43"/>
      <c r="W977" s="43"/>
      <c r="X977" s="43"/>
      <c r="Y977" s="43"/>
      <c r="Z977" s="43">
        <v>12.0548000335693</v>
      </c>
      <c r="AA977" s="43">
        <v>12.082099914550801</v>
      </c>
      <c r="AB977" s="43">
        <v>12.051099777221699</v>
      </c>
      <c r="AC977" s="43">
        <v>12.0797996520996</v>
      </c>
      <c r="AD977" s="43">
        <v>12.143500328064</v>
      </c>
      <c r="AE977" s="43">
        <v>12.2204999923706</v>
      </c>
      <c r="AF977" s="43">
        <v>12.4355001449585</v>
      </c>
      <c r="AG977" s="43">
        <v>12.667599678039601</v>
      </c>
      <c r="AH977" s="43">
        <v>12.763699531555201</v>
      </c>
      <c r="AI977" s="43">
        <v>12.727499961853001</v>
      </c>
      <c r="AJ977" s="43">
        <v>13.1478004456</v>
      </c>
      <c r="AK977" s="43">
        <v>13.116200447100001</v>
      </c>
      <c r="AL977" s="43">
        <v>12.790300369300001</v>
      </c>
      <c r="AM977" s="43">
        <v>12.4827003479</v>
      </c>
      <c r="AN977" s="43">
        <v>12.2215003967</v>
      </c>
      <c r="AO977" s="43">
        <v>12.2100000381</v>
      </c>
      <c r="AP977" s="43">
        <v>12.1300001144</v>
      </c>
      <c r="AQ977" s="43">
        <v>11.6199998856</v>
      </c>
      <c r="AR977" s="43">
        <v>11.2299995422</v>
      </c>
      <c r="AS977" s="43">
        <v>8.1899995804000003</v>
      </c>
      <c r="AT977" s="43">
        <v>6</v>
      </c>
      <c r="AU977" s="43">
        <v>5.9</v>
      </c>
      <c r="AV977" s="43">
        <v>5.8</v>
      </c>
      <c r="AW977" s="43">
        <v>6.7</v>
      </c>
      <c r="AX977" s="43">
        <v>6.4</v>
      </c>
      <c r="AY977" s="43">
        <v>6.4</v>
      </c>
      <c r="AZ977" s="43">
        <v>6.3</v>
      </c>
      <c r="BA977" s="43">
        <v>6.1</v>
      </c>
      <c r="BB977" s="43">
        <v>6.1</v>
      </c>
      <c r="BC977" s="43">
        <v>6.2</v>
      </c>
      <c r="BD977" s="43">
        <v>6.2</v>
      </c>
      <c r="BE977" s="43">
        <v>6.2</v>
      </c>
      <c r="BF977" s="43">
        <v>6.2</v>
      </c>
      <c r="BG977" s="43">
        <v>5.8</v>
      </c>
      <c r="BH977" s="43"/>
      <c r="BI977" s="43"/>
      <c r="BJ977" s="43"/>
      <c r="BK977" s="43"/>
      <c r="BL977" s="43"/>
      <c r="BM977" s="43"/>
      <c r="BN977" s="56">
        <f t="shared" si="27"/>
        <v>5.8</v>
      </c>
      <c r="BO977" s="428">
        <f>IF(BN977="No reported value",INDEX('WB HCW &amp; Beds'!$BU$831:$BU$835,MATCH($BP977,'WB HCW &amp; Beds'!$BS$831:$BS$835,0)),$BN977)</f>
        <v>5.8</v>
      </c>
      <c r="BP977" s="132" t="str">
        <f>INDEX('HCW + Staff Summary'!$E$7:$E$270,MATCH($B977,'HCW + Staff Summary'!$B$7:$B$270,0))</f>
        <v>Lower middle income</v>
      </c>
      <c r="BQ977" s="429">
        <f>INDEX('WB HCW &amp; Beds'!$BU$838:$BU$842,MATCH($BP977,'WB HCW &amp; Beds'!$BS$838:$BS$842,0))*100</f>
        <v>2.3800000000000003</v>
      </c>
    </row>
    <row r="978" spans="2:69" x14ac:dyDescent="0.75">
      <c r="B978" s="43" t="s">
        <v>202</v>
      </c>
      <c r="C978" s="43" t="s">
        <v>88</v>
      </c>
      <c r="D978" s="43" t="s">
        <v>632</v>
      </c>
      <c r="E978" s="43" t="s">
        <v>633</v>
      </c>
      <c r="F978" s="43">
        <v>2.4061858654022199</v>
      </c>
      <c r="G978" s="43"/>
      <c r="H978" s="43"/>
      <c r="I978" s="43"/>
      <c r="J978" s="43"/>
      <c r="K978" s="43"/>
      <c r="L978" s="43"/>
      <c r="M978" s="43"/>
      <c r="N978" s="43"/>
      <c r="O978" s="43"/>
      <c r="P978" s="43">
        <v>2.79080009460449</v>
      </c>
      <c r="Q978" s="43"/>
      <c r="R978" s="43"/>
      <c r="S978" s="43"/>
      <c r="T978" s="43"/>
      <c r="U978" s="43">
        <v>2.4312999248504599</v>
      </c>
      <c r="V978" s="43"/>
      <c r="W978" s="43"/>
      <c r="X978" s="43"/>
      <c r="Y978" s="43"/>
      <c r="Z978" s="43"/>
      <c r="AA978" s="43"/>
      <c r="AB978" s="43"/>
      <c r="AC978" s="43"/>
      <c r="AD978" s="43"/>
      <c r="AE978" s="43"/>
      <c r="AF978" s="43"/>
      <c r="AG978" s="43"/>
      <c r="AH978" s="43"/>
      <c r="AI978" s="43"/>
      <c r="AJ978" s="43">
        <v>0.93599998949999996</v>
      </c>
      <c r="AK978" s="43"/>
      <c r="AL978" s="43"/>
      <c r="AM978" s="43"/>
      <c r="AN978" s="43"/>
      <c r="AO978" s="43"/>
      <c r="AP978" s="43"/>
      <c r="AQ978" s="43"/>
      <c r="AR978" s="43"/>
      <c r="AS978" s="43"/>
      <c r="AT978" s="43"/>
      <c r="AU978" s="43"/>
      <c r="AV978" s="43">
        <v>0.41999998690000001</v>
      </c>
      <c r="AW978" s="43"/>
      <c r="AX978" s="43"/>
      <c r="AY978" s="43">
        <v>0.3</v>
      </c>
      <c r="AZ978" s="43"/>
      <c r="BA978" s="43"/>
      <c r="BB978" s="43"/>
      <c r="BC978" s="43"/>
      <c r="BD978" s="43">
        <v>0.2</v>
      </c>
      <c r="BE978" s="43"/>
      <c r="BF978" s="43"/>
      <c r="BG978" s="43"/>
      <c r="BH978" s="43"/>
      <c r="BI978" s="43"/>
      <c r="BJ978" s="43"/>
      <c r="BK978" s="43"/>
      <c r="BL978" s="43"/>
      <c r="BM978" s="43"/>
      <c r="BN978" s="56">
        <f t="shared" si="27"/>
        <v>0.2</v>
      </c>
      <c r="BO978" s="428">
        <f>IF(BN978="No reported value",INDEX('WB HCW &amp; Beds'!$BU$831:$BU$835,MATCH($BP978,'WB HCW &amp; Beds'!$BS$831:$BS$835,0)),$BN978)</f>
        <v>0.2</v>
      </c>
      <c r="BP978" s="132" t="str">
        <f>INDEX('HCW + Staff Summary'!$E$7:$E$270,MATCH($B978,'HCW + Staff Summary'!$B$7:$B$270,0))</f>
        <v>Low income</v>
      </c>
      <c r="BQ978" s="429">
        <f>INDEX('WB HCW &amp; Beds'!$BU$838:$BU$842,MATCH($BP978,'WB HCW &amp; Beds'!$BS$838:$BS$842,0))*100</f>
        <v>1.63</v>
      </c>
    </row>
    <row r="979" spans="2:69" x14ac:dyDescent="0.75">
      <c r="B979" s="43" t="s">
        <v>243</v>
      </c>
      <c r="C979" s="43" t="s">
        <v>89</v>
      </c>
      <c r="D979" s="43" t="s">
        <v>632</v>
      </c>
      <c r="E979" s="43" t="s">
        <v>633</v>
      </c>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v>0.76279997830000001</v>
      </c>
      <c r="AK979" s="43"/>
      <c r="AL979" s="43"/>
      <c r="AM979" s="43"/>
      <c r="AN979" s="43"/>
      <c r="AO979" s="43"/>
      <c r="AP979" s="43"/>
      <c r="AQ979" s="43"/>
      <c r="AR979" s="43"/>
      <c r="AS979" s="43"/>
      <c r="AT979" s="43">
        <v>1.7000000476999999</v>
      </c>
      <c r="AU979" s="43"/>
      <c r="AV979" s="43">
        <v>2.2599999999999998</v>
      </c>
      <c r="AW979" s="43">
        <v>2.2999999999999998</v>
      </c>
      <c r="AX979" s="43"/>
      <c r="AY979" s="43">
        <v>2.6</v>
      </c>
      <c r="AZ979" s="43"/>
      <c r="BA979" s="43"/>
      <c r="BB979" s="43"/>
      <c r="BC979" s="43">
        <v>4.3</v>
      </c>
      <c r="BD979" s="43"/>
      <c r="BE979" s="43"/>
      <c r="BF979" s="43"/>
      <c r="BG979" s="43"/>
      <c r="BH979" s="43"/>
      <c r="BI979" s="43"/>
      <c r="BJ979" s="43"/>
      <c r="BK979" s="43"/>
      <c r="BL979" s="43"/>
      <c r="BM979" s="43"/>
      <c r="BN979" s="56">
        <f t="shared" si="27"/>
        <v>4.3</v>
      </c>
      <c r="BO979" s="428">
        <f>IF(BN979="No reported value",INDEX('WB HCW &amp; Beds'!$BU$831:$BU$835,MATCH($BP979,'WB HCW &amp; Beds'!$BS$831:$BS$835,0)),$BN979)</f>
        <v>4.3</v>
      </c>
      <c r="BP979" s="132" t="str">
        <f>INDEX('HCW + Staff Summary'!$E$7:$E$270,MATCH($B979,'HCW + Staff Summary'!$B$7:$B$270,0))</f>
        <v>Upper middle income</v>
      </c>
      <c r="BQ979" s="429">
        <f>INDEX('WB HCW &amp; Beds'!$BU$838:$BU$842,MATCH($BP979,'WB HCW &amp; Beds'!$BS$838:$BS$842,0))*100</f>
        <v>3.32</v>
      </c>
    </row>
    <row r="980" spans="2:69" x14ac:dyDescent="0.75">
      <c r="B980" s="43" t="s">
        <v>466</v>
      </c>
      <c r="C980" s="43" t="s">
        <v>467</v>
      </c>
      <c r="D980" s="43" t="s">
        <v>632</v>
      </c>
      <c r="E980" s="43" t="s">
        <v>633</v>
      </c>
      <c r="F980" s="43">
        <v>1.9331006354810449</v>
      </c>
      <c r="G980" s="43"/>
      <c r="H980" s="43"/>
      <c r="I980" s="43"/>
      <c r="J980" s="43"/>
      <c r="K980" s="43"/>
      <c r="L980" s="43"/>
      <c r="M980" s="43"/>
      <c r="N980" s="43"/>
      <c r="O980" s="43"/>
      <c r="P980" s="43">
        <v>1.8984589445131266</v>
      </c>
      <c r="Q980" s="43"/>
      <c r="R980" s="43"/>
      <c r="S980" s="43"/>
      <c r="T980" s="43"/>
      <c r="U980" s="43"/>
      <c r="V980" s="43"/>
      <c r="W980" s="43"/>
      <c r="X980" s="43"/>
      <c r="Y980" s="43"/>
      <c r="Z980" s="43"/>
      <c r="AA980" s="43">
        <v>1.8709647439563779</v>
      </c>
      <c r="AB980" s="43"/>
      <c r="AC980" s="43"/>
      <c r="AD980" s="43"/>
      <c r="AE980" s="43"/>
      <c r="AF980" s="43"/>
      <c r="AG980" s="43"/>
      <c r="AH980" s="43"/>
      <c r="AI980" s="43"/>
      <c r="AJ980" s="43">
        <v>1.8919620267560249</v>
      </c>
      <c r="AK980" s="43"/>
      <c r="AL980" s="43"/>
      <c r="AM980" s="43"/>
      <c r="AN980" s="43"/>
      <c r="AO980" s="43"/>
      <c r="AP980" s="43"/>
      <c r="AQ980" s="43"/>
      <c r="AR980" s="43"/>
      <c r="AS980" s="43"/>
      <c r="AT980" s="43">
        <v>1.7659167239228928</v>
      </c>
      <c r="AU980" s="43">
        <v>1.8182944247353938</v>
      </c>
      <c r="AV980" s="43">
        <v>1.7626533153357449</v>
      </c>
      <c r="AW980" s="43">
        <v>1.7627151693959011</v>
      </c>
      <c r="AX980" s="43">
        <v>1.7772822143972107</v>
      </c>
      <c r="AY980" s="43">
        <v>1.7923227634318644</v>
      </c>
      <c r="AZ980" s="43">
        <v>1.8157934979566144</v>
      </c>
      <c r="BA980" s="43">
        <v>1.8277705466910841</v>
      </c>
      <c r="BB980" s="43">
        <v>1.7198605008500722</v>
      </c>
      <c r="BC980" s="43">
        <v>1.62501364348276</v>
      </c>
      <c r="BD980" s="43">
        <v>1.6876448870614831</v>
      </c>
      <c r="BE980" s="43">
        <v>1.3566931117735375</v>
      </c>
      <c r="BF980" s="43">
        <v>1.019362489761594</v>
      </c>
      <c r="BG980" s="43">
        <v>1.3156322885474596</v>
      </c>
      <c r="BH980" s="43">
        <v>1.6284850711859378</v>
      </c>
      <c r="BI980" s="43"/>
      <c r="BJ980" s="43"/>
      <c r="BK980" s="43"/>
      <c r="BL980" s="43"/>
      <c r="BM980" s="43"/>
      <c r="BN980" s="56">
        <f t="shared" si="27"/>
        <v>1.6284850711859378</v>
      </c>
      <c r="BO980" s="428">
        <f>IF(BN980="No reported value",INDEX('WB HCW &amp; Beds'!$BU$831:$BU$835,MATCH($BP980,'WB HCW &amp; Beds'!$BS$831:$BS$835,0)),$BN980)</f>
        <v>1.6284850711859378</v>
      </c>
      <c r="BP980" s="132" t="str">
        <f>INDEX('HCW + Staff Summary'!$E$7:$E$270,MATCH($B980,'HCW + Staff Summary'!$B$7:$B$270,0))</f>
        <v>OUT</v>
      </c>
      <c r="BQ980" s="429">
        <f>INDEX('WB HCW &amp; Beds'!$BU$838:$BU$842,MATCH($BP980,'WB HCW &amp; Beds'!$BS$838:$BS$842,0))*100</f>
        <v>2.7250000000000001</v>
      </c>
    </row>
    <row r="981" spans="2:69" x14ac:dyDescent="0.75">
      <c r="B981" s="43" t="s">
        <v>463</v>
      </c>
      <c r="C981" s="43" t="s">
        <v>90</v>
      </c>
      <c r="D981" s="43" t="s">
        <v>632</v>
      </c>
      <c r="E981" s="43" t="s">
        <v>633</v>
      </c>
      <c r="F981" s="43"/>
      <c r="G981" s="43"/>
      <c r="H981" s="43"/>
      <c r="I981" s="43"/>
      <c r="J981" s="43"/>
      <c r="K981" s="43"/>
      <c r="L981" s="43"/>
      <c r="M981" s="43"/>
      <c r="N981" s="43"/>
      <c r="O981" s="43"/>
      <c r="P981" s="43"/>
      <c r="Q981" s="43"/>
      <c r="R981" s="43"/>
      <c r="S981" s="43"/>
      <c r="T981" s="43"/>
      <c r="U981" s="43"/>
      <c r="V981" s="43"/>
      <c r="W981" s="43"/>
      <c r="X981" s="43"/>
      <c r="Y981" s="43"/>
      <c r="Z981" s="43">
        <v>0.69999998807907104</v>
      </c>
      <c r="AA981" s="43"/>
      <c r="AB981" s="43"/>
      <c r="AC981" s="43"/>
      <c r="AD981" s="43"/>
      <c r="AE981" s="43"/>
      <c r="AF981" s="43"/>
      <c r="AG981" s="43"/>
      <c r="AH981" s="43"/>
      <c r="AI981" s="43"/>
      <c r="AJ981" s="43">
        <v>1</v>
      </c>
      <c r="AK981" s="43">
        <v>1.1000000238000001</v>
      </c>
      <c r="AL981" s="43">
        <v>1.2000000476999999</v>
      </c>
      <c r="AM981" s="43">
        <v>1.2000000476999999</v>
      </c>
      <c r="AN981" s="43">
        <v>1.2000000476999999</v>
      </c>
      <c r="AO981" s="43">
        <v>1.2000000476999999</v>
      </c>
      <c r="AP981" s="43">
        <v>1.2000000476999999</v>
      </c>
      <c r="AQ981" s="43">
        <v>1.1000000238000001</v>
      </c>
      <c r="AR981" s="43">
        <v>1.1000000238000001</v>
      </c>
      <c r="AS981" s="43">
        <v>1.1000000238000001</v>
      </c>
      <c r="AT981" s="43">
        <v>1.1000000238000001</v>
      </c>
      <c r="AU981" s="43">
        <v>1.1000000238000001</v>
      </c>
      <c r="AV981" s="43">
        <v>1.1000000238000001</v>
      </c>
      <c r="AW981" s="43">
        <v>1</v>
      </c>
      <c r="AX981" s="43">
        <v>1</v>
      </c>
      <c r="AY981" s="43"/>
      <c r="AZ981" s="43">
        <v>1.6</v>
      </c>
      <c r="BA981" s="43">
        <v>1.7</v>
      </c>
      <c r="BB981" s="43">
        <v>1.6</v>
      </c>
      <c r="BC981" s="43">
        <v>1.6</v>
      </c>
      <c r="BD981" s="43">
        <v>1.7</v>
      </c>
      <c r="BE981" s="43">
        <v>1.5</v>
      </c>
      <c r="BF981" s="43">
        <v>1.5</v>
      </c>
      <c r="BG981" s="43">
        <v>1.6</v>
      </c>
      <c r="BH981" s="43"/>
      <c r="BI981" s="43">
        <v>1.5</v>
      </c>
      <c r="BJ981" s="43"/>
      <c r="BK981" s="43"/>
      <c r="BL981" s="43"/>
      <c r="BM981" s="43"/>
      <c r="BN981" s="56">
        <f t="shared" si="27"/>
        <v>1.5</v>
      </c>
      <c r="BO981" s="428">
        <f>IF(BN981="No reported value",INDEX('WB HCW &amp; Beds'!$BU$831:$BU$835,MATCH($BP981,'WB HCW &amp; Beds'!$BS$831:$BS$835,0)),$BN981)</f>
        <v>1.5</v>
      </c>
      <c r="BP981" s="132" t="str">
        <f>INDEX('HCW + Staff Summary'!$E$7:$E$270,MATCH($B981,'HCW + Staff Summary'!$B$7:$B$270,0))</f>
        <v>Upper middle income</v>
      </c>
      <c r="BQ981" s="429">
        <f>INDEX('WB HCW &amp; Beds'!$BU$838:$BU$842,MATCH($BP981,'WB HCW &amp; Beds'!$BS$838:$BS$842,0))*100</f>
        <v>3.32</v>
      </c>
    </row>
    <row r="982" spans="2:69" x14ac:dyDescent="0.75">
      <c r="B982" s="43" t="s">
        <v>462</v>
      </c>
      <c r="C982" s="43" t="s">
        <v>91</v>
      </c>
      <c r="D982" s="43" t="s">
        <v>632</v>
      </c>
      <c r="E982" s="43" t="s">
        <v>633</v>
      </c>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v>2.2727000713000001</v>
      </c>
      <c r="AK982" s="43"/>
      <c r="AL982" s="43"/>
      <c r="AM982" s="43"/>
      <c r="AN982" s="43"/>
      <c r="AO982" s="43"/>
      <c r="AP982" s="43"/>
      <c r="AQ982" s="43"/>
      <c r="AR982" s="43"/>
      <c r="AS982" s="43">
        <v>2.1</v>
      </c>
      <c r="AT982" s="43"/>
      <c r="AU982" s="43"/>
      <c r="AV982" s="43"/>
      <c r="AW982" s="43"/>
      <c r="AX982" s="43"/>
      <c r="AY982" s="43"/>
      <c r="AZ982" s="43"/>
      <c r="BA982" s="43"/>
      <c r="BB982" s="43"/>
      <c r="BC982" s="43">
        <v>2.7</v>
      </c>
      <c r="BD982" s="43">
        <v>2.7</v>
      </c>
      <c r="BE982" s="43"/>
      <c r="BF982" s="43"/>
      <c r="BG982" s="43"/>
      <c r="BH982" s="43"/>
      <c r="BI982" s="43"/>
      <c r="BJ982" s="43"/>
      <c r="BK982" s="43"/>
      <c r="BL982" s="43"/>
      <c r="BM982" s="43"/>
      <c r="BN982" s="56">
        <f t="shared" si="27"/>
        <v>2.7</v>
      </c>
      <c r="BO982" s="428">
        <f>IF(BN982="No reported value",INDEX('WB HCW &amp; Beds'!$BU$831:$BU$835,MATCH($BP982,'WB HCW &amp; Beds'!$BS$831:$BS$835,0)),$BN982)</f>
        <v>2.7</v>
      </c>
      <c r="BP982" s="132" t="str">
        <f>INDEX('HCW + Staff Summary'!$E$7:$E$270,MATCH($B982,'HCW + Staff Summary'!$B$7:$B$270,0))</f>
        <v>Upper middle income</v>
      </c>
      <c r="BQ982" s="429">
        <f>INDEX('WB HCW &amp; Beds'!$BU$838:$BU$842,MATCH($BP982,'WB HCW &amp; Beds'!$BS$838:$BS$842,0))*100</f>
        <v>3.32</v>
      </c>
    </row>
    <row r="983" spans="2:69" x14ac:dyDescent="0.75">
      <c r="B983" s="43" t="s">
        <v>472</v>
      </c>
      <c r="C983" s="43" t="s">
        <v>473</v>
      </c>
      <c r="D983" s="43" t="s">
        <v>632</v>
      </c>
      <c r="E983" s="43" t="s">
        <v>633</v>
      </c>
      <c r="F983" s="43"/>
      <c r="G983" s="43"/>
      <c r="H983" s="43"/>
      <c r="I983" s="43"/>
      <c r="J983" s="43"/>
      <c r="K983" s="43"/>
      <c r="L983" s="43"/>
      <c r="M983" s="43"/>
      <c r="N983" s="43"/>
      <c r="O983" s="43"/>
      <c r="P983" s="43">
        <v>1.3954225799369193</v>
      </c>
      <c r="Q983" s="43"/>
      <c r="R983" s="43"/>
      <c r="S983" s="43"/>
      <c r="T983" s="43"/>
      <c r="U983" s="43">
        <v>1.5571067342920397</v>
      </c>
      <c r="V983" s="43"/>
      <c r="W983" s="43"/>
      <c r="X983" s="43"/>
      <c r="Y983" s="43"/>
      <c r="Z983" s="43">
        <v>2.1009055497099487</v>
      </c>
      <c r="AA983" s="43">
        <v>2.0784691142642147</v>
      </c>
      <c r="AB983" s="43"/>
      <c r="AC983" s="43"/>
      <c r="AD983" s="43"/>
      <c r="AE983" s="43">
        <v>2.7864132189498383</v>
      </c>
      <c r="AF983" s="43"/>
      <c r="AG983" s="43">
        <v>3.1341277872994153</v>
      </c>
      <c r="AH983" s="43"/>
      <c r="AI983" s="43"/>
      <c r="AJ983" s="43">
        <v>3.1426551164782346</v>
      </c>
      <c r="AK983" s="43">
        <v>2.6688204860042637</v>
      </c>
      <c r="AL983" s="43"/>
      <c r="AM983" s="43"/>
      <c r="AN983" s="43"/>
      <c r="AO983" s="43"/>
      <c r="AP983" s="43"/>
      <c r="AQ983" s="43"/>
      <c r="AR983" s="43"/>
      <c r="AS983" s="43"/>
      <c r="AT983" s="43"/>
      <c r="AU983" s="43"/>
      <c r="AV983" s="43">
        <v>2.070712481418822</v>
      </c>
      <c r="AW983" s="43">
        <v>2.1986930998868912</v>
      </c>
      <c r="AX983" s="43"/>
      <c r="AY983" s="43">
        <v>2.2506053473453553</v>
      </c>
      <c r="AZ983" s="43"/>
      <c r="BA983" s="43"/>
      <c r="BB983" s="43"/>
      <c r="BC983" s="43"/>
      <c r="BD983" s="43"/>
      <c r="BE983" s="43">
        <v>2.4006731205897842</v>
      </c>
      <c r="BF983" s="43"/>
      <c r="BG983" s="43"/>
      <c r="BH983" s="43"/>
      <c r="BI983" s="43"/>
      <c r="BJ983" s="43"/>
      <c r="BK983" s="43"/>
      <c r="BL983" s="43"/>
      <c r="BM983" s="43"/>
      <c r="BN983" s="56">
        <f t="shared" si="27"/>
        <v>2.4006731205897842</v>
      </c>
      <c r="BO983" s="428">
        <f>IF(BN983="No reported value",INDEX('WB HCW &amp; Beds'!$BU$831:$BU$835,MATCH($BP983,'WB HCW &amp; Beds'!$BS$831:$BS$835,0)),$BN983)</f>
        <v>2.4006731205897842</v>
      </c>
      <c r="BP983" s="132" t="str">
        <f>INDEX('HCW + Staff Summary'!$E$7:$E$270,MATCH($B983,'HCW + Staff Summary'!$B$7:$B$270,0))</f>
        <v>OUT</v>
      </c>
      <c r="BQ983" s="429">
        <f>INDEX('WB HCW &amp; Beds'!$BU$838:$BU$842,MATCH($BP983,'WB HCW &amp; Beds'!$BS$838:$BS$842,0))*100</f>
        <v>2.7250000000000001</v>
      </c>
    </row>
    <row r="984" spans="2:69" x14ac:dyDescent="0.75">
      <c r="B984" s="43" t="s">
        <v>484</v>
      </c>
      <c r="C984" s="43" t="s">
        <v>485</v>
      </c>
      <c r="D984" s="43" t="s">
        <v>632</v>
      </c>
      <c r="E984" s="43" t="s">
        <v>633</v>
      </c>
      <c r="F984" s="43"/>
      <c r="G984" s="43"/>
      <c r="H984" s="43"/>
      <c r="I984" s="43"/>
      <c r="J984" s="43"/>
      <c r="K984" s="43"/>
      <c r="L984" s="43"/>
      <c r="M984" s="43"/>
      <c r="N984" s="43"/>
      <c r="O984" s="43"/>
      <c r="P984" s="43">
        <v>5.4503002166748002</v>
      </c>
      <c r="Q984" s="43">
        <v>5.4433999061584499</v>
      </c>
      <c r="R984" s="43">
        <v>5.4942998886108398</v>
      </c>
      <c r="S984" s="43">
        <v>5.4028000831604004</v>
      </c>
      <c r="T984" s="43">
        <v>5.4643998146057102</v>
      </c>
      <c r="U984" s="43">
        <v>5.4443998336792001</v>
      </c>
      <c r="V984" s="43">
        <v>5.3109002113342303</v>
      </c>
      <c r="W984" s="43">
        <v>5.2698001861572301</v>
      </c>
      <c r="X984" s="43">
        <v>5.1737999916076696</v>
      </c>
      <c r="Y984" s="43">
        <v>5.2437000274658203</v>
      </c>
      <c r="Z984" s="43">
        <v>5.1985001564025897</v>
      </c>
      <c r="AA984" s="43">
        <v>5.1816000938415501</v>
      </c>
      <c r="AB984" s="43">
        <v>5.3646001815795898</v>
      </c>
      <c r="AC984" s="43">
        <v>5.3383002281189</v>
      </c>
      <c r="AD984" s="43">
        <v>5.4029002189636204</v>
      </c>
      <c r="AE984" s="43">
        <v>5.5118999481201199</v>
      </c>
      <c r="AF984" s="43">
        <v>5.4994997978210396</v>
      </c>
      <c r="AG984" s="43">
        <v>5.4335999488830602</v>
      </c>
      <c r="AH984" s="43">
        <v>5.4742999076843297</v>
      </c>
      <c r="AI984" s="43">
        <v>5.4990000724792498</v>
      </c>
      <c r="AJ984" s="43">
        <v>5.9477000237000004</v>
      </c>
      <c r="AK984" s="43">
        <v>5.7873001099000003</v>
      </c>
      <c r="AL984" s="43">
        <v>5.6964001656000001</v>
      </c>
      <c r="AM984" s="43">
        <v>5.6005997658000002</v>
      </c>
      <c r="AN984" s="43">
        <v>5.5500001906999996</v>
      </c>
      <c r="AO984" s="43">
        <v>5.4099998474</v>
      </c>
      <c r="AP984" s="43">
        <v>5.1999998093000004</v>
      </c>
      <c r="AQ984" s="43">
        <v>5.1599998474</v>
      </c>
      <c r="AR984" s="43">
        <v>5.1500000954000003</v>
      </c>
      <c r="AS984" s="43">
        <v>5.0999999045999997</v>
      </c>
      <c r="AT984" s="43">
        <v>5.0999999999999996</v>
      </c>
      <c r="AU984" s="43">
        <v>4.9000000000000004</v>
      </c>
      <c r="AV984" s="43">
        <v>4.8</v>
      </c>
      <c r="AW984" s="43">
        <v>4.8</v>
      </c>
      <c r="AX984" s="43">
        <v>4.8</v>
      </c>
      <c r="AY984" s="43">
        <v>4.7</v>
      </c>
      <c r="AZ984" s="43">
        <v>4.5999999999999996</v>
      </c>
      <c r="BA984" s="43">
        <v>4.5999999999999996</v>
      </c>
      <c r="BB984" s="43">
        <v>4.5</v>
      </c>
      <c r="BC984" s="43">
        <v>4.5</v>
      </c>
      <c r="BD984" s="43">
        <v>4.5999999999999996</v>
      </c>
      <c r="BE984" s="43">
        <v>4.5</v>
      </c>
      <c r="BF984" s="43">
        <v>4.4000000000000004</v>
      </c>
      <c r="BG984" s="43">
        <v>4.4000000000000004</v>
      </c>
      <c r="BH984" s="43"/>
      <c r="BI984" s="43"/>
      <c r="BJ984" s="43"/>
      <c r="BK984" s="43"/>
      <c r="BL984" s="43"/>
      <c r="BM984" s="43"/>
      <c r="BN984" s="56">
        <f t="shared" si="27"/>
        <v>4.4000000000000004</v>
      </c>
      <c r="BO984" s="428">
        <f>IF(BN984="No reported value",INDEX('WB HCW &amp; Beds'!$BU$831:$BU$835,MATCH($BP984,'WB HCW &amp; Beds'!$BS$831:$BS$835,0)),$BN984)</f>
        <v>4.4000000000000004</v>
      </c>
      <c r="BP984" s="132" t="str">
        <f>INDEX('HCW + Staff Summary'!$E$7:$E$270,MATCH($B984,'HCW + Staff Summary'!$B$7:$B$270,0))</f>
        <v>Upper middle income</v>
      </c>
      <c r="BQ984" s="429">
        <f>INDEX('WB HCW &amp; Beds'!$BU$838:$BU$842,MATCH($BP984,'WB HCW &amp; Beds'!$BS$838:$BS$842,0))*100</f>
        <v>3.32</v>
      </c>
    </row>
    <row r="985" spans="2:69" x14ac:dyDescent="0.75">
      <c r="B985" s="43" t="s">
        <v>204</v>
      </c>
      <c r="C985" s="43" t="s">
        <v>92</v>
      </c>
      <c r="D985" s="43" t="s">
        <v>632</v>
      </c>
      <c r="E985" s="43" t="s">
        <v>633</v>
      </c>
      <c r="F985" s="43">
        <v>0.66850572824478105</v>
      </c>
      <c r="G985" s="43"/>
      <c r="H985" s="43"/>
      <c r="I985" s="43"/>
      <c r="J985" s="43"/>
      <c r="K985" s="43"/>
      <c r="L985" s="43"/>
      <c r="M985" s="43"/>
      <c r="N985" s="43"/>
      <c r="O985" s="43"/>
      <c r="P985" s="43">
        <v>0.67909997701644897</v>
      </c>
      <c r="Q985" s="43"/>
      <c r="R985" s="43"/>
      <c r="S985" s="43"/>
      <c r="T985" s="43"/>
      <c r="U985" s="43">
        <v>0.714299976825714</v>
      </c>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v>0.23999999459999999</v>
      </c>
      <c r="AS985" s="43"/>
      <c r="AT985" s="43"/>
      <c r="AU985" s="43"/>
      <c r="AV985" s="43"/>
      <c r="AW985" s="43"/>
      <c r="AX985" s="43"/>
      <c r="AY985" s="43">
        <v>0.3</v>
      </c>
      <c r="AZ985" s="43"/>
      <c r="BA985" s="43"/>
      <c r="BB985" s="43">
        <v>0.6</v>
      </c>
      <c r="BC985" s="43"/>
      <c r="BD985" s="43">
        <v>0.1</v>
      </c>
      <c r="BE985" s="43"/>
      <c r="BF985" s="43"/>
      <c r="BG985" s="43"/>
      <c r="BH985" s="43"/>
      <c r="BI985" s="43"/>
      <c r="BJ985" s="43"/>
      <c r="BK985" s="43"/>
      <c r="BL985" s="43"/>
      <c r="BM985" s="43"/>
      <c r="BN985" s="56">
        <f t="shared" si="27"/>
        <v>0.1</v>
      </c>
      <c r="BO985" s="428">
        <f>IF(BN985="No reported value",INDEX('WB HCW &amp; Beds'!$BU$831:$BU$835,MATCH($BP985,'WB HCW &amp; Beds'!$BS$831:$BS$835,0)),$BN985)</f>
        <v>0.1</v>
      </c>
      <c r="BP985" s="132" t="str">
        <f>INDEX('HCW + Staff Summary'!$E$7:$E$270,MATCH($B985,'HCW + Staff Summary'!$B$7:$B$270,0))</f>
        <v>Low income</v>
      </c>
      <c r="BQ985" s="429">
        <f>INDEX('WB HCW &amp; Beds'!$BU$838:$BU$842,MATCH($BP985,'WB HCW &amp; Beds'!$BS$838:$BS$842,0))*100</f>
        <v>1.63</v>
      </c>
    </row>
    <row r="986" spans="2:69" x14ac:dyDescent="0.75">
      <c r="B986" s="43" t="s">
        <v>461</v>
      </c>
      <c r="C986" s="43" t="s">
        <v>93</v>
      </c>
      <c r="D986" s="43" t="s">
        <v>632</v>
      </c>
      <c r="E986" s="43" t="s">
        <v>633</v>
      </c>
      <c r="F986" s="43">
        <v>9.2583589553833008</v>
      </c>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v>9.4638996124267596</v>
      </c>
      <c r="AE986" s="43"/>
      <c r="AF986" s="43"/>
      <c r="AG986" s="43">
        <v>9.3353004455566406</v>
      </c>
      <c r="AH986" s="43">
        <v>9.2573003768920898</v>
      </c>
      <c r="AI986" s="43">
        <v>9.44110012054443</v>
      </c>
      <c r="AJ986" s="43"/>
      <c r="AK986" s="43"/>
      <c r="AL986" s="43"/>
      <c r="AM986" s="43">
        <v>5.8432002067999997</v>
      </c>
      <c r="AN986" s="43">
        <v>5.6210999489000004</v>
      </c>
      <c r="AO986" s="43">
        <v>5.4299998282999997</v>
      </c>
      <c r="AP986" s="43">
        <v>5.7800002097999998</v>
      </c>
      <c r="AQ986" s="43">
        <v>5.6399998665000002</v>
      </c>
      <c r="AR986" s="43">
        <v>5.6100001334999998</v>
      </c>
      <c r="AS986" s="43">
        <v>5.5700001717000003</v>
      </c>
      <c r="AT986" s="43">
        <v>5.5</v>
      </c>
      <c r="AU986" s="43">
        <v>7.6</v>
      </c>
      <c r="AV986" s="43">
        <v>7.5</v>
      </c>
      <c r="AW986" s="43">
        <v>7.4</v>
      </c>
      <c r="AX986" s="43">
        <v>7.5</v>
      </c>
      <c r="AY986" s="43">
        <v>7.4</v>
      </c>
      <c r="AZ986" s="43">
        <v>7.6</v>
      </c>
      <c r="BA986" s="43">
        <v>7.8</v>
      </c>
      <c r="BB986" s="43">
        <v>7.4</v>
      </c>
      <c r="BC986" s="43">
        <v>4.9000000000000004</v>
      </c>
      <c r="BD986" s="43">
        <v>4.5</v>
      </c>
      <c r="BE986" s="43">
        <v>4.4000000000000004</v>
      </c>
      <c r="BF986" s="43">
        <v>4.7</v>
      </c>
      <c r="BG986" s="43">
        <v>4.8</v>
      </c>
      <c r="BH986" s="43">
        <v>4.7</v>
      </c>
      <c r="BI986" s="43"/>
      <c r="BJ986" s="43"/>
      <c r="BK986" s="43"/>
      <c r="BL986" s="43"/>
      <c r="BM986" s="43"/>
      <c r="BN986" s="56">
        <f t="shared" si="27"/>
        <v>4.7</v>
      </c>
      <c r="BO986" s="428">
        <f>IF(BN986="No reported value",INDEX('WB HCW &amp; Beds'!$BU$831:$BU$835,MATCH($BP986,'WB HCW &amp; Beds'!$BS$831:$BS$835,0)),$BN986)</f>
        <v>4.7</v>
      </c>
      <c r="BP986" s="132" t="str">
        <f>INDEX('HCW + Staff Summary'!$E$7:$E$270,MATCH($B986,'HCW + Staff Summary'!$B$7:$B$270,0))</f>
        <v>High income</v>
      </c>
      <c r="BQ986" s="429">
        <f>INDEX('WB HCW &amp; Beds'!$BU$838:$BU$842,MATCH($BP986,'WB HCW &amp; Beds'!$BS$838:$BS$842,0))*100</f>
        <v>3.5700000000000003</v>
      </c>
    </row>
    <row r="987" spans="2:69" x14ac:dyDescent="0.75">
      <c r="B987" s="43" t="s">
        <v>244</v>
      </c>
      <c r="C987" s="43" t="s">
        <v>94</v>
      </c>
      <c r="D987" s="43" t="s">
        <v>632</v>
      </c>
      <c r="E987" s="43" t="s">
        <v>633</v>
      </c>
      <c r="F987" s="43">
        <v>0.66300928592681896</v>
      </c>
      <c r="G987" s="43"/>
      <c r="H987" s="43"/>
      <c r="I987" s="43"/>
      <c r="J987" s="43"/>
      <c r="K987" s="43"/>
      <c r="L987" s="43"/>
      <c r="M987" s="43"/>
      <c r="N987" s="43"/>
      <c r="O987" s="43"/>
      <c r="P987" s="43">
        <v>0.85809999704360995</v>
      </c>
      <c r="Q987" s="43"/>
      <c r="R987" s="43"/>
      <c r="S987" s="43"/>
      <c r="T987" s="43"/>
      <c r="U987" s="43"/>
      <c r="V987" s="43"/>
      <c r="W987" s="43"/>
      <c r="X987" s="43"/>
      <c r="Y987" s="43"/>
      <c r="Z987" s="43">
        <v>0.857100009918213</v>
      </c>
      <c r="AA987" s="43">
        <v>0.85759997367858898</v>
      </c>
      <c r="AB987" s="43"/>
      <c r="AC987" s="43"/>
      <c r="AD987" s="43"/>
      <c r="AE987" s="43"/>
      <c r="AF987" s="43"/>
      <c r="AG987" s="43"/>
      <c r="AH987" s="43"/>
      <c r="AI987" s="43"/>
      <c r="AJ987" s="43">
        <v>0.63580000400000003</v>
      </c>
      <c r="AK987" s="43"/>
      <c r="AL987" s="43"/>
      <c r="AM987" s="43"/>
      <c r="AN987" s="43"/>
      <c r="AO987" s="43"/>
      <c r="AP987" s="43"/>
      <c r="AQ987" s="43"/>
      <c r="AR987" s="43"/>
      <c r="AS987" s="43"/>
      <c r="AT987" s="43">
        <v>0.7</v>
      </c>
      <c r="AU987" s="43"/>
      <c r="AV987" s="43">
        <v>0.63</v>
      </c>
      <c r="AW987" s="43"/>
      <c r="AX987" s="43"/>
      <c r="AY987" s="43"/>
      <c r="AZ987" s="43">
        <v>0.6</v>
      </c>
      <c r="BA987" s="43"/>
      <c r="BB987" s="43"/>
      <c r="BC987" s="43"/>
      <c r="BD987" s="43"/>
      <c r="BE987" s="43"/>
      <c r="BF987" s="43">
        <v>0.9</v>
      </c>
      <c r="BG987" s="43"/>
      <c r="BH987" s="43"/>
      <c r="BI987" s="43"/>
      <c r="BJ987" s="43"/>
      <c r="BK987" s="43"/>
      <c r="BL987" s="43"/>
      <c r="BM987" s="43"/>
      <c r="BN987" s="56">
        <f t="shared" si="27"/>
        <v>0.9</v>
      </c>
      <c r="BO987" s="428">
        <f>IF(BN987="No reported value",INDEX('WB HCW &amp; Beds'!$BU$831:$BU$835,MATCH($BP987,'WB HCW &amp; Beds'!$BS$831:$BS$835,0)),$BN987)</f>
        <v>0.9</v>
      </c>
      <c r="BP987" s="132" t="str">
        <f>INDEX('HCW + Staff Summary'!$E$7:$E$270,MATCH($B987,'HCW + Staff Summary'!$B$7:$B$270,0))</f>
        <v>Lower middle income</v>
      </c>
      <c r="BQ987" s="429">
        <f>INDEX('WB HCW &amp; Beds'!$BU$838:$BU$842,MATCH($BP987,'WB HCW &amp; Beds'!$BS$838:$BS$842,0))*100</f>
        <v>2.3800000000000003</v>
      </c>
    </row>
    <row r="988" spans="2:69" x14ac:dyDescent="0.75">
      <c r="B988" s="43" t="s">
        <v>468</v>
      </c>
      <c r="C988" s="43" t="s">
        <v>469</v>
      </c>
      <c r="D988" s="43" t="s">
        <v>632</v>
      </c>
      <c r="E988" s="43" t="s">
        <v>633</v>
      </c>
      <c r="F988" s="43">
        <v>1.8439760181732761</v>
      </c>
      <c r="G988" s="43"/>
      <c r="H988" s="43"/>
      <c r="I988" s="43"/>
      <c r="J988" s="43"/>
      <c r="K988" s="43"/>
      <c r="L988" s="43"/>
      <c r="M988" s="43"/>
      <c r="N988" s="43"/>
      <c r="O988" s="43"/>
      <c r="P988" s="43">
        <v>1.906952921660142</v>
      </c>
      <c r="Q988" s="43"/>
      <c r="R988" s="43"/>
      <c r="S988" s="43"/>
      <c r="T988" s="43"/>
      <c r="U988" s="43"/>
      <c r="V988" s="43"/>
      <c r="W988" s="43"/>
      <c r="X988" s="43"/>
      <c r="Y988" s="43"/>
      <c r="Z988" s="43">
        <v>1.7473105473612334</v>
      </c>
      <c r="AA988" s="43">
        <v>1.7520005838595079</v>
      </c>
      <c r="AB988" s="43"/>
      <c r="AC988" s="43"/>
      <c r="AD988" s="43"/>
      <c r="AE988" s="43"/>
      <c r="AF988" s="43"/>
      <c r="AG988" s="43"/>
      <c r="AH988" s="43"/>
      <c r="AI988" s="43"/>
      <c r="AJ988" s="43">
        <v>1.7499535727126976</v>
      </c>
      <c r="AK988" s="43"/>
      <c r="AL988" s="43"/>
      <c r="AM988" s="43"/>
      <c r="AN988" s="43"/>
      <c r="AO988" s="43"/>
      <c r="AP988" s="43"/>
      <c r="AQ988" s="43"/>
      <c r="AR988" s="43"/>
      <c r="AS988" s="43"/>
      <c r="AT988" s="43">
        <v>1.6436750718705839</v>
      </c>
      <c r="AU988" s="43">
        <v>1.6236523843981892</v>
      </c>
      <c r="AV988" s="43">
        <v>1.6468667484683381</v>
      </c>
      <c r="AW988" s="43">
        <v>1.646571080013123</v>
      </c>
      <c r="AX988" s="43">
        <v>1.6761964363880009</v>
      </c>
      <c r="AY988" s="43">
        <v>1.6734739443482833</v>
      </c>
      <c r="AZ988" s="43">
        <v>1.7121248199255614</v>
      </c>
      <c r="BA988" s="43">
        <v>1.6721220267037615</v>
      </c>
      <c r="BB988" s="43">
        <v>1.621690711688704</v>
      </c>
      <c r="BC988" s="43">
        <v>1.5134445200018876</v>
      </c>
      <c r="BD988" s="43">
        <v>1.5884314964685944</v>
      </c>
      <c r="BE988" s="43">
        <v>1.2333075724781077</v>
      </c>
      <c r="BF988" s="43">
        <v>0.82708115018422279</v>
      </c>
      <c r="BG988" s="43">
        <v>1.1630078505323143</v>
      </c>
      <c r="BH988" s="43">
        <v>1.5166967169273771</v>
      </c>
      <c r="BI988" s="43"/>
      <c r="BJ988" s="43"/>
      <c r="BK988" s="43"/>
      <c r="BL988" s="43"/>
      <c r="BM988" s="43"/>
      <c r="BN988" s="56">
        <f t="shared" si="27"/>
        <v>1.5166967169273771</v>
      </c>
      <c r="BO988" s="428">
        <f>IF(BN988="No reported value",INDEX('WB HCW &amp; Beds'!$BU$831:$BU$835,MATCH($BP988,'WB HCW &amp; Beds'!$BS$831:$BS$835,0)),$BN988)</f>
        <v>1.5166967169273771</v>
      </c>
      <c r="BP988" s="132" t="str">
        <f>INDEX('HCW + Staff Summary'!$E$7:$E$270,MATCH($B988,'HCW + Staff Summary'!$B$7:$B$270,0))</f>
        <v>OUT</v>
      </c>
      <c r="BQ988" s="429">
        <f>INDEX('WB HCW &amp; Beds'!$BU$838:$BU$842,MATCH($BP988,'WB HCW &amp; Beds'!$BS$838:$BS$842,0))*100</f>
        <v>2.7250000000000001</v>
      </c>
    </row>
    <row r="989" spans="2:69" x14ac:dyDescent="0.75">
      <c r="B989" s="43" t="s">
        <v>476</v>
      </c>
      <c r="C989" s="43" t="s">
        <v>95</v>
      </c>
      <c r="D989" s="43" t="s">
        <v>632</v>
      </c>
      <c r="E989" s="43" t="s">
        <v>633</v>
      </c>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v>4.2</v>
      </c>
      <c r="AU989" s="43">
        <v>4.3</v>
      </c>
      <c r="AV989" s="43">
        <v>4.2</v>
      </c>
      <c r="AW989" s="43">
        <v>4.2</v>
      </c>
      <c r="AX989" s="43">
        <v>4.2</v>
      </c>
      <c r="AY989" s="43">
        <v>4.2</v>
      </c>
      <c r="AZ989" s="43">
        <v>4.0999999999999996</v>
      </c>
      <c r="BA989" s="43">
        <v>4</v>
      </c>
      <c r="BB989" s="43">
        <v>3.9</v>
      </c>
      <c r="BC989" s="43">
        <v>3.9</v>
      </c>
      <c r="BD989" s="43">
        <v>4</v>
      </c>
      <c r="BE989" s="43">
        <v>4</v>
      </c>
      <c r="BF989" s="43">
        <v>4</v>
      </c>
      <c r="BG989" s="43"/>
      <c r="BH989" s="43"/>
      <c r="BI989" s="43"/>
      <c r="BJ989" s="43"/>
      <c r="BK989" s="43"/>
      <c r="BL989" s="43"/>
      <c r="BM989" s="43"/>
      <c r="BN989" s="56">
        <f t="shared" si="27"/>
        <v>4</v>
      </c>
      <c r="BO989" s="428">
        <f>IF(BN989="No reported value",INDEX('WB HCW &amp; Beds'!$BU$831:$BU$835,MATCH($BP989,'WB HCW &amp; Beds'!$BS$831:$BS$835,0)),$BN989)</f>
        <v>4</v>
      </c>
      <c r="BP989" s="132" t="str">
        <f>INDEX('HCW + Staff Summary'!$E$7:$E$270,MATCH($B989,'HCW + Staff Summary'!$B$7:$B$270,0))</f>
        <v>Upper middle income</v>
      </c>
      <c r="BQ989" s="429">
        <f>INDEX('WB HCW &amp; Beds'!$BU$838:$BU$842,MATCH($BP989,'WB HCW &amp; Beds'!$BS$838:$BS$842,0))*100</f>
        <v>3.32</v>
      </c>
    </row>
    <row r="990" spans="2:69" x14ac:dyDescent="0.75">
      <c r="B990" s="43" t="s">
        <v>250</v>
      </c>
      <c r="C990" s="43" t="s">
        <v>96</v>
      </c>
      <c r="D990" s="43" t="s">
        <v>632</v>
      </c>
      <c r="E990" s="43" t="s">
        <v>633</v>
      </c>
      <c r="F990" s="43">
        <v>8.6819601058959996</v>
      </c>
      <c r="G990" s="43"/>
      <c r="H990" s="43"/>
      <c r="I990" s="43"/>
      <c r="J990" s="43"/>
      <c r="K990" s="43"/>
      <c r="L990" s="43"/>
      <c r="M990" s="43"/>
      <c r="N990" s="43"/>
      <c r="O990" s="43"/>
      <c r="P990" s="43">
        <v>9.4952001571655291</v>
      </c>
      <c r="Q990" s="43"/>
      <c r="R990" s="43"/>
      <c r="S990" s="43"/>
      <c r="T990" s="43"/>
      <c r="U990" s="43"/>
      <c r="V990" s="43"/>
      <c r="W990" s="43"/>
      <c r="X990" s="43"/>
      <c r="Y990" s="43"/>
      <c r="Z990" s="43">
        <v>11.1971998214722</v>
      </c>
      <c r="AA990" s="43">
        <v>11.0289001464844</v>
      </c>
      <c r="AB990" s="43"/>
      <c r="AC990" s="43"/>
      <c r="AD990" s="43"/>
      <c r="AE990" s="43"/>
      <c r="AF990" s="43"/>
      <c r="AG990" s="43"/>
      <c r="AH990" s="43"/>
      <c r="AI990" s="43"/>
      <c r="AJ990" s="43"/>
      <c r="AK990" s="43">
        <v>11.4864997864</v>
      </c>
      <c r="AL990" s="43"/>
      <c r="AM990" s="43"/>
      <c r="AN990" s="43"/>
      <c r="AO990" s="43"/>
      <c r="AP990" s="43"/>
      <c r="AQ990" s="43"/>
      <c r="AR990" s="43"/>
      <c r="AS990" s="43"/>
      <c r="AT990" s="43"/>
      <c r="AU990" s="43"/>
      <c r="AV990" s="43">
        <v>7.5</v>
      </c>
      <c r="AW990" s="43"/>
      <c r="AX990" s="43">
        <v>6</v>
      </c>
      <c r="AY990" s="43"/>
      <c r="AZ990" s="43">
        <v>6.4</v>
      </c>
      <c r="BA990" s="43">
        <v>6.11</v>
      </c>
      <c r="BB990" s="43"/>
      <c r="BC990" s="43">
        <v>5.9</v>
      </c>
      <c r="BD990" s="43">
        <v>5.8</v>
      </c>
      <c r="BE990" s="43">
        <v>6.75</v>
      </c>
      <c r="BF990" s="43">
        <v>7</v>
      </c>
      <c r="BG990" s="43"/>
      <c r="BH990" s="43"/>
      <c r="BI990" s="43"/>
      <c r="BJ990" s="43"/>
      <c r="BK990" s="43"/>
      <c r="BL990" s="43"/>
      <c r="BM990" s="43"/>
      <c r="BN990" s="56">
        <f t="shared" si="27"/>
        <v>7</v>
      </c>
      <c r="BO990" s="428">
        <f>IF(BN990="No reported value",INDEX('WB HCW &amp; Beds'!$BU$831:$BU$835,MATCH($BP990,'WB HCW &amp; Beds'!$BS$831:$BS$835,0)),$BN990)</f>
        <v>7</v>
      </c>
      <c r="BP990" s="132" t="str">
        <f>INDEX('HCW + Staff Summary'!$E$7:$E$270,MATCH($B990,'HCW + Staff Summary'!$B$7:$B$270,0))</f>
        <v>Lower middle income</v>
      </c>
      <c r="BQ990" s="429">
        <f>INDEX('WB HCW &amp; Beds'!$BU$838:$BU$842,MATCH($BP990,'WB HCW &amp; Beds'!$BS$838:$BS$842,0))*100</f>
        <v>2.3800000000000003</v>
      </c>
    </row>
    <row r="991" spans="2:69" x14ac:dyDescent="0.75">
      <c r="B991" s="43" t="s">
        <v>486</v>
      </c>
      <c r="C991" s="43" t="s">
        <v>487</v>
      </c>
      <c r="D991" s="43" t="s">
        <v>632</v>
      </c>
      <c r="E991" s="43" t="s">
        <v>633</v>
      </c>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56" t="str">
        <f t="shared" si="27"/>
        <v>No reported value</v>
      </c>
      <c r="BO991" s="428">
        <f>IF(BN991="No reported value",INDEX('WB HCW &amp; Beds'!$BU$831:$BU$835,MATCH($BP991,'WB HCW &amp; Beds'!$BS$831:$BS$835,0)),$BN991)</f>
        <v>4.82</v>
      </c>
      <c r="BP991" s="132" t="str">
        <f>INDEX('HCW + Staff Summary'!$E$7:$E$270,MATCH($B991,'HCW + Staff Summary'!$B$7:$B$270,0))</f>
        <v>High income</v>
      </c>
      <c r="BQ991" s="429">
        <f>INDEX('WB HCW &amp; Beds'!$BU$838:$BU$842,MATCH($BP991,'WB HCW &amp; Beds'!$BS$838:$BS$842,0))*100</f>
        <v>3.5700000000000003</v>
      </c>
    </row>
    <row r="992" spans="2:69" x14ac:dyDescent="0.75">
      <c r="B992" s="43" t="s">
        <v>207</v>
      </c>
      <c r="C992" s="43" t="s">
        <v>97</v>
      </c>
      <c r="D992" s="43" t="s">
        <v>632</v>
      </c>
      <c r="E992" s="43" t="s">
        <v>633</v>
      </c>
      <c r="F992" s="43">
        <v>0.80887281894683805</v>
      </c>
      <c r="G992" s="43"/>
      <c r="H992" s="43"/>
      <c r="I992" s="43"/>
      <c r="J992" s="43"/>
      <c r="K992" s="43"/>
      <c r="L992" s="43"/>
      <c r="M992" s="43"/>
      <c r="N992" s="43"/>
      <c r="O992" s="43"/>
      <c r="P992" s="43">
        <v>1.1751999855041499</v>
      </c>
      <c r="Q992" s="43"/>
      <c r="R992" s="43"/>
      <c r="S992" s="43"/>
      <c r="T992" s="43"/>
      <c r="U992" s="43"/>
      <c r="V992" s="43"/>
      <c r="W992" s="43"/>
      <c r="X992" s="43"/>
      <c r="Y992" s="43"/>
      <c r="Z992" s="43">
        <v>1.0896999835968</v>
      </c>
      <c r="AA992" s="43"/>
      <c r="AB992" s="43"/>
      <c r="AC992" s="43"/>
      <c r="AD992" s="43"/>
      <c r="AE992" s="43"/>
      <c r="AF992" s="43"/>
      <c r="AG992" s="43"/>
      <c r="AH992" s="43"/>
      <c r="AI992" s="43"/>
      <c r="AJ992" s="43">
        <v>0.86710000040000001</v>
      </c>
      <c r="AK992" s="43"/>
      <c r="AL992" s="43"/>
      <c r="AM992" s="43"/>
      <c r="AN992" s="43"/>
      <c r="AO992" s="43"/>
      <c r="AP992" s="43"/>
      <c r="AQ992" s="43"/>
      <c r="AR992" s="43"/>
      <c r="AS992" s="43"/>
      <c r="AT992" s="43"/>
      <c r="AU992" s="43"/>
      <c r="AV992" s="43"/>
      <c r="AW992" s="43"/>
      <c r="AX992" s="43"/>
      <c r="AY992" s="43"/>
      <c r="AZ992" s="43">
        <v>0.8</v>
      </c>
      <c r="BA992" s="43">
        <v>0.8</v>
      </c>
      <c r="BB992" s="43"/>
      <c r="BC992" s="43"/>
      <c r="BD992" s="43"/>
      <c r="BE992" s="43">
        <v>0.7</v>
      </c>
      <c r="BF992" s="43"/>
      <c r="BG992" s="43"/>
      <c r="BH992" s="43"/>
      <c r="BI992" s="43"/>
      <c r="BJ992" s="43"/>
      <c r="BK992" s="43"/>
      <c r="BL992" s="43"/>
      <c r="BM992" s="43"/>
      <c r="BN992" s="56">
        <f t="shared" si="27"/>
        <v>0.7</v>
      </c>
      <c r="BO992" s="428">
        <f>IF(BN992="No reported value",INDEX('WB HCW &amp; Beds'!$BU$831:$BU$835,MATCH($BP992,'WB HCW &amp; Beds'!$BS$831:$BS$835,0)),$BN992)</f>
        <v>0.7</v>
      </c>
      <c r="BP992" s="132" t="str">
        <f>INDEX('HCW + Staff Summary'!$E$7:$E$270,MATCH($B992,'HCW + Staff Summary'!$B$7:$B$270,0))</f>
        <v>Low income</v>
      </c>
      <c r="BQ992" s="429">
        <f>INDEX('WB HCW &amp; Beds'!$BU$838:$BU$842,MATCH($BP992,'WB HCW &amp; Beds'!$BS$838:$BS$842,0))*100</f>
        <v>1.63</v>
      </c>
    </row>
    <row r="993" spans="2:69" x14ac:dyDescent="0.75">
      <c r="B993" s="43" t="s">
        <v>205</v>
      </c>
      <c r="C993" s="43" t="s">
        <v>98</v>
      </c>
      <c r="D993" s="43" t="s">
        <v>632</v>
      </c>
      <c r="E993" s="43" t="s">
        <v>633</v>
      </c>
      <c r="F993" s="43">
        <v>0.20484359562397</v>
      </c>
      <c r="G993" s="43"/>
      <c r="H993" s="43"/>
      <c r="I993" s="43"/>
      <c r="J993" s="43"/>
      <c r="K993" s="43"/>
      <c r="L993" s="43"/>
      <c r="M993" s="43"/>
      <c r="N993" s="43"/>
      <c r="O993" s="43"/>
      <c r="P993" s="43">
        <v>0.34400001168250999</v>
      </c>
      <c r="Q993" s="43"/>
      <c r="R993" s="43"/>
      <c r="S993" s="43"/>
      <c r="T993" s="43"/>
      <c r="U993" s="43">
        <v>0.34430000185966497</v>
      </c>
      <c r="V993" s="43"/>
      <c r="W993" s="43"/>
      <c r="X993" s="43"/>
      <c r="Y993" s="43"/>
      <c r="Z993" s="43"/>
      <c r="AA993" s="43"/>
      <c r="AB993" s="43"/>
      <c r="AC993" s="43"/>
      <c r="AD993" s="43">
        <v>0.76759999990463301</v>
      </c>
      <c r="AE993" s="43"/>
      <c r="AF993" s="43"/>
      <c r="AG993" s="43"/>
      <c r="AH993" s="43"/>
      <c r="AI993" s="43"/>
      <c r="AJ993" s="43">
        <v>0.66540002819999999</v>
      </c>
      <c r="AK993" s="43"/>
      <c r="AL993" s="43"/>
      <c r="AM993" s="43"/>
      <c r="AN993" s="43"/>
      <c r="AO993" s="43"/>
      <c r="AP993" s="43"/>
      <c r="AQ993" s="43"/>
      <c r="AR993" s="43"/>
      <c r="AS993" s="43"/>
      <c r="AT993" s="43"/>
      <c r="AU993" s="43"/>
      <c r="AV993" s="43"/>
      <c r="AW993" s="43"/>
      <c r="AX993" s="43"/>
      <c r="AY993" s="43"/>
      <c r="AZ993" s="43">
        <v>0.4</v>
      </c>
      <c r="BA993" s="43"/>
      <c r="BB993" s="43"/>
      <c r="BC993" s="43"/>
      <c r="BD993" s="43"/>
      <c r="BE993" s="43"/>
      <c r="BF993" s="43"/>
      <c r="BG993" s="43"/>
      <c r="BH993" s="43"/>
      <c r="BI993" s="43"/>
      <c r="BJ993" s="43"/>
      <c r="BK993" s="43"/>
      <c r="BL993" s="43"/>
      <c r="BM993" s="43"/>
      <c r="BN993" s="56">
        <f t="shared" si="27"/>
        <v>0.4</v>
      </c>
      <c r="BO993" s="428">
        <f>IF(BN993="No reported value",INDEX('WB HCW &amp; Beds'!$BU$831:$BU$835,MATCH($BP993,'WB HCW &amp; Beds'!$BS$831:$BS$835,0)),$BN993)</f>
        <v>0.4</v>
      </c>
      <c r="BP993" s="132" t="str">
        <f>INDEX('HCW + Staff Summary'!$E$7:$E$270,MATCH($B993,'HCW + Staff Summary'!$B$7:$B$270,0))</f>
        <v>Lower middle income</v>
      </c>
      <c r="BQ993" s="429">
        <f>INDEX('WB HCW &amp; Beds'!$BU$838:$BU$842,MATCH($BP993,'WB HCW &amp; Beds'!$BS$838:$BS$842,0))*100</f>
        <v>2.3800000000000003</v>
      </c>
    </row>
    <row r="994" spans="2:69" x14ac:dyDescent="0.75">
      <c r="B994" s="43" t="s">
        <v>206</v>
      </c>
      <c r="C994" s="43" t="s">
        <v>99</v>
      </c>
      <c r="D994" s="43" t="s">
        <v>632</v>
      </c>
      <c r="E994" s="43" t="s">
        <v>633</v>
      </c>
      <c r="F994" s="43">
        <v>4.7166666984558097</v>
      </c>
      <c r="G994" s="43"/>
      <c r="H994" s="43"/>
      <c r="I994" s="43"/>
      <c r="J994" s="43"/>
      <c r="K994" s="43"/>
      <c r="L994" s="43"/>
      <c r="M994" s="43"/>
      <c r="N994" s="43"/>
      <c r="O994" s="43"/>
      <c r="P994" s="43">
        <v>3.95160007476807</v>
      </c>
      <c r="Q994" s="43"/>
      <c r="R994" s="43"/>
      <c r="S994" s="43"/>
      <c r="T994" s="43"/>
      <c r="U994" s="43">
        <v>3.29970002174377</v>
      </c>
      <c r="V994" s="43"/>
      <c r="W994" s="43"/>
      <c r="X994" s="43"/>
      <c r="Y994" s="43"/>
      <c r="Z994" s="43">
        <v>3.1222000122070299</v>
      </c>
      <c r="AA994" s="43"/>
      <c r="AB994" s="43"/>
      <c r="AC994" s="43"/>
      <c r="AD994" s="43"/>
      <c r="AE994" s="43">
        <v>3.3464999198913601</v>
      </c>
      <c r="AF994" s="43"/>
      <c r="AG994" s="43"/>
      <c r="AH994" s="43"/>
      <c r="AI994" s="43"/>
      <c r="AJ994" s="43"/>
      <c r="AK994" s="43">
        <v>2.8866000175000002</v>
      </c>
      <c r="AL994" s="43">
        <v>3.1350998878</v>
      </c>
      <c r="AM994" s="43">
        <v>3.0947999953999998</v>
      </c>
      <c r="AN994" s="43">
        <v>3.0745999813</v>
      </c>
      <c r="AO994" s="43"/>
      <c r="AP994" s="43"/>
      <c r="AQ994" s="43"/>
      <c r="AR994" s="43"/>
      <c r="AS994" s="43"/>
      <c r="AT994" s="43"/>
      <c r="AU994" s="43"/>
      <c r="AV994" s="43"/>
      <c r="AW994" s="43"/>
      <c r="AX994" s="43"/>
      <c r="AY994" s="43">
        <v>3</v>
      </c>
      <c r="AZ994" s="43"/>
      <c r="BA994" s="43"/>
      <c r="BB994" s="43">
        <v>3.3</v>
      </c>
      <c r="BC994" s="43"/>
      <c r="BD994" s="43"/>
      <c r="BE994" s="43">
        <v>3.4</v>
      </c>
      <c r="BF994" s="43"/>
      <c r="BG994" s="43"/>
      <c r="BH994" s="43"/>
      <c r="BI994" s="43"/>
      <c r="BJ994" s="43"/>
      <c r="BK994" s="43"/>
      <c r="BL994" s="43"/>
      <c r="BM994" s="43"/>
      <c r="BN994" s="56">
        <f t="shared" si="27"/>
        <v>3.4</v>
      </c>
      <c r="BO994" s="428">
        <f>IF(BN994="No reported value",INDEX('WB HCW &amp; Beds'!$BU$831:$BU$835,MATCH($BP994,'WB HCW &amp; Beds'!$BS$831:$BS$835,0)),$BN994)</f>
        <v>3.4</v>
      </c>
      <c r="BP994" s="132" t="str">
        <f>INDEX('HCW + Staff Summary'!$E$7:$E$270,MATCH($B994,'HCW + Staff Summary'!$B$7:$B$270,0))</f>
        <v>Upper middle income</v>
      </c>
      <c r="BQ994" s="429">
        <f>INDEX('WB HCW &amp; Beds'!$BU$838:$BU$842,MATCH($BP994,'WB HCW &amp; Beds'!$BS$838:$BS$842,0))*100</f>
        <v>3.32</v>
      </c>
    </row>
    <row r="995" spans="2:69" x14ac:dyDescent="0.75">
      <c r="B995" s="43" t="s">
        <v>203</v>
      </c>
      <c r="C995" s="43" t="s">
        <v>100</v>
      </c>
      <c r="D995" s="43" t="s">
        <v>632</v>
      </c>
      <c r="E995" s="43" t="s">
        <v>633</v>
      </c>
      <c r="F995" s="43">
        <v>1.11873054504395</v>
      </c>
      <c r="G995" s="43"/>
      <c r="H995" s="43"/>
      <c r="I995" s="43"/>
      <c r="J995" s="43"/>
      <c r="K995" s="43"/>
      <c r="L995" s="43"/>
      <c r="M995" s="43"/>
      <c r="N995" s="43"/>
      <c r="O995" s="43"/>
      <c r="P995" s="43">
        <v>1.5384999513626101</v>
      </c>
      <c r="Q995" s="43"/>
      <c r="R995" s="43"/>
      <c r="S995" s="43"/>
      <c r="T995" s="43"/>
      <c r="U995" s="43"/>
      <c r="V995" s="43"/>
      <c r="W995" s="43"/>
      <c r="X995" s="43"/>
      <c r="Y995" s="43"/>
      <c r="Z995" s="43"/>
      <c r="AA995" s="43"/>
      <c r="AB995" s="43"/>
      <c r="AC995" s="43"/>
      <c r="AD995" s="43"/>
      <c r="AE995" s="43"/>
      <c r="AF995" s="43"/>
      <c r="AG995" s="43"/>
      <c r="AH995" s="43"/>
      <c r="AI995" s="43">
        <v>0.84189999103546098</v>
      </c>
      <c r="AJ995" s="43">
        <v>1.5506999493</v>
      </c>
      <c r="AK995" s="43"/>
      <c r="AL995" s="43"/>
      <c r="AM995" s="43"/>
      <c r="AN995" s="43"/>
      <c r="AO995" s="43"/>
      <c r="AP995" s="43"/>
      <c r="AQ995" s="43"/>
      <c r="AR995" s="43">
        <v>1.3400000334</v>
      </c>
      <c r="AS995" s="43"/>
      <c r="AT995" s="43"/>
      <c r="AU995" s="43"/>
      <c r="AV995" s="43"/>
      <c r="AW995" s="43"/>
      <c r="AX995" s="43"/>
      <c r="AY995" s="43"/>
      <c r="AZ995" s="43"/>
      <c r="BA995" s="43">
        <v>1.1000000000000001</v>
      </c>
      <c r="BB995" s="43"/>
      <c r="BC995" s="43"/>
      <c r="BD995" s="43"/>
      <c r="BE995" s="43">
        <v>1.3</v>
      </c>
      <c r="BF995" s="43"/>
      <c r="BG995" s="43"/>
      <c r="BH995" s="43"/>
      <c r="BI995" s="43"/>
      <c r="BJ995" s="43"/>
      <c r="BK995" s="43"/>
      <c r="BL995" s="43"/>
      <c r="BM995" s="43"/>
      <c r="BN995" s="56">
        <f t="shared" si="27"/>
        <v>1.3</v>
      </c>
      <c r="BO995" s="428">
        <f>IF(BN995="No reported value",INDEX('WB HCW &amp; Beds'!$BU$831:$BU$835,MATCH($BP995,'WB HCW &amp; Beds'!$BS$831:$BS$835,0)),$BN995)</f>
        <v>1.3</v>
      </c>
      <c r="BP995" s="132" t="str">
        <f>INDEX('HCW + Staff Summary'!$E$7:$E$270,MATCH($B995,'HCW + Staff Summary'!$B$7:$B$270,0))</f>
        <v>Low income</v>
      </c>
      <c r="BQ995" s="429">
        <f>INDEX('WB HCW &amp; Beds'!$BU$838:$BU$842,MATCH($BP995,'WB HCW &amp; Beds'!$BS$838:$BS$842,0))*100</f>
        <v>1.63</v>
      </c>
    </row>
    <row r="996" spans="2:69" x14ac:dyDescent="0.75">
      <c r="B996" s="43" t="s">
        <v>460</v>
      </c>
      <c r="C996" s="43" t="s">
        <v>101</v>
      </c>
      <c r="D996" s="43" t="s">
        <v>632</v>
      </c>
      <c r="E996" s="43" t="s">
        <v>633</v>
      </c>
      <c r="F996" s="43">
        <v>3.7281327247619598</v>
      </c>
      <c r="G996" s="43"/>
      <c r="H996" s="43"/>
      <c r="I996" s="43"/>
      <c r="J996" s="43"/>
      <c r="K996" s="43"/>
      <c r="L996" s="43"/>
      <c r="M996" s="43"/>
      <c r="N996" s="43"/>
      <c r="O996" s="43"/>
      <c r="P996" s="43">
        <v>3.4697000980377202</v>
      </c>
      <c r="Q996" s="43"/>
      <c r="R996" s="43"/>
      <c r="S996" s="43"/>
      <c r="T996" s="43"/>
      <c r="U996" s="43">
        <v>3.3466999530792201</v>
      </c>
      <c r="V996" s="43"/>
      <c r="W996" s="43"/>
      <c r="X996" s="43"/>
      <c r="Y996" s="43"/>
      <c r="Z996" s="43"/>
      <c r="AA996" s="43">
        <v>2.2783000469207799</v>
      </c>
      <c r="AB996" s="43"/>
      <c r="AC996" s="43"/>
      <c r="AD996" s="43"/>
      <c r="AE996" s="43">
        <v>2.5576000213622998</v>
      </c>
      <c r="AF996" s="43"/>
      <c r="AG996" s="43">
        <v>2.4779000282287602</v>
      </c>
      <c r="AH996" s="43"/>
      <c r="AI996" s="43">
        <v>2.33949995040894</v>
      </c>
      <c r="AJ996" s="43">
        <v>2.1305999756</v>
      </c>
      <c r="AK996" s="43">
        <v>2.0938999652999999</v>
      </c>
      <c r="AL996" s="43">
        <v>2.0606999397000001</v>
      </c>
      <c r="AM996" s="43">
        <v>2.0295000075999998</v>
      </c>
      <c r="AN996" s="43">
        <v>2.0215001105999999</v>
      </c>
      <c r="AO996" s="43">
        <v>2.0299999714000001</v>
      </c>
      <c r="AP996" s="43">
        <v>2.0099999904999999</v>
      </c>
      <c r="AQ996" s="43"/>
      <c r="AR996" s="43"/>
      <c r="AS996" s="43"/>
      <c r="AT996" s="43"/>
      <c r="AU996" s="43">
        <v>1.8</v>
      </c>
      <c r="AV996" s="43"/>
      <c r="AW996" s="43"/>
      <c r="AX996" s="43"/>
      <c r="AY996" s="43">
        <v>1.8</v>
      </c>
      <c r="AZ996" s="43">
        <v>1.9</v>
      </c>
      <c r="BA996" s="43">
        <v>1.76</v>
      </c>
      <c r="BB996" s="43"/>
      <c r="BC996" s="43">
        <v>1.8</v>
      </c>
      <c r="BD996" s="43">
        <v>1.8</v>
      </c>
      <c r="BE996" s="43">
        <v>1.79</v>
      </c>
      <c r="BF996" s="43">
        <v>1.9</v>
      </c>
      <c r="BG996" s="43"/>
      <c r="BH996" s="43"/>
      <c r="BI996" s="43">
        <v>1.9</v>
      </c>
      <c r="BJ996" s="43"/>
      <c r="BK996" s="43"/>
      <c r="BL996" s="43"/>
      <c r="BM996" s="43"/>
      <c r="BN996" s="56">
        <f t="shared" si="27"/>
        <v>1.9</v>
      </c>
      <c r="BO996" s="428">
        <f>IF(BN996="No reported value",INDEX('WB HCW &amp; Beds'!$BU$831:$BU$835,MATCH($BP996,'WB HCW &amp; Beds'!$BS$831:$BS$835,0)),$BN996)</f>
        <v>1.9</v>
      </c>
      <c r="BP996" s="132" t="str">
        <f>INDEX('HCW + Staff Summary'!$E$7:$E$270,MATCH($B996,'HCW + Staff Summary'!$B$7:$B$270,0))</f>
        <v>Upper middle income</v>
      </c>
      <c r="BQ996" s="429">
        <f>INDEX('WB HCW &amp; Beds'!$BU$838:$BU$842,MATCH($BP996,'WB HCW &amp; Beds'!$BS$838:$BS$842,0))*100</f>
        <v>3.32</v>
      </c>
    </row>
    <row r="997" spans="2:69" x14ac:dyDescent="0.75">
      <c r="B997" s="43" t="s">
        <v>482</v>
      </c>
      <c r="C997" s="43" t="s">
        <v>483</v>
      </c>
      <c r="D997" s="43" t="s">
        <v>632</v>
      </c>
      <c r="E997" s="43" t="s">
        <v>633</v>
      </c>
      <c r="F997" s="43">
        <v>8.9294437383365715</v>
      </c>
      <c r="G997" s="43"/>
      <c r="H997" s="43"/>
      <c r="I997" s="43"/>
      <c r="J997" s="43"/>
      <c r="K997" s="43">
        <v>8.8000001907348597</v>
      </c>
      <c r="L997" s="43"/>
      <c r="M997" s="43"/>
      <c r="N997" s="43"/>
      <c r="O997" s="43"/>
      <c r="P997" s="43">
        <v>7.8152225481291397</v>
      </c>
      <c r="Q997" s="43">
        <v>7.5</v>
      </c>
      <c r="R997" s="43">
        <v>7.400000095367429</v>
      </c>
      <c r="S997" s="43">
        <v>7.1999998092651403</v>
      </c>
      <c r="T997" s="43">
        <v>7.099999904632571</v>
      </c>
      <c r="U997" s="43">
        <v>6.8000001907348597</v>
      </c>
      <c r="V997" s="43">
        <v>6.6291319520311625</v>
      </c>
      <c r="W997" s="43">
        <v>6.4486256323674471</v>
      </c>
      <c r="X997" s="43">
        <v>6.268036196275137</v>
      </c>
      <c r="Y997" s="43">
        <v>6.1679663758523482</v>
      </c>
      <c r="Z997" s="43">
        <v>6.0779077076013008</v>
      </c>
      <c r="AA997" s="43">
        <v>5.9976064256276018</v>
      </c>
      <c r="AB997" s="43">
        <v>5.9880333038262501</v>
      </c>
      <c r="AC997" s="43">
        <v>5.8978802749154839</v>
      </c>
      <c r="AD997" s="43">
        <v>5.8077439353012679</v>
      </c>
      <c r="AE997" s="43">
        <v>5.6273656989701912</v>
      </c>
      <c r="AF997" s="43">
        <v>5.5274460487341255</v>
      </c>
      <c r="AG997" s="43">
        <v>5.3377755404461551</v>
      </c>
      <c r="AH997" s="43">
        <v>5.2382591293567371</v>
      </c>
      <c r="AI997" s="43">
        <v>5.129370179917629</v>
      </c>
      <c r="AJ997" s="43">
        <v>5.0098403270518945</v>
      </c>
      <c r="AK997" s="43">
        <v>4.899770945940884</v>
      </c>
      <c r="AL997" s="43">
        <v>4.6896294626476873</v>
      </c>
      <c r="AM997" s="43">
        <v>4.5894523688073807</v>
      </c>
      <c r="AN997" s="43">
        <v>4.3000001906999996</v>
      </c>
      <c r="AO997" s="43">
        <v>4.1892212827297515</v>
      </c>
      <c r="AP997" s="43">
        <v>3.9697892787830016</v>
      </c>
      <c r="AQ997" s="43">
        <v>3.8593052082745056</v>
      </c>
      <c r="AR997" s="43">
        <v>3.7492717056806804</v>
      </c>
      <c r="AS997" s="43">
        <v>3.6294736432806411</v>
      </c>
      <c r="AT997" s="43">
        <v>3.4901914935783491</v>
      </c>
      <c r="AU997" s="43">
        <v>3.5196341171789483</v>
      </c>
      <c r="AV997" s="43">
        <v>3.4294936897127939</v>
      </c>
      <c r="AW997" s="43">
        <v>3.3295047413867973</v>
      </c>
      <c r="AX997" s="43"/>
      <c r="AY997" s="43">
        <v>3.2196752003732292</v>
      </c>
      <c r="AZ997" s="43">
        <v>3.1295250646193682</v>
      </c>
      <c r="BA997" s="43">
        <v>3.1</v>
      </c>
      <c r="BB997" s="43">
        <v>3.1295669157214188</v>
      </c>
      <c r="BC997" s="43">
        <v>3.1098792165429265</v>
      </c>
      <c r="BD997" s="43">
        <v>2.9702867860095838</v>
      </c>
      <c r="BE997" s="43">
        <v>2.8801460489038808</v>
      </c>
      <c r="BF997" s="43">
        <v>2.8800829757865749</v>
      </c>
      <c r="BG997" s="43">
        <v>2.9</v>
      </c>
      <c r="BH997" s="43"/>
      <c r="BI997" s="43"/>
      <c r="BJ997" s="43"/>
      <c r="BK997" s="43"/>
      <c r="BL997" s="43"/>
      <c r="BM997" s="43"/>
      <c r="BN997" s="56">
        <f t="shared" si="27"/>
        <v>2.9</v>
      </c>
      <c r="BO997" s="428">
        <f>IF(BN997="No reported value",INDEX('WB HCW &amp; Beds'!$BU$831:$BU$835,MATCH($BP997,'WB HCW &amp; Beds'!$BS$831:$BS$835,0)),$BN997)</f>
        <v>2.9</v>
      </c>
      <c r="BP997" s="132" t="str">
        <f>INDEX('HCW + Staff Summary'!$E$7:$E$270,MATCH($B997,'HCW + Staff Summary'!$B$7:$B$270,0))</f>
        <v>OUT</v>
      </c>
      <c r="BQ997" s="429">
        <f>INDEX('WB HCW &amp; Beds'!$BU$838:$BU$842,MATCH($BP997,'WB HCW &amp; Beds'!$BS$838:$BS$842,0))*100</f>
        <v>2.7250000000000001</v>
      </c>
    </row>
    <row r="998" spans="2:69" x14ac:dyDescent="0.75">
      <c r="B998" s="43" t="s">
        <v>208</v>
      </c>
      <c r="C998" s="43" t="s">
        <v>102</v>
      </c>
      <c r="D998" s="43" t="s">
        <v>632</v>
      </c>
      <c r="E998" s="43" t="s">
        <v>633</v>
      </c>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v>3.3</v>
      </c>
      <c r="BA998" s="43"/>
      <c r="BB998" s="43"/>
      <c r="BC998" s="43">
        <v>2.7</v>
      </c>
      <c r="BD998" s="43"/>
      <c r="BE998" s="43"/>
      <c r="BF998" s="43"/>
      <c r="BG998" s="43"/>
      <c r="BH998" s="43"/>
      <c r="BI998" s="43"/>
      <c r="BJ998" s="43"/>
      <c r="BK998" s="43"/>
      <c r="BL998" s="43"/>
      <c r="BM998" s="43"/>
      <c r="BN998" s="56">
        <f t="shared" si="27"/>
        <v>2.7</v>
      </c>
      <c r="BO998" s="428">
        <f>IF(BN998="No reported value",INDEX('WB HCW &amp; Beds'!$BU$831:$BU$835,MATCH($BP998,'WB HCW &amp; Beds'!$BS$831:$BS$835,0)),$BN998)</f>
        <v>2.7</v>
      </c>
      <c r="BP998" s="132" t="str">
        <f>INDEX('HCW + Staff Summary'!$E$7:$E$270,MATCH($B998,'HCW + Staff Summary'!$B$7:$B$270,0))</f>
        <v>Upper middle income</v>
      </c>
      <c r="BQ998" s="429">
        <f>INDEX('WB HCW &amp; Beds'!$BU$838:$BU$842,MATCH($BP998,'WB HCW &amp; Beds'!$BS$838:$BS$842,0))*100</f>
        <v>3.32</v>
      </c>
    </row>
    <row r="999" spans="2:69" x14ac:dyDescent="0.75">
      <c r="B999" s="43" t="s">
        <v>479</v>
      </c>
      <c r="C999" s="43" t="s">
        <v>480</v>
      </c>
      <c r="D999" s="43" t="s">
        <v>632</v>
      </c>
      <c r="E999" s="43" t="s">
        <v>633</v>
      </c>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56" t="str">
        <f t="shared" si="27"/>
        <v>No reported value</v>
      </c>
      <c r="BO999" s="428">
        <f>IF(BN999="No reported value",INDEX('WB HCW &amp; Beds'!$BU$831:$BU$835,MATCH($BP999,'WB HCW &amp; Beds'!$BS$831:$BS$835,0)),$BN999)</f>
        <v>4.82</v>
      </c>
      <c r="BP999" s="132" t="str">
        <f>INDEX('HCW + Staff Summary'!$E$7:$E$270,MATCH($B999,'HCW + Staff Summary'!$B$7:$B$270,0))</f>
        <v>High income</v>
      </c>
      <c r="BQ999" s="429">
        <f>INDEX('WB HCW &amp; Beds'!$BU$838:$BU$842,MATCH($BP999,'WB HCW &amp; Beds'!$BS$838:$BS$842,0))*100</f>
        <v>3.5700000000000003</v>
      </c>
    </row>
    <row r="1000" spans="2:69" x14ac:dyDescent="0.75">
      <c r="B1000" s="43" t="s">
        <v>209</v>
      </c>
      <c r="C1000" s="43" t="s">
        <v>103</v>
      </c>
      <c r="D1000" s="43" t="s">
        <v>632</v>
      </c>
      <c r="E1000" s="43" t="s">
        <v>633</v>
      </c>
      <c r="F1000" s="43">
        <v>0.40949088335037198</v>
      </c>
      <c r="G1000" s="43"/>
      <c r="H1000" s="43"/>
      <c r="I1000" s="43"/>
      <c r="J1000" s="43"/>
      <c r="K1000" s="43"/>
      <c r="L1000" s="43"/>
      <c r="M1000" s="43"/>
      <c r="N1000" s="43"/>
      <c r="O1000" s="43"/>
      <c r="P1000" s="43">
        <v>0.49470001459121699</v>
      </c>
      <c r="Q1000" s="43"/>
      <c r="R1000" s="43"/>
      <c r="S1000" s="43"/>
      <c r="T1000" s="43"/>
      <c r="U1000" s="43">
        <v>0.49529999494552601</v>
      </c>
      <c r="V1000" s="43"/>
      <c r="W1000" s="43"/>
      <c r="X1000" s="43"/>
      <c r="Y1000" s="43"/>
      <c r="Z1000" s="43"/>
      <c r="AA1000" s="43"/>
      <c r="AB1000" s="43"/>
      <c r="AC1000" s="43"/>
      <c r="AD1000" s="43"/>
      <c r="AE1000" s="43"/>
      <c r="AF1000" s="43"/>
      <c r="AG1000" s="43">
        <v>0.54390001296997104</v>
      </c>
      <c r="AH1000" s="43"/>
      <c r="AI1000" s="43"/>
      <c r="AJ1000" s="43"/>
      <c r="AK1000" s="43"/>
      <c r="AL1000" s="43"/>
      <c r="AM1000" s="43"/>
      <c r="AN1000" s="43">
        <v>0.19460000099999999</v>
      </c>
      <c r="AO1000" s="43">
        <v>0.11999999729999999</v>
      </c>
      <c r="AP1000" s="43">
        <v>0.11999999729999999</v>
      </c>
      <c r="AQ1000" s="43">
        <v>0.18000000720000001</v>
      </c>
      <c r="AR1000" s="43">
        <v>0.11999999729999999</v>
      </c>
      <c r="AS1000" s="43"/>
      <c r="AT1000" s="43"/>
      <c r="AU1000" s="43"/>
      <c r="AV1000" s="43"/>
      <c r="AW1000" s="43"/>
      <c r="AX1000" s="43"/>
      <c r="AY1000" s="43">
        <v>0.3</v>
      </c>
      <c r="AZ1000" s="43"/>
      <c r="BA1000" s="43"/>
      <c r="BB1000" s="43"/>
      <c r="BC1000" s="43"/>
      <c r="BD1000" s="43"/>
      <c r="BE1000" s="43"/>
      <c r="BF1000" s="43"/>
      <c r="BG1000" s="43"/>
      <c r="BH1000" s="43"/>
      <c r="BI1000" s="43">
        <v>0.3</v>
      </c>
      <c r="BJ1000" s="43"/>
      <c r="BK1000" s="43"/>
      <c r="BL1000" s="43"/>
      <c r="BM1000" s="43"/>
      <c r="BN1000" s="56">
        <f t="shared" si="27"/>
        <v>0.3</v>
      </c>
      <c r="BO1000" s="428">
        <f>IF(BN1000="No reported value",INDEX('WB HCW &amp; Beds'!$BU$831:$BU$835,MATCH($BP1000,'WB HCW &amp; Beds'!$BS$831:$BS$835,0)),$BN1000)</f>
        <v>0.3</v>
      </c>
      <c r="BP1000" s="132" t="str">
        <f>INDEX('HCW + Staff Summary'!$E$7:$E$270,MATCH($B1000,'HCW + Staff Summary'!$B$7:$B$270,0))</f>
        <v>Low income</v>
      </c>
      <c r="BQ1000" s="429">
        <f>INDEX('WB HCW &amp; Beds'!$BU$838:$BU$842,MATCH($BP1000,'WB HCW &amp; Beds'!$BS$838:$BS$842,0))*100</f>
        <v>1.63</v>
      </c>
    </row>
    <row r="1001" spans="2:69" x14ac:dyDescent="0.75">
      <c r="B1001" s="43" t="s">
        <v>177</v>
      </c>
      <c r="C1001" s="43" t="s">
        <v>104</v>
      </c>
      <c r="D1001" s="43" t="s">
        <v>632</v>
      </c>
      <c r="E1001" s="43" t="s">
        <v>633</v>
      </c>
      <c r="F1001" s="43">
        <v>0.418167114257813</v>
      </c>
      <c r="G1001" s="43"/>
      <c r="H1001" s="43"/>
      <c r="I1001" s="43"/>
      <c r="J1001" s="43"/>
      <c r="K1001" s="43"/>
      <c r="L1001" s="43"/>
      <c r="M1001" s="43"/>
      <c r="N1001" s="43"/>
      <c r="O1001" s="43"/>
      <c r="P1001" s="43">
        <v>0.55980002880096402</v>
      </c>
      <c r="Q1001" s="43"/>
      <c r="R1001" s="43"/>
      <c r="S1001" s="43"/>
      <c r="T1001" s="43"/>
      <c r="U1001" s="43">
        <v>0.555800020694733</v>
      </c>
      <c r="V1001" s="43"/>
      <c r="W1001" s="43"/>
      <c r="X1001" s="43"/>
      <c r="Y1001" s="43"/>
      <c r="Z1001" s="43">
        <v>0.866199970245361</v>
      </c>
      <c r="AA1001" s="43"/>
      <c r="AB1001" s="43"/>
      <c r="AC1001" s="43"/>
      <c r="AD1001" s="43"/>
      <c r="AE1001" s="43"/>
      <c r="AF1001" s="43"/>
      <c r="AG1001" s="43"/>
      <c r="AH1001" s="43">
        <v>6.37029981613159</v>
      </c>
      <c r="AI1001" s="43"/>
      <c r="AJ1001" s="43">
        <v>1.6682000159999999</v>
      </c>
      <c r="AK1001" s="43"/>
      <c r="AL1001" s="43"/>
      <c r="AM1001" s="43"/>
      <c r="AN1001" s="43"/>
      <c r="AO1001" s="43"/>
      <c r="AP1001" s="43"/>
      <c r="AQ1001" s="43"/>
      <c r="AR1001" s="43"/>
      <c r="AS1001" s="43"/>
      <c r="AT1001" s="43">
        <v>1.2</v>
      </c>
      <c r="AU1001" s="43"/>
      <c r="AV1001" s="43"/>
      <c r="AW1001" s="43"/>
      <c r="AX1001" s="43">
        <v>0.5</v>
      </c>
      <c r="AY1001" s="43"/>
      <c r="AZ1001" s="43"/>
      <c r="BA1001" s="43"/>
      <c r="BB1001" s="43"/>
      <c r="BC1001" s="43"/>
      <c r="BD1001" s="43"/>
      <c r="BE1001" s="43"/>
      <c r="BF1001" s="43"/>
      <c r="BG1001" s="43"/>
      <c r="BH1001" s="43"/>
      <c r="BI1001" s="43"/>
      <c r="BJ1001" s="43"/>
      <c r="BK1001" s="43"/>
      <c r="BL1001" s="43"/>
      <c r="BM1001" s="43"/>
      <c r="BN1001" s="56">
        <f t="shared" si="27"/>
        <v>0.5</v>
      </c>
      <c r="BO1001" s="428">
        <f>IF(BN1001="No reported value",INDEX('WB HCW &amp; Beds'!$BU$831:$BU$835,MATCH($BP1001,'WB HCW &amp; Beds'!$BS$831:$BS$835,0)),$BN1001)</f>
        <v>0.5</v>
      </c>
      <c r="BP1001" s="132" t="str">
        <f>INDEX('HCW + Staff Summary'!$E$7:$E$270,MATCH($B1001,'HCW + Staff Summary'!$B$7:$B$270,0))</f>
        <v>Lower middle income</v>
      </c>
      <c r="BQ1001" s="429">
        <f>INDEX('WB HCW &amp; Beds'!$BU$838:$BU$842,MATCH($BP1001,'WB HCW &amp; Beds'!$BS$838:$BS$842,0))*100</f>
        <v>2.3800000000000003</v>
      </c>
    </row>
    <row r="1002" spans="2:69" x14ac:dyDescent="0.75">
      <c r="B1002" s="43" t="s">
        <v>227</v>
      </c>
      <c r="C1002" s="43" t="s">
        <v>105</v>
      </c>
      <c r="D1002" s="43" t="s">
        <v>632</v>
      </c>
      <c r="E1002" s="43" t="s">
        <v>633</v>
      </c>
      <c r="F1002" s="43">
        <v>2.15823602676392</v>
      </c>
      <c r="G1002" s="43"/>
      <c r="H1002" s="43"/>
      <c r="I1002" s="43"/>
      <c r="J1002" s="43"/>
      <c r="K1002" s="43"/>
      <c r="L1002" s="43"/>
      <c r="M1002" s="43"/>
      <c r="N1002" s="43"/>
      <c r="O1002" s="43"/>
      <c r="P1002" s="43">
        <v>2.2802999019622798</v>
      </c>
      <c r="Q1002" s="43"/>
      <c r="R1002" s="43"/>
      <c r="S1002" s="43"/>
      <c r="T1002" s="43"/>
      <c r="U1002" s="43">
        <v>2.4119000434875502</v>
      </c>
      <c r="V1002" s="43"/>
      <c r="W1002" s="43"/>
      <c r="X1002" s="43"/>
      <c r="Y1002" s="43"/>
      <c r="Z1002" s="43"/>
      <c r="AA1002" s="43"/>
      <c r="AB1002" s="43"/>
      <c r="AC1002" s="43"/>
      <c r="AD1002" s="43"/>
      <c r="AE1002" s="43">
        <v>2.4059998989105198</v>
      </c>
      <c r="AF1002" s="43"/>
      <c r="AG1002" s="43"/>
      <c r="AH1002" s="43"/>
      <c r="AI1002" s="43">
        <v>1.8269000053405799</v>
      </c>
      <c r="AJ1002" s="43">
        <v>1.8213000297999999</v>
      </c>
      <c r="AK1002" s="43"/>
      <c r="AL1002" s="43"/>
      <c r="AM1002" s="43">
        <v>1.7999999523000001</v>
      </c>
      <c r="AN1002" s="43"/>
      <c r="AO1002" s="43"/>
      <c r="AP1002" s="43">
        <v>1.4800000191</v>
      </c>
      <c r="AQ1002" s="43"/>
      <c r="AR1002" s="43"/>
      <c r="AS1002" s="43"/>
      <c r="AT1002" s="43"/>
      <c r="AU1002" s="43"/>
      <c r="AV1002" s="43"/>
      <c r="AW1002" s="43">
        <v>0.89999997620000005</v>
      </c>
      <c r="AX1002" s="43">
        <v>0.9</v>
      </c>
      <c r="AY1002" s="43">
        <v>0.9</v>
      </c>
      <c r="AZ1002" s="43">
        <v>1</v>
      </c>
      <c r="BA1002" s="43">
        <v>0.9</v>
      </c>
      <c r="BB1002" s="43">
        <v>0.9</v>
      </c>
      <c r="BC1002" s="43"/>
      <c r="BD1002" s="43">
        <v>0.8</v>
      </c>
      <c r="BE1002" s="43">
        <v>1.1000000000000001</v>
      </c>
      <c r="BF1002" s="43">
        <v>0.9</v>
      </c>
      <c r="BG1002" s="43">
        <v>0.9</v>
      </c>
      <c r="BH1002" s="43">
        <v>0.9</v>
      </c>
      <c r="BI1002" s="43"/>
      <c r="BJ1002" s="43"/>
      <c r="BK1002" s="43"/>
      <c r="BL1002" s="43"/>
      <c r="BM1002" s="43"/>
      <c r="BN1002" s="56">
        <f t="shared" si="27"/>
        <v>0.9</v>
      </c>
      <c r="BO1002" s="428">
        <f>IF(BN1002="No reported value",INDEX('WB HCW &amp; Beds'!$BU$831:$BU$835,MATCH($BP1002,'WB HCW &amp; Beds'!$BS$831:$BS$835,0)),$BN1002)</f>
        <v>0.9</v>
      </c>
      <c r="BP1002" s="132" t="str">
        <f>INDEX('HCW + Staff Summary'!$E$7:$E$270,MATCH($B1002,'HCW + Staff Summary'!$B$7:$B$270,0))</f>
        <v>Lower middle income</v>
      </c>
      <c r="BQ1002" s="429">
        <f>INDEX('WB HCW &amp; Beds'!$BU$838:$BU$842,MATCH($BP1002,'WB HCW &amp; Beds'!$BS$838:$BS$842,0))*100</f>
        <v>2.3800000000000003</v>
      </c>
    </row>
    <row r="1003" spans="2:69" x14ac:dyDescent="0.75">
      <c r="B1003" s="43" t="s">
        <v>478</v>
      </c>
      <c r="C1003" s="43" t="s">
        <v>106</v>
      </c>
      <c r="D1003" s="43" t="s">
        <v>632</v>
      </c>
      <c r="E1003" s="43" t="s">
        <v>633</v>
      </c>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c r="AB1003" s="43"/>
      <c r="AC1003" s="43"/>
      <c r="AD1003" s="43"/>
      <c r="AE1003" s="43"/>
      <c r="AF1003" s="43"/>
      <c r="AG1003" s="43"/>
      <c r="AH1003" s="43"/>
      <c r="AI1003" s="43"/>
      <c r="AJ1003" s="43">
        <v>5.8000001906999996</v>
      </c>
      <c r="AK1003" s="43">
        <v>5.6999998093000004</v>
      </c>
      <c r="AL1003" s="43">
        <v>5.6999998093000004</v>
      </c>
      <c r="AM1003" s="43">
        <v>5.5999999045999997</v>
      </c>
      <c r="AN1003" s="43">
        <v>5.4000000954000003</v>
      </c>
      <c r="AO1003" s="43">
        <v>5.3000001906999996</v>
      </c>
      <c r="AP1003" s="43">
        <v>5.1999998093000004</v>
      </c>
      <c r="AQ1003" s="43">
        <v>5.1999998093000004</v>
      </c>
      <c r="AR1003" s="43">
        <v>5.0999999045999997</v>
      </c>
      <c r="AS1003" s="43">
        <v>5</v>
      </c>
      <c r="AT1003" s="43">
        <v>4.8</v>
      </c>
      <c r="AU1003" s="43">
        <v>4.7</v>
      </c>
      <c r="AV1003" s="43">
        <v>4.5999999999999996</v>
      </c>
      <c r="AW1003" s="43">
        <v>4.5</v>
      </c>
      <c r="AX1003" s="43">
        <v>4.5</v>
      </c>
      <c r="AY1003" s="43">
        <v>4.5</v>
      </c>
      <c r="AZ1003" s="43">
        <v>4.8</v>
      </c>
      <c r="BA1003" s="43">
        <v>4.7</v>
      </c>
      <c r="BB1003" s="43">
        <v>4.3</v>
      </c>
      <c r="BC1003" s="43">
        <v>4.7</v>
      </c>
      <c r="BD1003" s="43"/>
      <c r="BE1003" s="43"/>
      <c r="BF1003" s="43"/>
      <c r="BG1003" s="43"/>
      <c r="BH1003" s="43"/>
      <c r="BI1003" s="43"/>
      <c r="BJ1003" s="43"/>
      <c r="BK1003" s="43"/>
      <c r="BL1003" s="43"/>
      <c r="BM1003" s="43"/>
      <c r="BN1003" s="56">
        <f t="shared" si="27"/>
        <v>4.7</v>
      </c>
      <c r="BO1003" s="428">
        <f>IF(BN1003="No reported value",INDEX('WB HCW &amp; Beds'!$BU$831:$BU$835,MATCH($BP1003,'WB HCW &amp; Beds'!$BS$831:$BS$835,0)),$BN1003)</f>
        <v>4.7</v>
      </c>
      <c r="BP1003" s="132" t="str">
        <f>INDEX('HCW + Staff Summary'!$E$7:$E$270,MATCH($B1003,'HCW + Staff Summary'!$B$7:$B$270,0))</f>
        <v>High income</v>
      </c>
      <c r="BQ1003" s="429">
        <f>INDEX('WB HCW &amp; Beds'!$BU$838:$BU$842,MATCH($BP1003,'WB HCW &amp; Beds'!$BS$838:$BS$842,0))*100</f>
        <v>3.5700000000000003</v>
      </c>
    </row>
    <row r="1004" spans="2:69" x14ac:dyDescent="0.75">
      <c r="B1004" s="43" t="s">
        <v>488</v>
      </c>
      <c r="C1004" s="43" t="s">
        <v>107</v>
      </c>
      <c r="D1004" s="43" t="s">
        <v>632</v>
      </c>
      <c r="E1004" s="43" t="s">
        <v>633</v>
      </c>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c r="AB1004" s="43"/>
      <c r="AC1004" s="43"/>
      <c r="AD1004" s="43"/>
      <c r="AE1004" s="43"/>
      <c r="AF1004" s="43">
        <v>5.9000000953674299</v>
      </c>
      <c r="AG1004" s="43">
        <v>5.6999998092651403</v>
      </c>
      <c r="AH1004" s="43">
        <v>5.3000001907348597</v>
      </c>
      <c r="AI1004" s="43">
        <v>4.8000001907348597</v>
      </c>
      <c r="AJ1004" s="43">
        <v>4.5999999045999997</v>
      </c>
      <c r="AK1004" s="43">
        <v>4.4000000954000003</v>
      </c>
      <c r="AL1004" s="43">
        <v>4.3000001906999996</v>
      </c>
      <c r="AM1004" s="43">
        <v>4.1999998093000004</v>
      </c>
      <c r="AN1004" s="43">
        <v>4.0999999045999997</v>
      </c>
      <c r="AO1004" s="43">
        <v>4</v>
      </c>
      <c r="AP1004" s="43">
        <v>4</v>
      </c>
      <c r="AQ1004" s="43">
        <v>4</v>
      </c>
      <c r="AR1004" s="43">
        <v>4</v>
      </c>
      <c r="AS1004" s="43">
        <v>3.9000000953999998</v>
      </c>
      <c r="AT1004" s="43">
        <v>3.8</v>
      </c>
      <c r="AU1004" s="43">
        <v>3.8</v>
      </c>
      <c r="AV1004" s="43">
        <v>5</v>
      </c>
      <c r="AW1004" s="43">
        <v>5</v>
      </c>
      <c r="AX1004" s="43">
        <v>5.2</v>
      </c>
      <c r="AY1004" s="43">
        <v>5.2</v>
      </c>
      <c r="AZ1004" s="43">
        <v>5</v>
      </c>
      <c r="BA1004" s="43">
        <v>4.9000000000000004</v>
      </c>
      <c r="BB1004" s="43">
        <v>3.5</v>
      </c>
      <c r="BC1004" s="43">
        <v>3.3</v>
      </c>
      <c r="BD1004" s="43">
        <v>4.3</v>
      </c>
      <c r="BE1004" s="43">
        <v>4.2</v>
      </c>
      <c r="BF1004" s="43">
        <v>4</v>
      </c>
      <c r="BG1004" s="43">
        <v>3.9</v>
      </c>
      <c r="BH1004" s="43"/>
      <c r="BI1004" s="43"/>
      <c r="BJ1004" s="43"/>
      <c r="BK1004" s="43"/>
      <c r="BL1004" s="43"/>
      <c r="BM1004" s="43"/>
      <c r="BN1004" s="56">
        <f t="shared" si="27"/>
        <v>3.9</v>
      </c>
      <c r="BO1004" s="428">
        <f>IF(BN1004="No reported value",INDEX('WB HCW &amp; Beds'!$BU$831:$BU$835,MATCH($BP1004,'WB HCW &amp; Beds'!$BS$831:$BS$835,0)),$BN1004)</f>
        <v>3.9</v>
      </c>
      <c r="BP1004" s="132" t="str">
        <f>INDEX('HCW + Staff Summary'!$E$7:$E$270,MATCH($B1004,'HCW + Staff Summary'!$B$7:$B$270,0))</f>
        <v>High income</v>
      </c>
      <c r="BQ1004" s="429">
        <f>INDEX('WB HCW &amp; Beds'!$BU$838:$BU$842,MATCH($BP1004,'WB HCW &amp; Beds'!$BS$838:$BS$842,0))*100</f>
        <v>3.5700000000000003</v>
      </c>
    </row>
    <row r="1005" spans="2:69" x14ac:dyDescent="0.75">
      <c r="B1005" s="43" t="s">
        <v>179</v>
      </c>
      <c r="C1005" s="43" t="s">
        <v>108</v>
      </c>
      <c r="D1005" s="43" t="s">
        <v>632</v>
      </c>
      <c r="E1005" s="43" t="s">
        <v>633</v>
      </c>
      <c r="F1005" s="43">
        <v>0.11576379835605601</v>
      </c>
      <c r="G1005" s="43"/>
      <c r="H1005" s="43"/>
      <c r="I1005" s="43"/>
      <c r="J1005" s="43"/>
      <c r="K1005" s="43"/>
      <c r="L1005" s="43"/>
      <c r="M1005" s="43"/>
      <c r="N1005" s="43"/>
      <c r="O1005" s="43"/>
      <c r="P1005" s="43">
        <v>0.13529999554157299</v>
      </c>
      <c r="Q1005" s="43"/>
      <c r="R1005" s="43"/>
      <c r="S1005" s="43"/>
      <c r="T1005" s="43"/>
      <c r="U1005" s="43">
        <v>0.13770000636577601</v>
      </c>
      <c r="V1005" s="43"/>
      <c r="W1005" s="43"/>
      <c r="X1005" s="43"/>
      <c r="Y1005" s="43"/>
      <c r="Z1005" s="43">
        <v>0.17560000717639901</v>
      </c>
      <c r="AA1005" s="43"/>
      <c r="AB1005" s="43"/>
      <c r="AC1005" s="43"/>
      <c r="AD1005" s="43"/>
      <c r="AE1005" s="43">
        <v>0.18019999563694</v>
      </c>
      <c r="AF1005" s="43"/>
      <c r="AG1005" s="43">
        <v>0.22699999809265101</v>
      </c>
      <c r="AH1005" s="43">
        <v>0.23980000615119901</v>
      </c>
      <c r="AI1005" s="43">
        <v>0.24429999291896801</v>
      </c>
      <c r="AJ1005" s="43">
        <v>0.24359999600000001</v>
      </c>
      <c r="AK1005" s="43">
        <v>0.2372000068</v>
      </c>
      <c r="AL1005" s="43">
        <v>0.2425999939</v>
      </c>
      <c r="AM1005" s="43">
        <v>0.2387000024</v>
      </c>
      <c r="AN1005" s="43">
        <v>0.23229999840000001</v>
      </c>
      <c r="AO1005" s="43">
        <v>0.17000000179999999</v>
      </c>
      <c r="AP1005" s="43">
        <v>0.15999999640000001</v>
      </c>
      <c r="AQ1005" s="43">
        <v>0.17000000179999999</v>
      </c>
      <c r="AR1005" s="43"/>
      <c r="AS1005" s="43">
        <v>0.20000000300000001</v>
      </c>
      <c r="AT1005" s="43"/>
      <c r="AU1005" s="43">
        <v>0.2</v>
      </c>
      <c r="AV1005" s="43">
        <v>0.15</v>
      </c>
      <c r="AW1005" s="43"/>
      <c r="AX1005" s="43"/>
      <c r="AY1005" s="43"/>
      <c r="AZ1005" s="43">
        <v>5</v>
      </c>
      <c r="BA1005" s="43"/>
      <c r="BB1005" s="43"/>
      <c r="BC1005" s="43"/>
      <c r="BD1005" s="43"/>
      <c r="BE1005" s="43"/>
      <c r="BF1005" s="43">
        <v>0.3</v>
      </c>
      <c r="BG1005" s="43"/>
      <c r="BH1005" s="43"/>
      <c r="BI1005" s="43"/>
      <c r="BJ1005" s="43"/>
      <c r="BK1005" s="43"/>
      <c r="BL1005" s="43"/>
      <c r="BM1005" s="43"/>
      <c r="BN1005" s="56">
        <f t="shared" si="27"/>
        <v>0.3</v>
      </c>
      <c r="BO1005" s="428">
        <f>IF(BN1005="No reported value",INDEX('WB HCW &amp; Beds'!$BU$831:$BU$835,MATCH($BP1005,'WB HCW &amp; Beds'!$BS$831:$BS$835,0)),$BN1005)</f>
        <v>0.3</v>
      </c>
      <c r="BP1005" s="132" t="str">
        <f>INDEX('HCW + Staff Summary'!$E$7:$E$270,MATCH($B1005,'HCW + Staff Summary'!$B$7:$B$270,0))</f>
        <v>Low income</v>
      </c>
      <c r="BQ1005" s="429">
        <f>INDEX('WB HCW &amp; Beds'!$BU$838:$BU$842,MATCH($BP1005,'WB HCW &amp; Beds'!$BS$838:$BS$842,0))*100</f>
        <v>1.63</v>
      </c>
    </row>
    <row r="1006" spans="2:69" x14ac:dyDescent="0.75">
      <c r="B1006" s="43" t="s">
        <v>251</v>
      </c>
      <c r="C1006" s="43" t="s">
        <v>109</v>
      </c>
      <c r="D1006" s="43" t="s">
        <v>632</v>
      </c>
      <c r="E1006" s="43" t="s">
        <v>633</v>
      </c>
      <c r="F1006" s="43"/>
      <c r="G1006" s="43"/>
      <c r="H1006" s="43"/>
      <c r="I1006" s="43"/>
      <c r="J1006" s="43"/>
      <c r="K1006" s="43"/>
      <c r="L1006" s="43"/>
      <c r="M1006" s="43"/>
      <c r="N1006" s="43"/>
      <c r="O1006" s="43"/>
      <c r="P1006" s="43"/>
      <c r="Q1006" s="43"/>
      <c r="R1006" s="43"/>
      <c r="S1006" s="43"/>
      <c r="T1006" s="43"/>
      <c r="U1006" s="43"/>
      <c r="V1006" s="43"/>
      <c r="W1006" s="43"/>
      <c r="X1006" s="43"/>
      <c r="Y1006" s="43"/>
      <c r="Z1006" s="43"/>
      <c r="AA1006" s="43"/>
      <c r="AB1006" s="43"/>
      <c r="AC1006" s="43"/>
      <c r="AD1006" s="43"/>
      <c r="AE1006" s="43"/>
      <c r="AF1006" s="43"/>
      <c r="AG1006" s="43"/>
      <c r="AH1006" s="43"/>
      <c r="AI1006" s="43"/>
      <c r="AJ1006" s="43"/>
      <c r="AK1006" s="43"/>
      <c r="AL1006" s="43"/>
      <c r="AM1006" s="43"/>
      <c r="AN1006" s="43"/>
      <c r="AO1006" s="43"/>
      <c r="AP1006" s="43"/>
      <c r="AQ1006" s="43"/>
      <c r="AR1006" s="43"/>
      <c r="AS1006" s="43"/>
      <c r="AT1006" s="43"/>
      <c r="AU1006" s="43"/>
      <c r="AV1006" s="43"/>
      <c r="AW1006" s="43"/>
      <c r="AX1006" s="43">
        <v>3.5</v>
      </c>
      <c r="AY1006" s="43"/>
      <c r="AZ1006" s="43"/>
      <c r="BA1006" s="43">
        <v>3.5</v>
      </c>
      <c r="BB1006" s="43"/>
      <c r="BC1006" s="43"/>
      <c r="BD1006" s="43">
        <v>5</v>
      </c>
      <c r="BE1006" s="43"/>
      <c r="BF1006" s="43"/>
      <c r="BG1006" s="43"/>
      <c r="BH1006" s="43"/>
      <c r="BI1006" s="43"/>
      <c r="BJ1006" s="43"/>
      <c r="BK1006" s="43"/>
      <c r="BL1006" s="43"/>
      <c r="BM1006" s="43"/>
      <c r="BN1006" s="56">
        <f t="shared" si="27"/>
        <v>5</v>
      </c>
      <c r="BO1006" s="428">
        <f>IF(BN1006="No reported value",INDEX('WB HCW &amp; Beds'!$BU$831:$BU$835,MATCH($BP1006,'WB HCW &amp; Beds'!$BS$831:$BS$835,0)),$BN1006)</f>
        <v>5</v>
      </c>
      <c r="BP1006" s="132" t="str">
        <f>INDEX('HCW + Staff Summary'!$E$7:$E$270,MATCH($B1006,'HCW + Staff Summary'!$B$7:$B$270,0))</f>
        <v>Upper middle income</v>
      </c>
      <c r="BQ1006" s="429">
        <f>INDEX('WB HCW &amp; Beds'!$BU$838:$BU$842,MATCH($BP1006,'WB HCW &amp; Beds'!$BS$838:$BS$842,0))*100</f>
        <v>3.32</v>
      </c>
    </row>
    <row r="1007" spans="2:69" x14ac:dyDescent="0.75">
      <c r="B1007" s="43" t="s">
        <v>481</v>
      </c>
      <c r="C1007" s="43" t="s">
        <v>110</v>
      </c>
      <c r="D1007" s="43" t="s">
        <v>632</v>
      </c>
      <c r="E1007" s="43" t="s">
        <v>633</v>
      </c>
      <c r="F1007" s="43">
        <v>11.699999809265099</v>
      </c>
      <c r="G1007" s="43"/>
      <c r="H1007" s="43"/>
      <c r="I1007" s="43"/>
      <c r="J1007" s="43"/>
      <c r="K1007" s="43"/>
      <c r="L1007" s="43"/>
      <c r="M1007" s="43"/>
      <c r="N1007" s="43"/>
      <c r="O1007" s="43"/>
      <c r="P1007" s="43">
        <v>10.800000190734901</v>
      </c>
      <c r="Q1007" s="43"/>
      <c r="R1007" s="43"/>
      <c r="S1007" s="43"/>
      <c r="T1007" s="43"/>
      <c r="U1007" s="43"/>
      <c r="V1007" s="43"/>
      <c r="W1007" s="43"/>
      <c r="X1007" s="43"/>
      <c r="Y1007" s="43"/>
      <c r="Z1007" s="43">
        <v>10.199999809265099</v>
      </c>
      <c r="AA1007" s="43"/>
      <c r="AB1007" s="43"/>
      <c r="AC1007" s="43"/>
      <c r="AD1007" s="43"/>
      <c r="AE1007" s="43">
        <v>9.5</v>
      </c>
      <c r="AF1007" s="43"/>
      <c r="AG1007" s="43"/>
      <c r="AH1007" s="43"/>
      <c r="AI1007" s="43"/>
      <c r="AJ1007" s="43">
        <v>8.5</v>
      </c>
      <c r="AK1007" s="43">
        <v>7.4000000954000003</v>
      </c>
      <c r="AL1007" s="43">
        <v>7.0999999045999997</v>
      </c>
      <c r="AM1007" s="43">
        <v>6.5</v>
      </c>
      <c r="AN1007" s="43">
        <v>6.6999998093000004</v>
      </c>
      <c r="AO1007" s="43">
        <v>6.1999998093000004</v>
      </c>
      <c r="AP1007" s="43">
        <v>6.0999999045999997</v>
      </c>
      <c r="AQ1007" s="43">
        <v>6.0999999045999997</v>
      </c>
      <c r="AR1007" s="43">
        <v>6.1999998093000004</v>
      </c>
      <c r="AS1007" s="43"/>
      <c r="AT1007" s="43"/>
      <c r="AU1007" s="43"/>
      <c r="AV1007" s="43">
        <v>6.2</v>
      </c>
      <c r="AW1007" s="43"/>
      <c r="AX1007" s="43"/>
      <c r="AY1007" s="43"/>
      <c r="AZ1007" s="43"/>
      <c r="BA1007" s="43"/>
      <c r="BB1007" s="43"/>
      <c r="BC1007" s="43"/>
      <c r="BD1007" s="43"/>
      <c r="BE1007" s="43">
        <v>2.2999999999999998</v>
      </c>
      <c r="BF1007" s="43"/>
      <c r="BG1007" s="43">
        <v>2.8</v>
      </c>
      <c r="BH1007" s="43"/>
      <c r="BI1007" s="43"/>
      <c r="BJ1007" s="43"/>
      <c r="BK1007" s="43"/>
      <c r="BL1007" s="43"/>
      <c r="BM1007" s="43"/>
      <c r="BN1007" s="56">
        <f t="shared" si="27"/>
        <v>2.8</v>
      </c>
      <c r="BO1007" s="428">
        <f>IF(BN1007="No reported value",INDEX('WB HCW &amp; Beds'!$BU$831:$BU$835,MATCH($BP1007,'WB HCW &amp; Beds'!$BS$831:$BS$835,0)),$BN1007)</f>
        <v>2.8</v>
      </c>
      <c r="BP1007" s="132" t="str">
        <f>INDEX('HCW + Staff Summary'!$E$7:$E$270,MATCH($B1007,'HCW + Staff Summary'!$B$7:$B$270,0))</f>
        <v>High income</v>
      </c>
      <c r="BQ1007" s="429">
        <f>INDEX('WB HCW &amp; Beds'!$BU$838:$BU$842,MATCH($BP1007,'WB HCW &amp; Beds'!$BS$838:$BS$842,0))*100</f>
        <v>3.5700000000000003</v>
      </c>
    </row>
    <row r="1008" spans="2:69" x14ac:dyDescent="0.75">
      <c r="B1008" s="43" t="s">
        <v>491</v>
      </c>
      <c r="C1008" s="43" t="s">
        <v>492</v>
      </c>
      <c r="D1008" s="43" t="s">
        <v>632</v>
      </c>
      <c r="E1008" s="43" t="s">
        <v>633</v>
      </c>
      <c r="F1008" s="43">
        <v>8.7442131624740256</v>
      </c>
      <c r="G1008" s="43"/>
      <c r="H1008" s="43"/>
      <c r="I1008" s="43"/>
      <c r="J1008" s="43"/>
      <c r="K1008" s="43"/>
      <c r="L1008" s="43"/>
      <c r="M1008" s="43"/>
      <c r="N1008" s="43"/>
      <c r="O1008" s="43"/>
      <c r="P1008" s="43">
        <v>8.8947905623729824</v>
      </c>
      <c r="Q1008" s="43"/>
      <c r="R1008" s="43"/>
      <c r="S1008" s="43"/>
      <c r="T1008" s="43"/>
      <c r="U1008" s="43"/>
      <c r="V1008" s="43"/>
      <c r="W1008" s="43"/>
      <c r="X1008" s="43"/>
      <c r="Y1008" s="43"/>
      <c r="Z1008" s="43">
        <v>7.7350653770040552</v>
      </c>
      <c r="AA1008" s="43"/>
      <c r="AB1008" s="43"/>
      <c r="AC1008" s="43"/>
      <c r="AD1008" s="43"/>
      <c r="AE1008" s="43">
        <v>7.9872103073314511</v>
      </c>
      <c r="AF1008" s="43"/>
      <c r="AG1008" s="43"/>
      <c r="AH1008" s="43"/>
      <c r="AI1008" s="43"/>
      <c r="AJ1008" s="43">
        <v>5.7166644226402363</v>
      </c>
      <c r="AK1008" s="43">
        <v>5.7925378818996123</v>
      </c>
      <c r="AL1008" s="43">
        <v>5.5225421826615619</v>
      </c>
      <c r="AM1008" s="43">
        <v>6.556902384417417</v>
      </c>
      <c r="AN1008" s="43">
        <v>6.546552462756873</v>
      </c>
      <c r="AO1008" s="43">
        <v>6.3283313970569033</v>
      </c>
      <c r="AP1008" s="43">
        <v>6.1716312547385392</v>
      </c>
      <c r="AQ1008" s="43">
        <v>6.0888086891801585</v>
      </c>
      <c r="AR1008" s="43">
        <v>5.973935927441711</v>
      </c>
      <c r="AS1008" s="43">
        <v>5.8496523886823582</v>
      </c>
      <c r="AT1008" s="43">
        <v>5.7310369191667574</v>
      </c>
      <c r="AU1008" s="43">
        <v>5.5090008768331984</v>
      </c>
      <c r="AV1008" s="43">
        <v>5.5395758908533184</v>
      </c>
      <c r="AW1008" s="43">
        <v>5.5501006398735342</v>
      </c>
      <c r="AX1008" s="43">
        <v>6.2370053337927533</v>
      </c>
      <c r="AY1008" s="43">
        <v>5.6867671613433384</v>
      </c>
      <c r="AZ1008" s="43">
        <v>5.344122267617907</v>
      </c>
      <c r="BA1008" s="43">
        <v>4.1456206018053452</v>
      </c>
      <c r="BB1008" s="43">
        <v>5.442055932780776</v>
      </c>
      <c r="BC1008" s="43">
        <v>5.241282276193469</v>
      </c>
      <c r="BD1008" s="43">
        <v>3.8763858107879394</v>
      </c>
      <c r="BE1008" s="43">
        <v>3.7754126042748632</v>
      </c>
      <c r="BF1008" s="43">
        <v>5.0528859579901777</v>
      </c>
      <c r="BG1008" s="43">
        <v>3.8142804246295943</v>
      </c>
      <c r="BH1008" s="43"/>
      <c r="BI1008" s="43"/>
      <c r="BJ1008" s="43"/>
      <c r="BK1008" s="43"/>
      <c r="BL1008" s="43"/>
      <c r="BM1008" s="43"/>
      <c r="BN1008" s="56">
        <f t="shared" si="27"/>
        <v>3.8142804246295943</v>
      </c>
      <c r="BO1008" s="428">
        <f>IF(BN1008="No reported value",INDEX('WB HCW &amp; Beds'!$BU$831:$BU$835,MATCH($BP1008,'WB HCW &amp; Beds'!$BS$831:$BS$835,0)),$BN1008)</f>
        <v>3.8142804246295943</v>
      </c>
      <c r="BP1008" s="132" t="str">
        <f>INDEX('HCW + Staff Summary'!$E$7:$E$270,MATCH($B1008,'HCW + Staff Summary'!$B$7:$B$270,0))</f>
        <v>OUT</v>
      </c>
      <c r="BQ1008" s="429">
        <f>INDEX('WB HCW &amp; Beds'!$BU$838:$BU$842,MATCH($BP1008,'WB HCW &amp; Beds'!$BS$838:$BS$842,0))*100</f>
        <v>2.7250000000000001</v>
      </c>
    </row>
    <row r="1009" spans="2:69" x14ac:dyDescent="0.75">
      <c r="B1009" s="43" t="s">
        <v>493</v>
      </c>
      <c r="C1009" s="43" t="s">
        <v>111</v>
      </c>
      <c r="D1009" s="43" t="s">
        <v>632</v>
      </c>
      <c r="E1009" s="43" t="s">
        <v>633</v>
      </c>
      <c r="F1009" s="43">
        <v>0.33512544631958002</v>
      </c>
      <c r="G1009" s="43"/>
      <c r="H1009" s="43"/>
      <c r="I1009" s="43"/>
      <c r="J1009" s="43"/>
      <c r="K1009" s="43"/>
      <c r="L1009" s="43"/>
      <c r="M1009" s="43"/>
      <c r="N1009" s="43"/>
      <c r="O1009" s="43"/>
      <c r="P1009" s="43"/>
      <c r="Q1009" s="43"/>
      <c r="R1009" s="43"/>
      <c r="S1009" s="43"/>
      <c r="T1009" s="43"/>
      <c r="U1009" s="43"/>
      <c r="V1009" s="43"/>
      <c r="W1009" s="43"/>
      <c r="X1009" s="43"/>
      <c r="Y1009" s="43"/>
      <c r="Z1009" s="43">
        <v>1.62030005455017</v>
      </c>
      <c r="AA1009" s="43">
        <v>1.60759997367859</v>
      </c>
      <c r="AB1009" s="43"/>
      <c r="AC1009" s="43"/>
      <c r="AD1009" s="43"/>
      <c r="AE1009" s="43"/>
      <c r="AF1009" s="43"/>
      <c r="AG1009" s="43"/>
      <c r="AH1009" s="43"/>
      <c r="AI1009" s="43">
        <v>2.5072000026702899</v>
      </c>
      <c r="AJ1009" s="43">
        <v>2.1087999343999999</v>
      </c>
      <c r="AK1009" s="43"/>
      <c r="AL1009" s="43"/>
      <c r="AM1009" s="43"/>
      <c r="AN1009" s="43"/>
      <c r="AO1009" s="43"/>
      <c r="AP1009" s="43"/>
      <c r="AQ1009" s="43"/>
      <c r="AR1009" s="43">
        <v>2.2000000477000001</v>
      </c>
      <c r="AS1009" s="43"/>
      <c r="AT1009" s="43">
        <v>2.2000000000000002</v>
      </c>
      <c r="AU1009" s="43">
        <v>2.1</v>
      </c>
      <c r="AV1009" s="43">
        <v>2</v>
      </c>
      <c r="AW1009" s="43">
        <v>2</v>
      </c>
      <c r="AX1009" s="43">
        <v>2.2000000000000002</v>
      </c>
      <c r="AY1009" s="43">
        <v>2.1</v>
      </c>
      <c r="AZ1009" s="43">
        <v>2.1</v>
      </c>
      <c r="BA1009" s="43">
        <v>2</v>
      </c>
      <c r="BB1009" s="43">
        <v>2</v>
      </c>
      <c r="BC1009" s="43">
        <v>1.8</v>
      </c>
      <c r="BD1009" s="43">
        <v>1.8</v>
      </c>
      <c r="BE1009" s="43">
        <v>1.8</v>
      </c>
      <c r="BF1009" s="43">
        <v>1.7</v>
      </c>
      <c r="BG1009" s="43">
        <v>1.7</v>
      </c>
      <c r="BH1009" s="43">
        <v>1.6</v>
      </c>
      <c r="BI1009" s="43"/>
      <c r="BJ1009" s="43"/>
      <c r="BK1009" s="43"/>
      <c r="BL1009" s="43"/>
      <c r="BM1009" s="43"/>
      <c r="BN1009" s="56">
        <f t="shared" si="27"/>
        <v>1.6</v>
      </c>
      <c r="BO1009" s="428">
        <f>IF(BN1009="No reported value",INDEX('WB HCW &amp; Beds'!$BU$831:$BU$835,MATCH($BP1009,'WB HCW &amp; Beds'!$BS$831:$BS$835,0)),$BN1009)</f>
        <v>1.6</v>
      </c>
      <c r="BP1009" s="132" t="str">
        <f>INDEX('HCW + Staff Summary'!$E$7:$E$270,MATCH($B1009,'HCW + Staff Summary'!$B$7:$B$270,0))</f>
        <v>High income</v>
      </c>
      <c r="BQ1009" s="429">
        <f>INDEX('WB HCW &amp; Beds'!$BU$838:$BU$842,MATCH($BP1009,'WB HCW &amp; Beds'!$BS$838:$BS$842,0))*100</f>
        <v>3.5700000000000003</v>
      </c>
    </row>
    <row r="1010" spans="2:69" x14ac:dyDescent="0.75">
      <c r="B1010" s="43" t="s">
        <v>494</v>
      </c>
      <c r="C1010" s="43" t="s">
        <v>495</v>
      </c>
      <c r="D1010" s="43" t="s">
        <v>632</v>
      </c>
      <c r="E1010" s="43" t="s">
        <v>633</v>
      </c>
      <c r="F1010" s="43"/>
      <c r="G1010" s="43"/>
      <c r="H1010" s="43"/>
      <c r="I1010" s="43"/>
      <c r="J1010" s="43"/>
      <c r="K1010" s="43"/>
      <c r="L1010" s="43"/>
      <c r="M1010" s="43"/>
      <c r="N1010" s="43"/>
      <c r="O1010" s="43"/>
      <c r="P1010" s="43"/>
      <c r="Q1010" s="43"/>
      <c r="R1010" s="43"/>
      <c r="S1010" s="43"/>
      <c r="T1010" s="43"/>
      <c r="U1010" s="43"/>
      <c r="V1010" s="43"/>
      <c r="W1010" s="43"/>
      <c r="X1010" s="43"/>
      <c r="Y1010" s="43"/>
      <c r="Z1010" s="43"/>
      <c r="AA1010" s="43"/>
      <c r="AB1010" s="43"/>
      <c r="AC1010" s="43"/>
      <c r="AD1010" s="43"/>
      <c r="AE1010" s="43"/>
      <c r="AF1010" s="43"/>
      <c r="AG1010" s="43"/>
      <c r="AH1010" s="43"/>
      <c r="AI1010" s="43"/>
      <c r="AJ1010" s="43"/>
      <c r="AK1010" s="43"/>
      <c r="AL1010" s="43"/>
      <c r="AM1010" s="43"/>
      <c r="AN1010" s="43"/>
      <c r="AO1010" s="43"/>
      <c r="AP1010" s="43"/>
      <c r="AQ1010" s="4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56" t="str">
        <f t="shared" si="27"/>
        <v>No reported value</v>
      </c>
      <c r="BO1010" s="428">
        <f>IF(BN1010="No reported value",INDEX('WB HCW &amp; Beds'!$BU$831:$BU$835,MATCH($BP1010,'WB HCW &amp; Beds'!$BS$831:$BS$835,0)),$BN1010)</f>
        <v>2.7</v>
      </c>
      <c r="BP1010" s="132" t="str">
        <f>INDEX('HCW + Staff Summary'!$E$7:$E$270,MATCH($B1010,'HCW + Staff Summary'!$B$7:$B$270,0))</f>
        <v>OUT</v>
      </c>
      <c r="BQ1010" s="429">
        <f>INDEX('WB HCW &amp; Beds'!$BU$838:$BU$842,MATCH($BP1010,'WB HCW &amp; Beds'!$BS$838:$BS$842,0))*100</f>
        <v>2.7250000000000001</v>
      </c>
    </row>
    <row r="1011" spans="2:69" x14ac:dyDescent="0.75">
      <c r="B1011" s="43" t="s">
        <v>176</v>
      </c>
      <c r="C1011" s="43" t="s">
        <v>112</v>
      </c>
      <c r="D1011" s="43" t="s">
        <v>632</v>
      </c>
      <c r="E1011" s="43" t="s">
        <v>633</v>
      </c>
      <c r="F1011" s="43">
        <v>0.55726158618927002</v>
      </c>
      <c r="G1011" s="43"/>
      <c r="H1011" s="43"/>
      <c r="I1011" s="43"/>
      <c r="J1011" s="43"/>
      <c r="K1011" s="43"/>
      <c r="L1011" s="43"/>
      <c r="M1011" s="43"/>
      <c r="N1011" s="43"/>
      <c r="O1011" s="43"/>
      <c r="P1011" s="43">
        <v>0.52079999446868896</v>
      </c>
      <c r="Q1011" s="43"/>
      <c r="R1011" s="43"/>
      <c r="S1011" s="43"/>
      <c r="T1011" s="43"/>
      <c r="U1011" s="43">
        <v>0.52630001306533802</v>
      </c>
      <c r="V1011" s="43"/>
      <c r="W1011" s="43"/>
      <c r="X1011" s="43"/>
      <c r="Y1011" s="43"/>
      <c r="Z1011" s="43">
        <v>0.57309997081756603</v>
      </c>
      <c r="AA1011" s="43">
        <v>0.5692999958992</v>
      </c>
      <c r="AB1011" s="43"/>
      <c r="AC1011" s="43"/>
      <c r="AD1011" s="43"/>
      <c r="AE1011" s="43"/>
      <c r="AF1011" s="43">
        <v>0.59950000047683705</v>
      </c>
      <c r="AG1011" s="43"/>
      <c r="AH1011" s="43"/>
      <c r="AI1011" s="43">
        <v>0.60430002212524403</v>
      </c>
      <c r="AJ1011" s="43">
        <v>0.63999998570000005</v>
      </c>
      <c r="AK1011" s="43">
        <v>0.65219998359999998</v>
      </c>
      <c r="AL1011" s="43">
        <v>0.64469999069999995</v>
      </c>
      <c r="AM1011" s="43">
        <v>0.65149998659999997</v>
      </c>
      <c r="AN1011" s="43"/>
      <c r="AO1011" s="43"/>
      <c r="AP1011" s="43"/>
      <c r="AQ1011" s="43"/>
      <c r="AR1011" s="43"/>
      <c r="AS1011" s="43"/>
      <c r="AT1011" s="43">
        <v>0.7</v>
      </c>
      <c r="AU1011" s="43">
        <v>0.7</v>
      </c>
      <c r="AV1011" s="43">
        <v>0.7</v>
      </c>
      <c r="AW1011" s="43">
        <v>0.7</v>
      </c>
      <c r="AX1011" s="43">
        <v>0.7</v>
      </c>
      <c r="AY1011" s="43">
        <v>0.7</v>
      </c>
      <c r="AZ1011" s="43">
        <v>1.3</v>
      </c>
      <c r="BA1011" s="43">
        <v>1</v>
      </c>
      <c r="BB1011" s="43">
        <v>0.6</v>
      </c>
      <c r="BC1011" s="43">
        <v>0.6</v>
      </c>
      <c r="BD1011" s="43">
        <v>0.6</v>
      </c>
      <c r="BE1011" s="43">
        <v>0.6</v>
      </c>
      <c r="BF1011" s="43">
        <v>0.6</v>
      </c>
      <c r="BG1011" s="43">
        <v>0.6</v>
      </c>
      <c r="BH1011" s="43">
        <v>0.6</v>
      </c>
      <c r="BI1011" s="43"/>
      <c r="BJ1011" s="43"/>
      <c r="BK1011" s="43"/>
      <c r="BL1011" s="43"/>
      <c r="BM1011" s="43"/>
      <c r="BN1011" s="56">
        <f t="shared" si="27"/>
        <v>0.6</v>
      </c>
      <c r="BO1011" s="428">
        <f>IF(BN1011="No reported value",INDEX('WB HCW &amp; Beds'!$BU$831:$BU$835,MATCH($BP1011,'WB HCW &amp; Beds'!$BS$831:$BS$835,0)),$BN1011)</f>
        <v>0.6</v>
      </c>
      <c r="BP1011" s="132" t="str">
        <f>INDEX('HCW + Staff Summary'!$E$7:$E$270,MATCH($B1011,'HCW + Staff Summary'!$B$7:$B$270,0))</f>
        <v>Lower middle income</v>
      </c>
      <c r="BQ1011" s="429">
        <f>INDEX('WB HCW &amp; Beds'!$BU$838:$BU$842,MATCH($BP1011,'WB HCW &amp; Beds'!$BS$838:$BS$842,0))*100</f>
        <v>2.3800000000000003</v>
      </c>
    </row>
    <row r="1012" spans="2:69" x14ac:dyDescent="0.75">
      <c r="B1012" s="43" t="s">
        <v>500</v>
      </c>
      <c r="C1012" s="43" t="s">
        <v>113</v>
      </c>
      <c r="D1012" s="43" t="s">
        <v>632</v>
      </c>
      <c r="E1012" s="43" t="s">
        <v>633</v>
      </c>
      <c r="F1012" s="43">
        <v>3.7753107547760001</v>
      </c>
      <c r="G1012" s="43"/>
      <c r="H1012" s="43"/>
      <c r="I1012" s="43"/>
      <c r="J1012" s="43"/>
      <c r="K1012" s="43"/>
      <c r="L1012" s="43"/>
      <c r="M1012" s="43"/>
      <c r="N1012" s="43"/>
      <c r="O1012" s="43"/>
      <c r="P1012" s="43">
        <v>2.97410011291504</v>
      </c>
      <c r="Q1012" s="43"/>
      <c r="R1012" s="43"/>
      <c r="S1012" s="43"/>
      <c r="T1012" s="43"/>
      <c r="U1012" s="43">
        <v>3.3817000389099099</v>
      </c>
      <c r="V1012" s="43"/>
      <c r="W1012" s="43"/>
      <c r="X1012" s="43"/>
      <c r="Y1012" s="43"/>
      <c r="Z1012" s="43"/>
      <c r="AA1012" s="43"/>
      <c r="AB1012" s="43"/>
      <c r="AC1012" s="43"/>
      <c r="AD1012" s="43"/>
      <c r="AE1012" s="43">
        <v>3.35330009460449</v>
      </c>
      <c r="AF1012" s="43"/>
      <c r="AG1012" s="43"/>
      <c r="AH1012" s="43"/>
      <c r="AI1012" s="43"/>
      <c r="AJ1012" s="43">
        <v>2.5</v>
      </c>
      <c r="AK1012" s="43"/>
      <c r="AL1012" s="43"/>
      <c r="AM1012" s="43">
        <v>2.7000000477000001</v>
      </c>
      <c r="AN1012" s="43"/>
      <c r="AO1012" s="43"/>
      <c r="AP1012" s="43">
        <v>2.2100000381</v>
      </c>
      <c r="AQ1012" s="43"/>
      <c r="AR1012" s="43"/>
      <c r="AS1012" s="43"/>
      <c r="AT1012" s="43"/>
      <c r="AU1012" s="43"/>
      <c r="AV1012" s="43">
        <v>2.5</v>
      </c>
      <c r="AW1012" s="43"/>
      <c r="AX1012" s="43">
        <v>2.4</v>
      </c>
      <c r="AY1012" s="43">
        <v>2.2000000000000002</v>
      </c>
      <c r="AZ1012" s="43">
        <v>2.2999999999999998</v>
      </c>
      <c r="BA1012" s="43">
        <v>2.2999999999999998</v>
      </c>
      <c r="BB1012" s="43">
        <v>2.2999999999999998</v>
      </c>
      <c r="BC1012" s="43">
        <v>2.2999999999999998</v>
      </c>
      <c r="BD1012" s="43">
        <v>2.4</v>
      </c>
      <c r="BE1012" s="43">
        <v>2.2000000000000002</v>
      </c>
      <c r="BF1012" s="43">
        <v>2.2999999999999998</v>
      </c>
      <c r="BG1012" s="43">
        <v>2.2999999999999998</v>
      </c>
      <c r="BH1012" s="43"/>
      <c r="BI1012" s="43"/>
      <c r="BJ1012" s="43"/>
      <c r="BK1012" s="43"/>
      <c r="BL1012" s="43"/>
      <c r="BM1012" s="43"/>
      <c r="BN1012" s="56">
        <f t="shared" si="27"/>
        <v>2.2999999999999998</v>
      </c>
      <c r="BO1012" s="428">
        <f>IF(BN1012="No reported value",INDEX('WB HCW &amp; Beds'!$BU$831:$BU$835,MATCH($BP1012,'WB HCW &amp; Beds'!$BS$831:$BS$835,0)),$BN1012)</f>
        <v>2.2999999999999998</v>
      </c>
      <c r="BP1012" s="132" t="str">
        <f>INDEX('HCW + Staff Summary'!$E$7:$E$270,MATCH($B1012,'HCW + Staff Summary'!$B$7:$B$270,0))</f>
        <v>High income</v>
      </c>
      <c r="BQ1012" s="429">
        <f>INDEX('WB HCW &amp; Beds'!$BU$838:$BU$842,MATCH($BP1012,'WB HCW &amp; Beds'!$BS$838:$BS$842,0))*100</f>
        <v>3.5700000000000003</v>
      </c>
    </row>
    <row r="1013" spans="2:69" x14ac:dyDescent="0.75">
      <c r="B1013" s="43" t="s">
        <v>501</v>
      </c>
      <c r="C1013" s="43" t="s">
        <v>114</v>
      </c>
      <c r="D1013" s="43" t="s">
        <v>632</v>
      </c>
      <c r="E1013" s="43" t="s">
        <v>633</v>
      </c>
      <c r="F1013" s="43">
        <v>2.41143894195557</v>
      </c>
      <c r="G1013" s="43"/>
      <c r="H1013" s="43"/>
      <c r="I1013" s="43"/>
      <c r="J1013" s="43"/>
      <c r="K1013" s="43"/>
      <c r="L1013" s="43"/>
      <c r="M1013" s="43"/>
      <c r="N1013" s="43"/>
      <c r="O1013" s="43"/>
      <c r="P1013" s="43">
        <v>2.1728000640869101</v>
      </c>
      <c r="Q1013" s="43"/>
      <c r="R1013" s="43"/>
      <c r="S1013" s="43"/>
      <c r="T1013" s="43"/>
      <c r="U1013" s="43">
        <v>2.5</v>
      </c>
      <c r="V1013" s="43"/>
      <c r="W1013" s="43"/>
      <c r="X1013" s="43"/>
      <c r="Y1013" s="43"/>
      <c r="Z1013" s="43"/>
      <c r="AA1013" s="43"/>
      <c r="AB1013" s="43"/>
      <c r="AC1013" s="43"/>
      <c r="AD1013" s="43"/>
      <c r="AE1013" s="43">
        <v>1.6844999790191699</v>
      </c>
      <c r="AF1013" s="43"/>
      <c r="AG1013" s="43"/>
      <c r="AH1013" s="43"/>
      <c r="AI1013" s="43"/>
      <c r="AJ1013" s="43">
        <v>1.4132000208</v>
      </c>
      <c r="AK1013" s="43"/>
      <c r="AL1013" s="43">
        <v>1.5</v>
      </c>
      <c r="AM1013" s="43">
        <v>1.2999999523000001</v>
      </c>
      <c r="AN1013" s="43">
        <v>1.3571000098999999</v>
      </c>
      <c r="AO1013" s="43"/>
      <c r="AP1013" s="43">
        <v>1.4700000285999999</v>
      </c>
      <c r="AQ1013" s="43"/>
      <c r="AR1013" s="43"/>
      <c r="AS1013" s="43"/>
      <c r="AT1013" s="43"/>
      <c r="AU1013" s="43"/>
      <c r="AV1013" s="43"/>
      <c r="AW1013" s="43">
        <v>1.3999999761999999</v>
      </c>
      <c r="AX1013" s="43">
        <v>0.9</v>
      </c>
      <c r="AY1013" s="43"/>
      <c r="AZ1013" s="43"/>
      <c r="BA1013" s="43">
        <v>1.2</v>
      </c>
      <c r="BB1013" s="43">
        <v>1.5</v>
      </c>
      <c r="BC1013" s="43">
        <v>1.6</v>
      </c>
      <c r="BD1013" s="43">
        <v>1.5</v>
      </c>
      <c r="BE1013" s="43">
        <v>1.5</v>
      </c>
      <c r="BF1013" s="43">
        <v>1.5</v>
      </c>
      <c r="BG1013" s="43">
        <v>1.5</v>
      </c>
      <c r="BH1013" s="43">
        <v>1.6</v>
      </c>
      <c r="BI1013" s="43"/>
      <c r="BJ1013" s="43"/>
      <c r="BK1013" s="43"/>
      <c r="BL1013" s="43"/>
      <c r="BM1013" s="43"/>
      <c r="BN1013" s="56">
        <f t="shared" si="27"/>
        <v>1.6</v>
      </c>
      <c r="BO1013" s="428">
        <f>IF(BN1013="No reported value",INDEX('WB HCW &amp; Beds'!$BU$831:$BU$835,MATCH($BP1013,'WB HCW &amp; Beds'!$BS$831:$BS$835,0)),$BN1013)</f>
        <v>1.6</v>
      </c>
      <c r="BP1013" s="132" t="str">
        <f>INDEX('HCW + Staff Summary'!$E$7:$E$270,MATCH($B1013,'HCW + Staff Summary'!$B$7:$B$270,0))</f>
        <v>Upper middle income</v>
      </c>
      <c r="BQ1013" s="429">
        <f>INDEX('WB HCW &amp; Beds'!$BU$838:$BU$842,MATCH($BP1013,'WB HCW &amp; Beds'!$BS$838:$BS$842,0))*100</f>
        <v>3.32</v>
      </c>
    </row>
    <row r="1014" spans="2:69" x14ac:dyDescent="0.75">
      <c r="B1014" s="43" t="s">
        <v>253</v>
      </c>
      <c r="C1014" s="43" t="s">
        <v>115</v>
      </c>
      <c r="D1014" s="43" t="s">
        <v>632</v>
      </c>
      <c r="E1014" s="43" t="s">
        <v>633</v>
      </c>
      <c r="F1014" s="43">
        <v>0.83895766735076904</v>
      </c>
      <c r="G1014" s="43"/>
      <c r="H1014" s="43"/>
      <c r="I1014" s="43"/>
      <c r="J1014" s="43"/>
      <c r="K1014" s="43"/>
      <c r="L1014" s="43"/>
      <c r="M1014" s="43"/>
      <c r="N1014" s="43"/>
      <c r="O1014" s="43"/>
      <c r="P1014" s="43">
        <v>1.1898000240325901</v>
      </c>
      <c r="Q1014" s="43"/>
      <c r="R1014" s="43"/>
      <c r="S1014" s="43"/>
      <c r="T1014" s="43"/>
      <c r="U1014" s="43">
        <v>1.70949995517731</v>
      </c>
      <c r="V1014" s="43">
        <v>1.70940005779266</v>
      </c>
      <c r="W1014" s="43"/>
      <c r="X1014" s="43"/>
      <c r="Y1014" s="43"/>
      <c r="Z1014" s="43">
        <v>1.708899974823</v>
      </c>
      <c r="AA1014" s="43"/>
      <c r="AB1014" s="43">
        <v>1.71350002288818</v>
      </c>
      <c r="AC1014" s="43">
        <v>1.7146999835968</v>
      </c>
      <c r="AD1014" s="43">
        <v>1.71529996395111</v>
      </c>
      <c r="AE1014" s="43">
        <v>1.7556999921798699</v>
      </c>
      <c r="AF1014" s="43">
        <v>1.71420001983643</v>
      </c>
      <c r="AG1014" s="43"/>
      <c r="AH1014" s="43"/>
      <c r="AI1014" s="43"/>
      <c r="AJ1014" s="43">
        <v>1.3918999433999999</v>
      </c>
      <c r="AK1014" s="43">
        <v>1.2745000124000001</v>
      </c>
      <c r="AL1014" s="43">
        <v>1.3701000214000001</v>
      </c>
      <c r="AM1014" s="43">
        <v>1.0710999966000001</v>
      </c>
      <c r="AN1014" s="43"/>
      <c r="AO1014" s="43"/>
      <c r="AP1014" s="43"/>
      <c r="AQ1014" s="43"/>
      <c r="AR1014" s="43"/>
      <c r="AS1014" s="43"/>
      <c r="AT1014" s="43"/>
      <c r="AU1014" s="43">
        <v>1</v>
      </c>
      <c r="AV1014" s="43">
        <v>0.5</v>
      </c>
      <c r="AW1014" s="43"/>
      <c r="AX1014" s="43"/>
      <c r="AY1014" s="43"/>
      <c r="AZ1014" s="43">
        <v>0.5</v>
      </c>
      <c r="BA1014" s="43">
        <v>0.5</v>
      </c>
      <c r="BB1014" s="43">
        <v>0.5</v>
      </c>
      <c r="BC1014" s="43">
        <v>0.5</v>
      </c>
      <c r="BD1014" s="43">
        <v>0.5</v>
      </c>
      <c r="BE1014" s="43">
        <v>1</v>
      </c>
      <c r="BF1014" s="43"/>
      <c r="BG1014" s="43"/>
      <c r="BH1014" s="43"/>
      <c r="BI1014" s="43"/>
      <c r="BJ1014" s="43"/>
      <c r="BK1014" s="43"/>
      <c r="BL1014" s="43"/>
      <c r="BM1014" s="43"/>
      <c r="BN1014" s="56">
        <f t="shared" si="27"/>
        <v>1</v>
      </c>
      <c r="BO1014" s="428">
        <f>IF(BN1014="No reported value",INDEX('WB HCW &amp; Beds'!$BU$831:$BU$835,MATCH($BP1014,'WB HCW &amp; Beds'!$BS$831:$BS$835,0)),$BN1014)</f>
        <v>1</v>
      </c>
      <c r="BP1014" s="132" t="str">
        <f>INDEX('HCW + Staff Summary'!$E$7:$E$270,MATCH($B1014,'HCW + Staff Summary'!$B$7:$B$270,0))</f>
        <v>Lower middle income</v>
      </c>
      <c r="BQ1014" s="429">
        <f>INDEX('WB HCW &amp; Beds'!$BU$838:$BU$842,MATCH($BP1014,'WB HCW &amp; Beds'!$BS$838:$BS$842,0))*100</f>
        <v>2.3800000000000003</v>
      </c>
    </row>
    <row r="1015" spans="2:69" x14ac:dyDescent="0.75">
      <c r="B1015" s="43" t="s">
        <v>498</v>
      </c>
      <c r="C1015" s="43" t="s">
        <v>499</v>
      </c>
      <c r="D1015" s="43" t="s">
        <v>632</v>
      </c>
      <c r="E1015" s="43" t="s">
        <v>633</v>
      </c>
      <c r="F1015" s="43"/>
      <c r="G1015" s="43"/>
      <c r="H1015" s="43"/>
      <c r="I1015" s="43"/>
      <c r="J1015" s="43"/>
      <c r="K1015" s="43"/>
      <c r="L1015" s="43"/>
      <c r="M1015" s="43"/>
      <c r="N1015" s="43"/>
      <c r="O1015" s="43"/>
      <c r="P1015" s="43"/>
      <c r="Q1015" s="43"/>
      <c r="R1015" s="43"/>
      <c r="S1015" s="43"/>
      <c r="T1015" s="43"/>
      <c r="U1015" s="43"/>
      <c r="V1015" s="43"/>
      <c r="W1015" s="43"/>
      <c r="X1015" s="43"/>
      <c r="Y1015" s="43"/>
      <c r="Z1015" s="43"/>
      <c r="AA1015" s="43"/>
      <c r="AB1015" s="43"/>
      <c r="AC1015" s="43"/>
      <c r="AD1015" s="43"/>
      <c r="AE1015" s="43"/>
      <c r="AF1015" s="43"/>
      <c r="AG1015" s="43"/>
      <c r="AH1015" s="43"/>
      <c r="AI1015" s="43"/>
      <c r="AJ1015" s="43"/>
      <c r="AK1015" s="43"/>
      <c r="AL1015" s="43"/>
      <c r="AM1015" s="43"/>
      <c r="AN1015" s="43"/>
      <c r="AO1015" s="43"/>
      <c r="AP1015" s="43"/>
      <c r="AQ1015" s="43"/>
      <c r="AR1015" s="43">
        <v>4.4000000000000004</v>
      </c>
      <c r="AS1015" s="43"/>
      <c r="AT1015" s="43"/>
      <c r="AU1015" s="43"/>
      <c r="AV1015" s="43"/>
      <c r="AW1015" s="43"/>
      <c r="AX1015" s="43"/>
      <c r="AY1015" s="43"/>
      <c r="AZ1015" s="43">
        <v>5.9</v>
      </c>
      <c r="BA1015" s="43">
        <v>5</v>
      </c>
      <c r="BB1015" s="43"/>
      <c r="BC1015" s="43">
        <v>4.9000000000000004</v>
      </c>
      <c r="BD1015" s="43">
        <v>4.8</v>
      </c>
      <c r="BE1015" s="43"/>
      <c r="BF1015" s="43"/>
      <c r="BG1015" s="43"/>
      <c r="BH1015" s="43"/>
      <c r="BI1015" s="43"/>
      <c r="BJ1015" s="43"/>
      <c r="BK1015" s="43"/>
      <c r="BL1015" s="43"/>
      <c r="BM1015" s="43"/>
      <c r="BN1015" s="56">
        <f t="shared" si="27"/>
        <v>4.8</v>
      </c>
      <c r="BO1015" s="428">
        <f>IF(BN1015="No reported value",INDEX('WB HCW &amp; Beds'!$BU$831:$BU$835,MATCH($BP1015,'WB HCW &amp; Beds'!$BS$831:$BS$835,0)),$BN1015)</f>
        <v>4.8</v>
      </c>
      <c r="BP1015" s="132" t="str">
        <f>INDEX('HCW + Staff Summary'!$E$7:$E$270,MATCH($B1015,'HCW + Staff Summary'!$B$7:$B$270,0))</f>
        <v>High income</v>
      </c>
      <c r="BQ1015" s="429">
        <f>INDEX('WB HCW &amp; Beds'!$BU$838:$BU$842,MATCH($BP1015,'WB HCW &amp; Beds'!$BS$838:$BS$842,0))*100</f>
        <v>3.5700000000000003</v>
      </c>
    </row>
    <row r="1016" spans="2:69" x14ac:dyDescent="0.75">
      <c r="B1016" s="43" t="s">
        <v>252</v>
      </c>
      <c r="C1016" s="43" t="s">
        <v>116</v>
      </c>
      <c r="D1016" s="43" t="s">
        <v>632</v>
      </c>
      <c r="E1016" s="43" t="s">
        <v>633</v>
      </c>
      <c r="F1016" s="43"/>
      <c r="G1016" s="43"/>
      <c r="H1016" s="43"/>
      <c r="I1016" s="43"/>
      <c r="J1016" s="43"/>
      <c r="K1016" s="43"/>
      <c r="L1016" s="43"/>
      <c r="M1016" s="43"/>
      <c r="N1016" s="43"/>
      <c r="O1016" s="43"/>
      <c r="P1016" s="43">
        <v>6.6023998260498002</v>
      </c>
      <c r="Q1016" s="43"/>
      <c r="R1016" s="43"/>
      <c r="S1016" s="43"/>
      <c r="T1016" s="43"/>
      <c r="U1016" s="43">
        <v>4.9432001113891602</v>
      </c>
      <c r="V1016" s="43"/>
      <c r="W1016" s="43"/>
      <c r="X1016" s="43"/>
      <c r="Y1016" s="43"/>
      <c r="Z1016" s="43">
        <v>5.5444002151489302</v>
      </c>
      <c r="AA1016" s="43"/>
      <c r="AB1016" s="43"/>
      <c r="AC1016" s="43"/>
      <c r="AD1016" s="43">
        <v>4.9983000755310103</v>
      </c>
      <c r="AE1016" s="43">
        <v>4.7354001998901403</v>
      </c>
      <c r="AF1016" s="43"/>
      <c r="AG1016" s="43"/>
      <c r="AH1016" s="43"/>
      <c r="AI1016" s="43">
        <v>3.3299000263214098</v>
      </c>
      <c r="AJ1016" s="43">
        <v>4.0241999626</v>
      </c>
      <c r="AK1016" s="43"/>
      <c r="AL1016" s="43"/>
      <c r="AM1016" s="43"/>
      <c r="AN1016" s="43"/>
      <c r="AO1016" s="43"/>
      <c r="AP1016" s="43"/>
      <c r="AQ1016" s="4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56">
        <f t="shared" si="27"/>
        <v>4.0241999626</v>
      </c>
      <c r="BO1016" s="428">
        <f>IF(BN1016="No reported value",INDEX('WB HCW &amp; Beds'!$BU$831:$BU$835,MATCH($BP1016,'WB HCW &amp; Beds'!$BS$831:$BS$835,0)),$BN1016)</f>
        <v>4.0241999626</v>
      </c>
      <c r="BP1016" s="132" t="str">
        <f>INDEX('HCW + Staff Summary'!$E$7:$E$270,MATCH($B1016,'HCW + Staff Summary'!$B$7:$B$270,0))</f>
        <v>Lower middle income</v>
      </c>
      <c r="BQ1016" s="429">
        <f>INDEX('WB HCW &amp; Beds'!$BU$838:$BU$842,MATCH($BP1016,'WB HCW &amp; Beds'!$BS$838:$BS$842,0))*100</f>
        <v>2.3800000000000003</v>
      </c>
    </row>
    <row r="1017" spans="2:69" x14ac:dyDescent="0.75">
      <c r="B1017" s="43" t="s">
        <v>502</v>
      </c>
      <c r="C1017" s="43" t="s">
        <v>117</v>
      </c>
      <c r="D1017" s="43" t="s">
        <v>632</v>
      </c>
      <c r="E1017" s="43" t="s">
        <v>633</v>
      </c>
      <c r="F1017" s="43">
        <v>4.5999999046325701</v>
      </c>
      <c r="G1017" s="43"/>
      <c r="H1017" s="43"/>
      <c r="I1017" s="43"/>
      <c r="J1017" s="43"/>
      <c r="K1017" s="43"/>
      <c r="L1017" s="43"/>
      <c r="M1017" s="43"/>
      <c r="N1017" s="43"/>
      <c r="O1017" s="43"/>
      <c r="P1017" s="43">
        <v>5.1999998092651403</v>
      </c>
      <c r="Q1017" s="43"/>
      <c r="R1017" s="43"/>
      <c r="S1017" s="43"/>
      <c r="T1017" s="43"/>
      <c r="U1017" s="43"/>
      <c r="V1017" s="43"/>
      <c r="W1017" s="43"/>
      <c r="X1017" s="43"/>
      <c r="Y1017" s="43"/>
      <c r="Z1017" s="43">
        <v>5.5999999046325701</v>
      </c>
      <c r="AA1017" s="43"/>
      <c r="AB1017" s="43"/>
      <c r="AC1017" s="43"/>
      <c r="AD1017" s="43"/>
      <c r="AE1017" s="43">
        <v>5.6999998092651403</v>
      </c>
      <c r="AF1017" s="43"/>
      <c r="AG1017" s="43"/>
      <c r="AH1017" s="43"/>
      <c r="AI1017" s="43"/>
      <c r="AJ1017" s="43">
        <v>5.6999998093000004</v>
      </c>
      <c r="AK1017" s="43">
        <v>5.6999998093000004</v>
      </c>
      <c r="AL1017" s="43">
        <v>5.5999999045999997</v>
      </c>
      <c r="AM1017" s="43">
        <v>5.5999999045999997</v>
      </c>
      <c r="AN1017" s="43">
        <v>5.5999999045999997</v>
      </c>
      <c r="AO1017" s="43">
        <v>5.5</v>
      </c>
      <c r="AP1017" s="43">
        <v>5.5</v>
      </c>
      <c r="AQ1017" s="43">
        <v>5.4000000954000003</v>
      </c>
      <c r="AR1017" s="43">
        <v>5.3000001906999996</v>
      </c>
      <c r="AS1017" s="43">
        <v>5.0999999045999997</v>
      </c>
      <c r="AT1017" s="43">
        <v>4.9000000954000003</v>
      </c>
      <c r="AU1017" s="43"/>
      <c r="AV1017" s="43">
        <v>5.5999999045999997</v>
      </c>
      <c r="AW1017" s="43">
        <v>6.7</v>
      </c>
      <c r="AX1017" s="43">
        <v>6.7</v>
      </c>
      <c r="AY1017" s="43">
        <v>6.5</v>
      </c>
      <c r="AZ1017" s="43">
        <v>6.5</v>
      </c>
      <c r="BA1017" s="43">
        <v>6.4</v>
      </c>
      <c r="BB1017" s="43">
        <v>6.6</v>
      </c>
      <c r="BC1017" s="43">
        <v>6.7</v>
      </c>
      <c r="BD1017" s="43">
        <v>6.5</v>
      </c>
      <c r="BE1017" s="43">
        <v>6.5</v>
      </c>
      <c r="BF1017" s="43">
        <v>6.5</v>
      </c>
      <c r="BG1017" s="43">
        <v>6.5</v>
      </c>
      <c r="BH1017" s="43"/>
      <c r="BI1017" s="43"/>
      <c r="BJ1017" s="43"/>
      <c r="BK1017" s="43"/>
      <c r="BL1017" s="43"/>
      <c r="BM1017" s="43"/>
      <c r="BN1017" s="56">
        <f t="shared" si="27"/>
        <v>6.5</v>
      </c>
      <c r="BO1017" s="428">
        <f>IF(BN1017="No reported value",INDEX('WB HCW &amp; Beds'!$BU$831:$BU$835,MATCH($BP1017,'WB HCW &amp; Beds'!$BS$831:$BS$835,0)),$BN1017)</f>
        <v>6.5</v>
      </c>
      <c r="BP1017" s="132" t="str">
        <f>INDEX('HCW + Staff Summary'!$E$7:$E$270,MATCH($B1017,'HCW + Staff Summary'!$B$7:$B$270,0))</f>
        <v>High income</v>
      </c>
      <c r="BQ1017" s="429">
        <f>INDEX('WB HCW &amp; Beds'!$BU$838:$BU$842,MATCH($BP1017,'WB HCW &amp; Beds'!$BS$838:$BS$842,0))*100</f>
        <v>3.5700000000000003</v>
      </c>
    </row>
    <row r="1018" spans="2:69" x14ac:dyDescent="0.75">
      <c r="B1018" s="43" t="s">
        <v>506</v>
      </c>
      <c r="C1018" s="43" t="s">
        <v>507</v>
      </c>
      <c r="D1018" s="43" t="s">
        <v>632</v>
      </c>
      <c r="E1018" s="43" t="s">
        <v>633</v>
      </c>
      <c r="F1018" s="43">
        <v>1.4218630561806538</v>
      </c>
      <c r="G1018" s="43"/>
      <c r="H1018" s="43"/>
      <c r="I1018" s="43"/>
      <c r="J1018" s="43"/>
      <c r="K1018" s="43"/>
      <c r="L1018" s="43"/>
      <c r="M1018" s="43"/>
      <c r="N1018" s="43"/>
      <c r="O1018" s="43"/>
      <c r="P1018" s="43">
        <v>1.3686279940777142</v>
      </c>
      <c r="Q1018" s="43"/>
      <c r="R1018" s="43"/>
      <c r="S1018" s="43"/>
      <c r="T1018" s="43"/>
      <c r="U1018" s="43"/>
      <c r="V1018" s="43"/>
      <c r="W1018" s="43"/>
      <c r="X1018" s="43"/>
      <c r="Y1018" s="43"/>
      <c r="Z1018" s="43"/>
      <c r="AA1018" s="43"/>
      <c r="AB1018" s="43"/>
      <c r="AC1018" s="43"/>
      <c r="AD1018" s="43"/>
      <c r="AE1018" s="43"/>
      <c r="AF1018" s="43"/>
      <c r="AG1018" s="43"/>
      <c r="AH1018" s="43"/>
      <c r="AI1018" s="43"/>
      <c r="AJ1018" s="43">
        <v>1.3293418500641954</v>
      </c>
      <c r="AK1018" s="43"/>
      <c r="AL1018" s="43"/>
      <c r="AM1018" s="43"/>
      <c r="AN1018" s="43"/>
      <c r="AO1018" s="43"/>
      <c r="AP1018" s="43"/>
      <c r="AQ1018" s="4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56">
        <f t="shared" si="27"/>
        <v>1.3293418500641954</v>
      </c>
      <c r="BO1018" s="428">
        <f>IF(BN1018="No reported value",INDEX('WB HCW &amp; Beds'!$BU$831:$BU$835,MATCH($BP1018,'WB HCW &amp; Beds'!$BS$831:$BS$835,0)),$BN1018)</f>
        <v>1.3293418500641954</v>
      </c>
      <c r="BP1018" s="132" t="str">
        <f>INDEX('HCW + Staff Summary'!$E$7:$E$270,MATCH($B1018,'HCW + Staff Summary'!$B$7:$B$270,0))</f>
        <v>OUT</v>
      </c>
      <c r="BQ1018" s="429">
        <f>INDEX('WB HCW &amp; Beds'!$BU$838:$BU$842,MATCH($BP1018,'WB HCW &amp; Beds'!$BS$838:$BS$842,0))*100</f>
        <v>2.7250000000000001</v>
      </c>
    </row>
    <row r="1019" spans="2:69" x14ac:dyDescent="0.75">
      <c r="B1019" s="43" t="s">
        <v>508</v>
      </c>
      <c r="C1019" s="43" t="s">
        <v>509</v>
      </c>
      <c r="D1019" s="43" t="s">
        <v>632</v>
      </c>
      <c r="E1019" s="43" t="s">
        <v>633</v>
      </c>
      <c r="F1019" s="43"/>
      <c r="G1019" s="43"/>
      <c r="H1019" s="43"/>
      <c r="I1019" s="43"/>
      <c r="J1019" s="43"/>
      <c r="K1019" s="43"/>
      <c r="L1019" s="43"/>
      <c r="M1019" s="43"/>
      <c r="N1019" s="43"/>
      <c r="O1019" s="43"/>
      <c r="P1019" s="43"/>
      <c r="Q1019" s="43"/>
      <c r="R1019" s="43"/>
      <c r="S1019" s="43"/>
      <c r="T1019" s="43"/>
      <c r="U1019" s="43"/>
      <c r="V1019" s="43"/>
      <c r="W1019" s="43"/>
      <c r="X1019" s="43"/>
      <c r="Y1019" s="43"/>
      <c r="Z1019" s="43"/>
      <c r="AA1019" s="43"/>
      <c r="AB1019" s="43"/>
      <c r="AC1019" s="43"/>
      <c r="AD1019" s="43"/>
      <c r="AE1019" s="43"/>
      <c r="AF1019" s="43"/>
      <c r="AG1019" s="43"/>
      <c r="AH1019" s="43"/>
      <c r="AI1019" s="43"/>
      <c r="AJ1019" s="43"/>
      <c r="AK1019" s="43"/>
      <c r="AL1019" s="43"/>
      <c r="AM1019" s="43"/>
      <c r="AN1019" s="43"/>
      <c r="AO1019" s="43"/>
      <c r="AP1019" s="43">
        <v>3.3199999332000001</v>
      </c>
      <c r="AQ1019" s="4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56">
        <f t="shared" si="27"/>
        <v>3.3199999332000001</v>
      </c>
      <c r="BO1019" s="428">
        <f>IF(BN1019="No reported value",INDEX('WB HCW &amp; Beds'!$BU$831:$BU$835,MATCH($BP1019,'WB HCW &amp; Beds'!$BS$831:$BS$835,0)),$BN1019)</f>
        <v>3.3199999332000001</v>
      </c>
      <c r="BP1019" s="132" t="str">
        <f>INDEX('HCW + Staff Summary'!$E$7:$E$270,MATCH($B1019,'HCW + Staff Summary'!$B$7:$B$270,0))</f>
        <v>High income</v>
      </c>
      <c r="BQ1019" s="429">
        <f>INDEX('WB HCW &amp; Beds'!$BU$838:$BU$842,MATCH($BP1019,'WB HCW &amp; Beds'!$BS$838:$BS$842,0))*100</f>
        <v>3.5700000000000003</v>
      </c>
    </row>
    <row r="1020" spans="2:69" x14ac:dyDescent="0.75">
      <c r="B1020" s="43" t="s">
        <v>429</v>
      </c>
      <c r="C1020" s="43" t="s">
        <v>158</v>
      </c>
      <c r="D1020" s="43" t="s">
        <v>632</v>
      </c>
      <c r="E1020" s="43" t="s">
        <v>633</v>
      </c>
      <c r="F1020" s="43"/>
      <c r="G1020" s="43"/>
      <c r="H1020" s="43"/>
      <c r="I1020" s="43"/>
      <c r="J1020" s="43"/>
      <c r="K1020" s="43"/>
      <c r="L1020" s="43"/>
      <c r="M1020" s="43"/>
      <c r="N1020" s="43"/>
      <c r="O1020" s="43"/>
      <c r="P1020" s="43"/>
      <c r="Q1020" s="43"/>
      <c r="R1020" s="43"/>
      <c r="S1020" s="43"/>
      <c r="T1020" s="43"/>
      <c r="U1020" s="43"/>
      <c r="V1020" s="43"/>
      <c r="W1020" s="43"/>
      <c r="X1020" s="43"/>
      <c r="Y1020" s="43"/>
      <c r="Z1020" s="43"/>
      <c r="AA1020" s="43"/>
      <c r="AB1020" s="43"/>
      <c r="AC1020" s="43"/>
      <c r="AD1020" s="43"/>
      <c r="AE1020" s="43"/>
      <c r="AF1020" s="43"/>
      <c r="AG1020" s="43"/>
      <c r="AH1020" s="43"/>
      <c r="AI1020" s="43"/>
      <c r="AJ1020" s="43"/>
      <c r="AK1020" s="43"/>
      <c r="AL1020" s="43"/>
      <c r="AM1020" s="43"/>
      <c r="AN1020" s="43"/>
      <c r="AO1020" s="43"/>
      <c r="AP1020" s="43"/>
      <c r="AQ1020" s="43"/>
      <c r="AR1020" s="43"/>
      <c r="AS1020" s="43"/>
      <c r="AT1020" s="43"/>
      <c r="AU1020" s="43"/>
      <c r="AV1020" s="43">
        <v>13.2</v>
      </c>
      <c r="AW1020" s="43"/>
      <c r="AX1020" s="43"/>
      <c r="AY1020" s="43"/>
      <c r="AZ1020" s="43"/>
      <c r="BA1020" s="43"/>
      <c r="BB1020" s="43"/>
      <c r="BC1020" s="43"/>
      <c r="BD1020" s="43">
        <v>14.3</v>
      </c>
      <c r="BE1020" s="43"/>
      <c r="BF1020" s="43">
        <v>13.2</v>
      </c>
      <c r="BG1020" s="43"/>
      <c r="BH1020" s="43"/>
      <c r="BI1020" s="43"/>
      <c r="BJ1020" s="43"/>
      <c r="BK1020" s="43"/>
      <c r="BL1020" s="43"/>
      <c r="BM1020" s="43"/>
      <c r="BN1020" s="56">
        <f t="shared" si="27"/>
        <v>13.2</v>
      </c>
      <c r="BO1020" s="428">
        <f>IF(BN1020="No reported value",INDEX('WB HCW &amp; Beds'!$BU$831:$BU$835,MATCH($BP1020,'WB HCW &amp; Beds'!$BS$831:$BS$835,0)),$BN1020)</f>
        <v>13.2</v>
      </c>
      <c r="BP1020" s="132" t="str">
        <f>INDEX('HCW + Staff Summary'!$E$7:$E$270,MATCH($B1020,'HCW + Staff Summary'!$B$7:$B$270,0))</f>
        <v>Low income</v>
      </c>
      <c r="BQ1020" s="429">
        <f>INDEX('WB HCW &amp; Beds'!$BU$838:$BU$842,MATCH($BP1020,'WB HCW &amp; Beds'!$BS$838:$BS$842,0))*100</f>
        <v>1.63</v>
      </c>
    </row>
    <row r="1021" spans="2:69" x14ac:dyDescent="0.75">
      <c r="B1021" s="43" t="s">
        <v>503</v>
      </c>
      <c r="C1021" s="43" t="s">
        <v>118</v>
      </c>
      <c r="D1021" s="43" t="s">
        <v>632</v>
      </c>
      <c r="E1021" s="43" t="s">
        <v>633</v>
      </c>
      <c r="F1021" s="43"/>
      <c r="G1021" s="43"/>
      <c r="H1021" s="43"/>
      <c r="I1021" s="43"/>
      <c r="J1021" s="43"/>
      <c r="K1021" s="43"/>
      <c r="L1021" s="43"/>
      <c r="M1021" s="43"/>
      <c r="N1021" s="43"/>
      <c r="O1021" s="43"/>
      <c r="P1021" s="43"/>
      <c r="Q1021" s="43"/>
      <c r="R1021" s="43"/>
      <c r="S1021" s="43"/>
      <c r="T1021" s="43"/>
      <c r="U1021" s="43"/>
      <c r="V1021" s="43"/>
      <c r="W1021" s="43"/>
      <c r="X1021" s="43"/>
      <c r="Y1021" s="43"/>
      <c r="Z1021" s="43"/>
      <c r="AA1021" s="43"/>
      <c r="AB1021" s="43"/>
      <c r="AC1021" s="43"/>
      <c r="AD1021" s="43"/>
      <c r="AE1021" s="43">
        <v>4</v>
      </c>
      <c r="AF1021" s="43">
        <v>4</v>
      </c>
      <c r="AG1021" s="43">
        <v>4</v>
      </c>
      <c r="AH1021" s="43">
        <v>4</v>
      </c>
      <c r="AI1021" s="43">
        <v>4.0999999046325701</v>
      </c>
      <c r="AJ1021" s="43">
        <v>4.0999999045999997</v>
      </c>
      <c r="AK1021" s="43">
        <v>4.0999999045999997</v>
      </c>
      <c r="AL1021" s="43">
        <v>4</v>
      </c>
      <c r="AM1021" s="43">
        <v>3.9000000953999998</v>
      </c>
      <c r="AN1021" s="43">
        <v>3.9000000953999998</v>
      </c>
      <c r="AO1021" s="43">
        <v>3.9000000953999998</v>
      </c>
      <c r="AP1021" s="43">
        <v>4</v>
      </c>
      <c r="AQ1021" s="43">
        <v>3.9000000953999998</v>
      </c>
      <c r="AR1021" s="43">
        <v>3.9000000953999998</v>
      </c>
      <c r="AS1021" s="43">
        <v>3.7999999522999999</v>
      </c>
      <c r="AT1021" s="43">
        <v>3.7</v>
      </c>
      <c r="AU1021" s="43">
        <v>3.6</v>
      </c>
      <c r="AV1021" s="43">
        <v>3.6</v>
      </c>
      <c r="AW1021" s="43">
        <v>3.6</v>
      </c>
      <c r="AX1021" s="43">
        <v>3.6</v>
      </c>
      <c r="AY1021" s="43">
        <v>3.6</v>
      </c>
      <c r="AZ1021" s="43">
        <v>3.5</v>
      </c>
      <c r="BA1021" s="43">
        <v>3.4</v>
      </c>
      <c r="BB1021" s="43">
        <v>3.4</v>
      </c>
      <c r="BC1021" s="43">
        <v>3.3</v>
      </c>
      <c r="BD1021" s="43">
        <v>3.4</v>
      </c>
      <c r="BE1021" s="43">
        <v>3.4</v>
      </c>
      <c r="BF1021" s="43">
        <v>3.4</v>
      </c>
      <c r="BG1021" s="43">
        <v>3.4</v>
      </c>
      <c r="BH1021" s="43"/>
      <c r="BI1021" s="43"/>
      <c r="BJ1021" s="43"/>
      <c r="BK1021" s="43"/>
      <c r="BL1021" s="43"/>
      <c r="BM1021" s="43"/>
      <c r="BN1021" s="56">
        <f t="shared" ref="BN1021:BN1084" si="28">IFERROR(LOOKUP(2,1/(ISNUMBER(F1021:BM1021)),F1021:BM1021),"No reported value")</f>
        <v>3.4</v>
      </c>
      <c r="BO1021" s="428">
        <f>IF(BN1021="No reported value",INDEX('WB HCW &amp; Beds'!$BU$831:$BU$835,MATCH($BP1021,'WB HCW &amp; Beds'!$BS$831:$BS$835,0)),$BN1021)</f>
        <v>3.4</v>
      </c>
      <c r="BP1021" s="132" t="str">
        <f>INDEX('HCW + Staff Summary'!$E$7:$E$270,MATCH($B1021,'HCW + Staff Summary'!$B$7:$B$270,0))</f>
        <v>High income</v>
      </c>
      <c r="BQ1021" s="429">
        <f>INDEX('WB HCW &amp; Beds'!$BU$838:$BU$842,MATCH($BP1021,'WB HCW &amp; Beds'!$BS$838:$BS$842,0))*100</f>
        <v>3.5700000000000003</v>
      </c>
    </row>
    <row r="1022" spans="2:69" x14ac:dyDescent="0.75">
      <c r="B1022" s="43" t="s">
        <v>228</v>
      </c>
      <c r="C1022" s="43" t="s">
        <v>119</v>
      </c>
      <c r="D1022" s="43" t="s">
        <v>632</v>
      </c>
      <c r="E1022" s="43" t="s">
        <v>633</v>
      </c>
      <c r="F1022" s="43">
        <v>2.3892507553100599</v>
      </c>
      <c r="G1022" s="43"/>
      <c r="H1022" s="43"/>
      <c r="I1022" s="43"/>
      <c r="J1022" s="43"/>
      <c r="K1022" s="43"/>
      <c r="L1022" s="43"/>
      <c r="M1022" s="43"/>
      <c r="N1022" s="43"/>
      <c r="O1022" s="43"/>
      <c r="P1022" s="43">
        <v>1.62940001487732</v>
      </c>
      <c r="Q1022" s="43"/>
      <c r="R1022" s="43"/>
      <c r="S1022" s="43"/>
      <c r="T1022" s="43"/>
      <c r="U1022" s="43">
        <v>1.68299996852875</v>
      </c>
      <c r="V1022" s="43"/>
      <c r="W1022" s="43"/>
      <c r="X1022" s="43"/>
      <c r="Y1022" s="43"/>
      <c r="Z1022" s="43"/>
      <c r="AA1022" s="43"/>
      <c r="AB1022" s="43"/>
      <c r="AC1022" s="43"/>
      <c r="AD1022" s="43"/>
      <c r="AE1022" s="43"/>
      <c r="AF1022" s="43"/>
      <c r="AG1022" s="43"/>
      <c r="AH1022" s="43"/>
      <c r="AI1022" s="43">
        <v>1.3200999498367301</v>
      </c>
      <c r="AJ1022" s="43">
        <v>0.93220001460000002</v>
      </c>
      <c r="AK1022" s="43"/>
      <c r="AL1022" s="43"/>
      <c r="AM1022" s="43">
        <v>1.2999999523000001</v>
      </c>
      <c r="AN1022" s="43">
        <v>0.60089999439999997</v>
      </c>
      <c r="AO1022" s="43"/>
      <c r="AP1022" s="43">
        <v>1.3400000334</v>
      </c>
      <c r="AQ1022" s="43"/>
      <c r="AR1022" s="43"/>
      <c r="AS1022" s="43"/>
      <c r="AT1022" s="43"/>
      <c r="AU1022" s="43"/>
      <c r="AV1022" s="43">
        <v>1.2000000476999999</v>
      </c>
      <c r="AW1022" s="43"/>
      <c r="AX1022" s="43"/>
      <c r="AY1022" s="43">
        <v>1.2</v>
      </c>
      <c r="AZ1022" s="43">
        <v>1.3</v>
      </c>
      <c r="BA1022" s="43">
        <v>1.3</v>
      </c>
      <c r="BB1022" s="43">
        <v>1.3</v>
      </c>
      <c r="BC1022" s="43">
        <v>1.3</v>
      </c>
      <c r="BD1022" s="43">
        <v>1.3</v>
      </c>
      <c r="BE1022" s="43">
        <v>1.3</v>
      </c>
      <c r="BF1022" s="43"/>
      <c r="BG1022" s="43"/>
      <c r="BH1022" s="43"/>
      <c r="BI1022" s="43"/>
      <c r="BJ1022" s="43"/>
      <c r="BK1022" s="43"/>
      <c r="BL1022" s="43"/>
      <c r="BM1022" s="43"/>
      <c r="BN1022" s="56">
        <f t="shared" si="28"/>
        <v>1.3</v>
      </c>
      <c r="BO1022" s="428">
        <f>IF(BN1022="No reported value",INDEX('WB HCW &amp; Beds'!$BU$831:$BU$835,MATCH($BP1022,'WB HCW &amp; Beds'!$BS$831:$BS$835,0)),$BN1022)</f>
        <v>1.3</v>
      </c>
      <c r="BP1022" s="132" t="str">
        <f>INDEX('HCW + Staff Summary'!$E$7:$E$270,MATCH($B1022,'HCW + Staff Summary'!$B$7:$B$270,0))</f>
        <v>Upper middle income</v>
      </c>
      <c r="BQ1022" s="429">
        <f>INDEX('WB HCW &amp; Beds'!$BU$838:$BU$842,MATCH($BP1022,'WB HCW &amp; Beds'!$BS$838:$BS$842,0))*100</f>
        <v>3.32</v>
      </c>
    </row>
    <row r="1023" spans="2:69" x14ac:dyDescent="0.75">
      <c r="B1023" s="43" t="s">
        <v>568</v>
      </c>
      <c r="C1023" s="43" t="s">
        <v>569</v>
      </c>
      <c r="D1023" s="43" t="s">
        <v>632</v>
      </c>
      <c r="E1023" s="43" t="s">
        <v>633</v>
      </c>
      <c r="F1023" s="43"/>
      <c r="G1023" s="43"/>
      <c r="H1023" s="43"/>
      <c r="I1023" s="43"/>
      <c r="J1023" s="43"/>
      <c r="K1023" s="43"/>
      <c r="L1023" s="43"/>
      <c r="M1023" s="43"/>
      <c r="N1023" s="43"/>
      <c r="O1023" s="43"/>
      <c r="P1023" s="43"/>
      <c r="Q1023" s="43"/>
      <c r="R1023" s="43"/>
      <c r="S1023" s="43"/>
      <c r="T1023" s="43"/>
      <c r="U1023" s="43"/>
      <c r="V1023" s="43"/>
      <c r="W1023" s="43"/>
      <c r="X1023" s="43"/>
      <c r="Y1023" s="43"/>
      <c r="Z1023" s="43"/>
      <c r="AA1023" s="43"/>
      <c r="AB1023" s="43"/>
      <c r="AC1023" s="43"/>
      <c r="AD1023" s="43"/>
      <c r="AE1023" s="43"/>
      <c r="AF1023" s="43"/>
      <c r="AG1023" s="43"/>
      <c r="AH1023" s="43"/>
      <c r="AI1023" s="43"/>
      <c r="AJ1023" s="43"/>
      <c r="AK1023" s="43"/>
      <c r="AL1023" s="43"/>
      <c r="AM1023" s="43"/>
      <c r="AN1023" s="43"/>
      <c r="AO1023" s="43"/>
      <c r="AP1023" s="43">
        <v>1.2000000476999999</v>
      </c>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56">
        <f t="shared" si="28"/>
        <v>1.2000000476999999</v>
      </c>
      <c r="BO1023" s="428">
        <f>IF(BN1023="No reported value",INDEX('WB HCW &amp; Beds'!$BU$831:$BU$835,MATCH($BP1023,'WB HCW &amp; Beds'!$BS$831:$BS$835,0)),$BN1023)</f>
        <v>1.2000000476999999</v>
      </c>
      <c r="BP1023" s="132" t="str">
        <f>INDEX('HCW + Staff Summary'!$E$7:$E$270,MATCH($B1023,'HCW + Staff Summary'!$B$7:$B$270,0))</f>
        <v>Lower middle income</v>
      </c>
      <c r="BQ1023" s="429">
        <f>INDEX('WB HCW &amp; Beds'!$BU$838:$BU$842,MATCH($BP1023,'WB HCW &amp; Beds'!$BS$838:$BS$842,0))*100</f>
        <v>2.3800000000000003</v>
      </c>
    </row>
    <row r="1024" spans="2:69" x14ac:dyDescent="0.75">
      <c r="B1024" s="43" t="s">
        <v>496</v>
      </c>
      <c r="C1024" s="43" t="s">
        <v>497</v>
      </c>
      <c r="D1024" s="43" t="s">
        <v>632</v>
      </c>
      <c r="E1024" s="43" t="s">
        <v>633</v>
      </c>
      <c r="F1024" s="43">
        <v>4.7797932398333085</v>
      </c>
      <c r="G1024" s="43"/>
      <c r="H1024" s="43"/>
      <c r="I1024" s="43"/>
      <c r="J1024" s="43"/>
      <c r="K1024" s="43"/>
      <c r="L1024" s="43"/>
      <c r="M1024" s="43"/>
      <c r="N1024" s="43"/>
      <c r="O1024" s="43"/>
      <c r="P1024" s="43">
        <v>4.890331918167977</v>
      </c>
      <c r="Q1024" s="43"/>
      <c r="R1024" s="43"/>
      <c r="S1024" s="43"/>
      <c r="T1024" s="43"/>
      <c r="U1024" s="43"/>
      <c r="V1024" s="43"/>
      <c r="W1024" s="43"/>
      <c r="X1024" s="43"/>
      <c r="Y1024" s="43"/>
      <c r="Z1024" s="43">
        <v>3.611924907578099</v>
      </c>
      <c r="AA1024" s="43">
        <v>3.7040302338724169</v>
      </c>
      <c r="AB1024" s="43"/>
      <c r="AC1024" s="43"/>
      <c r="AD1024" s="43"/>
      <c r="AE1024" s="43"/>
      <c r="AF1024" s="43"/>
      <c r="AG1024" s="43"/>
      <c r="AH1024" s="43"/>
      <c r="AI1024" s="43"/>
      <c r="AJ1024" s="43"/>
      <c r="AK1024" s="43"/>
      <c r="AL1024" s="43"/>
      <c r="AM1024" s="43"/>
      <c r="AN1024" s="43"/>
      <c r="AO1024" s="43"/>
      <c r="AP1024" s="43"/>
      <c r="AQ1024" s="43"/>
      <c r="AR1024" s="43"/>
      <c r="AS1024" s="43"/>
      <c r="AT1024" s="43"/>
      <c r="AU1024" s="43"/>
      <c r="AV1024" s="43"/>
      <c r="AW1024" s="43"/>
      <c r="AX1024" s="43"/>
      <c r="AY1024" s="43">
        <v>2.0768964148197031</v>
      </c>
      <c r="AZ1024" s="43"/>
      <c r="BA1024" s="43"/>
      <c r="BB1024" s="43"/>
      <c r="BC1024" s="43"/>
      <c r="BD1024" s="43"/>
      <c r="BE1024" s="43"/>
      <c r="BF1024" s="43"/>
      <c r="BG1024" s="43"/>
      <c r="BH1024" s="43"/>
      <c r="BI1024" s="43"/>
      <c r="BJ1024" s="43"/>
      <c r="BK1024" s="43"/>
      <c r="BL1024" s="43"/>
      <c r="BM1024" s="43"/>
      <c r="BN1024" s="56">
        <f t="shared" si="28"/>
        <v>2.0768964148197031</v>
      </c>
      <c r="BO1024" s="428">
        <f>IF(BN1024="No reported value",INDEX('WB HCW &amp; Beds'!$BU$831:$BU$835,MATCH($BP1024,'WB HCW &amp; Beds'!$BS$831:$BS$835,0)),$BN1024)</f>
        <v>2.0768964148197031</v>
      </c>
      <c r="BP1024" s="132" t="str">
        <f>INDEX('HCW + Staff Summary'!$E$7:$E$270,MATCH($B1024,'HCW + Staff Summary'!$B$7:$B$270,0))</f>
        <v>OUT</v>
      </c>
      <c r="BQ1024" s="429">
        <f>INDEX('WB HCW &amp; Beds'!$BU$838:$BU$842,MATCH($BP1024,'WB HCW &amp; Beds'!$BS$838:$BS$842,0))*100</f>
        <v>2.7250000000000001</v>
      </c>
    </row>
    <row r="1025" spans="2:69" x14ac:dyDescent="0.75">
      <c r="B1025" s="43" t="s">
        <v>504</v>
      </c>
      <c r="C1025" s="43" t="s">
        <v>505</v>
      </c>
      <c r="D1025" s="43" t="s">
        <v>632</v>
      </c>
      <c r="E1025" s="43" t="s">
        <v>633</v>
      </c>
      <c r="F1025" s="43">
        <v>9.2881536749337315</v>
      </c>
      <c r="G1025" s="43"/>
      <c r="H1025" s="43"/>
      <c r="I1025" s="43"/>
      <c r="J1025" s="43"/>
      <c r="K1025" s="43"/>
      <c r="L1025" s="43"/>
      <c r="M1025" s="43"/>
      <c r="N1025" s="43"/>
      <c r="O1025" s="43"/>
      <c r="P1025" s="43">
        <v>9.4426106753800099</v>
      </c>
      <c r="Q1025" s="43"/>
      <c r="R1025" s="43"/>
      <c r="S1025" s="43"/>
      <c r="T1025" s="43"/>
      <c r="U1025" s="43"/>
      <c r="V1025" s="43"/>
      <c r="W1025" s="43"/>
      <c r="X1025" s="43"/>
      <c r="Y1025" s="43"/>
      <c r="Z1025" s="43">
        <v>8.9710763408387759</v>
      </c>
      <c r="AA1025" s="43"/>
      <c r="AB1025" s="43"/>
      <c r="AC1025" s="43"/>
      <c r="AD1025" s="43"/>
      <c r="AE1025" s="43">
        <v>8.6832564919322976</v>
      </c>
      <c r="AF1025" s="43"/>
      <c r="AG1025" s="43"/>
      <c r="AH1025" s="43"/>
      <c r="AI1025" s="43"/>
      <c r="AJ1025" s="43">
        <v>7.0242665533663402</v>
      </c>
      <c r="AK1025" s="43">
        <v>7.038877446229634</v>
      </c>
      <c r="AL1025" s="43">
        <v>6.7390256279187799</v>
      </c>
      <c r="AM1025" s="43">
        <v>7.7598542139568574</v>
      </c>
      <c r="AN1025" s="43">
        <v>7.7403587756027648</v>
      </c>
      <c r="AO1025" s="43">
        <v>7.488761948894135</v>
      </c>
      <c r="AP1025" s="43">
        <v>7.2809781630920885</v>
      </c>
      <c r="AQ1025" s="43">
        <v>7.0877307285659557</v>
      </c>
      <c r="AR1025" s="43">
        <v>6.9219314271844601</v>
      </c>
      <c r="AS1025" s="43">
        <v>6.7796001445275298</v>
      </c>
      <c r="AT1025" s="43">
        <v>6.6732382066615434</v>
      </c>
      <c r="AU1025" s="43">
        <v>6.3781369463294162</v>
      </c>
      <c r="AV1025" s="43">
        <v>6.4561252972971124</v>
      </c>
      <c r="AW1025" s="43">
        <v>6.3804992055192953</v>
      </c>
      <c r="AX1025" s="43"/>
      <c r="AY1025" s="43">
        <v>6.1202797509170681</v>
      </c>
      <c r="AZ1025" s="43">
        <v>6.1301405066291785</v>
      </c>
      <c r="BA1025" s="43">
        <v>4.8489463153640529</v>
      </c>
      <c r="BB1025" s="43">
        <v>6.2289568972374916</v>
      </c>
      <c r="BC1025" s="43">
        <v>6.0726693236500484</v>
      </c>
      <c r="BD1025" s="43">
        <v>4.6226181830338398</v>
      </c>
      <c r="BE1025" s="43">
        <v>4.4778179235562199</v>
      </c>
      <c r="BF1025" s="43">
        <v>5.8895054719637381</v>
      </c>
      <c r="BG1025" s="43">
        <v>4.6072129088428415</v>
      </c>
      <c r="BH1025" s="43"/>
      <c r="BI1025" s="43"/>
      <c r="BJ1025" s="43"/>
      <c r="BK1025" s="43"/>
      <c r="BL1025" s="43"/>
      <c r="BM1025" s="43"/>
      <c r="BN1025" s="56">
        <f t="shared" si="28"/>
        <v>4.6072129088428415</v>
      </c>
      <c r="BO1025" s="428">
        <f>IF(BN1025="No reported value",INDEX('WB HCW &amp; Beds'!$BU$831:$BU$835,MATCH($BP1025,'WB HCW &amp; Beds'!$BS$831:$BS$835,0)),$BN1025)</f>
        <v>4.6072129088428415</v>
      </c>
      <c r="BP1025" s="132" t="str">
        <f>INDEX('HCW + Staff Summary'!$E$7:$E$270,MATCH($B1025,'HCW + Staff Summary'!$B$7:$B$270,0))</f>
        <v>OUT</v>
      </c>
      <c r="BQ1025" s="429">
        <f>INDEX('WB HCW &amp; Beds'!$BU$838:$BU$842,MATCH($BP1025,'WB HCW &amp; Beds'!$BS$838:$BS$842,0))*100</f>
        <v>2.7250000000000001</v>
      </c>
    </row>
    <row r="1026" spans="2:69" x14ac:dyDescent="0.75">
      <c r="B1026" s="43" t="s">
        <v>397</v>
      </c>
      <c r="C1026" s="43" t="s">
        <v>398</v>
      </c>
      <c r="D1026" s="43" t="s">
        <v>632</v>
      </c>
      <c r="E1026" s="43" t="s">
        <v>633</v>
      </c>
      <c r="F1026" s="43"/>
      <c r="G1026" s="43"/>
      <c r="H1026" s="43"/>
      <c r="I1026" s="43"/>
      <c r="J1026" s="43"/>
      <c r="K1026" s="43"/>
      <c r="L1026" s="43"/>
      <c r="M1026" s="43"/>
      <c r="N1026" s="43"/>
      <c r="O1026" s="43"/>
      <c r="P1026" s="43"/>
      <c r="Q1026" s="43"/>
      <c r="R1026" s="43"/>
      <c r="S1026" s="43"/>
      <c r="T1026" s="43"/>
      <c r="U1026" s="43"/>
      <c r="V1026" s="43"/>
      <c r="W1026" s="43"/>
      <c r="X1026" s="43"/>
      <c r="Y1026" s="43"/>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56" t="str">
        <f t="shared" si="28"/>
        <v>No reported value</v>
      </c>
      <c r="BO1026" s="428">
        <f>IF(BN1026="No reported value",INDEX('WB HCW &amp; Beds'!$BU$831:$BU$835,MATCH($BP1026,'WB HCW &amp; Beds'!$BS$831:$BS$835,0)),$BN1026)</f>
        <v>4.82</v>
      </c>
      <c r="BP1026" s="132" t="str">
        <f>INDEX('HCW + Staff Summary'!$E$7:$E$270,MATCH($B1026,'HCW + Staff Summary'!$B$7:$B$270,0))</f>
        <v>High income</v>
      </c>
      <c r="BQ1026" s="429">
        <f>INDEX('WB HCW &amp; Beds'!$BU$838:$BU$842,MATCH($BP1026,'WB HCW &amp; Beds'!$BS$838:$BS$842,0))*100</f>
        <v>3.5700000000000003</v>
      </c>
    </row>
    <row r="1027" spans="2:69" x14ac:dyDescent="0.75">
      <c r="B1027" s="43" t="s">
        <v>510</v>
      </c>
      <c r="C1027" s="43" t="s">
        <v>120</v>
      </c>
      <c r="D1027" s="43" t="s">
        <v>632</v>
      </c>
      <c r="E1027" s="43" t="s">
        <v>633</v>
      </c>
      <c r="F1027" s="43"/>
      <c r="G1027" s="43"/>
      <c r="H1027" s="43"/>
      <c r="I1027" s="43"/>
      <c r="J1027" s="43"/>
      <c r="K1027" s="43"/>
      <c r="L1027" s="43"/>
      <c r="M1027" s="43"/>
      <c r="N1027" s="43"/>
      <c r="O1027" s="43"/>
      <c r="P1027" s="43">
        <v>5.5314998626709002</v>
      </c>
      <c r="Q1027" s="43"/>
      <c r="R1027" s="43"/>
      <c r="S1027" s="43"/>
      <c r="T1027" s="43"/>
      <c r="U1027" s="43"/>
      <c r="V1027" s="43"/>
      <c r="W1027" s="43"/>
      <c r="X1027" s="43"/>
      <c r="Y1027" s="43"/>
      <c r="Z1027" s="43"/>
      <c r="AA1027" s="43">
        <v>2.9395999908447301</v>
      </c>
      <c r="AB1027" s="43"/>
      <c r="AC1027" s="43"/>
      <c r="AD1027" s="43"/>
      <c r="AE1027" s="43"/>
      <c r="AF1027" s="43"/>
      <c r="AG1027" s="43"/>
      <c r="AH1027" s="43"/>
      <c r="AI1027" s="43">
        <v>2.3002998828887899</v>
      </c>
      <c r="AJ1027" s="43"/>
      <c r="AK1027" s="43"/>
      <c r="AL1027" s="43"/>
      <c r="AM1027" s="43"/>
      <c r="AN1027" s="43"/>
      <c r="AO1027" s="43"/>
      <c r="AP1027" s="43"/>
      <c r="AQ1027" s="43">
        <v>1.6499999761999999</v>
      </c>
      <c r="AR1027" s="43"/>
      <c r="AS1027" s="43"/>
      <c r="AT1027" s="43">
        <v>2.4</v>
      </c>
      <c r="AU1027" s="43">
        <v>2.4</v>
      </c>
      <c r="AV1027" s="43">
        <v>2.4</v>
      </c>
      <c r="AW1027" s="43">
        <v>2.4</v>
      </c>
      <c r="AX1027" s="43">
        <v>2.4</v>
      </c>
      <c r="AY1027" s="43">
        <v>2.4</v>
      </c>
      <c r="AZ1027" s="43">
        <v>2.5</v>
      </c>
      <c r="BA1027" s="43">
        <v>2.5</v>
      </c>
      <c r="BB1027" s="43">
        <v>1.4</v>
      </c>
      <c r="BC1027" s="43">
        <v>1.4</v>
      </c>
      <c r="BD1027" s="43">
        <v>1.2</v>
      </c>
      <c r="BE1027" s="43">
        <v>1.2</v>
      </c>
      <c r="BF1027" s="43">
        <v>1.2</v>
      </c>
      <c r="BG1027" s="43">
        <v>1.4</v>
      </c>
      <c r="BH1027" s="43">
        <v>1.2</v>
      </c>
      <c r="BI1027" s="43"/>
      <c r="BJ1027" s="43"/>
      <c r="BK1027" s="43"/>
      <c r="BL1027" s="43"/>
      <c r="BM1027" s="43"/>
      <c r="BN1027" s="56">
        <f t="shared" si="28"/>
        <v>1.2</v>
      </c>
      <c r="BO1027" s="428">
        <f>IF(BN1027="No reported value",INDEX('WB HCW &amp; Beds'!$BU$831:$BU$835,MATCH($BP1027,'WB HCW &amp; Beds'!$BS$831:$BS$835,0)),$BN1027)</f>
        <v>1.2</v>
      </c>
      <c r="BP1027" s="132" t="str">
        <f>INDEX('HCW + Staff Summary'!$E$7:$E$270,MATCH($B1027,'HCW + Staff Summary'!$B$7:$B$270,0))</f>
        <v>High income</v>
      </c>
      <c r="BQ1027" s="429">
        <f>INDEX('WB HCW &amp; Beds'!$BU$838:$BU$842,MATCH($BP1027,'WB HCW &amp; Beds'!$BS$838:$BS$842,0))*100</f>
        <v>3.5700000000000003</v>
      </c>
    </row>
    <row r="1028" spans="2:69" x14ac:dyDescent="0.75">
      <c r="B1028" s="43" t="s">
        <v>511</v>
      </c>
      <c r="C1028" s="43" t="s">
        <v>121</v>
      </c>
      <c r="D1028" s="43" t="s">
        <v>632</v>
      </c>
      <c r="E1028" s="43" t="s">
        <v>633</v>
      </c>
      <c r="F1028" s="43">
        <v>7.2732706069946298</v>
      </c>
      <c r="G1028" s="43"/>
      <c r="H1028" s="43"/>
      <c r="I1028" s="43"/>
      <c r="J1028" s="43"/>
      <c r="K1028" s="43"/>
      <c r="L1028" s="43"/>
      <c r="M1028" s="43"/>
      <c r="N1028" s="43"/>
      <c r="O1028" s="43"/>
      <c r="P1028" s="43"/>
      <c r="Q1028" s="43"/>
      <c r="R1028" s="43"/>
      <c r="S1028" s="43"/>
      <c r="T1028" s="43"/>
      <c r="U1028" s="43"/>
      <c r="V1028" s="43"/>
      <c r="W1028" s="43"/>
      <c r="X1028" s="43"/>
      <c r="Y1028" s="43"/>
      <c r="Z1028" s="43">
        <v>8.7762002944946307</v>
      </c>
      <c r="AA1028" s="43">
        <v>8.7750997543334996</v>
      </c>
      <c r="AB1028" s="43">
        <v>8.8107004165649396</v>
      </c>
      <c r="AC1028" s="43"/>
      <c r="AD1028" s="43">
        <v>8.8957996368408203</v>
      </c>
      <c r="AE1028" s="43">
        <v>8.9404001235961896</v>
      </c>
      <c r="AF1028" s="43">
        <v>8.9465999603271502</v>
      </c>
      <c r="AG1028" s="43">
        <v>8.9502000808715803</v>
      </c>
      <c r="AH1028" s="43">
        <v>8.94219970703125</v>
      </c>
      <c r="AI1028" s="43">
        <v>8.9371004104614293</v>
      </c>
      <c r="AJ1028" s="43">
        <v>8.9198999405000006</v>
      </c>
      <c r="AK1028" s="43">
        <v>8.9221000671000006</v>
      </c>
      <c r="AL1028" s="43">
        <v>7.8621001244000004</v>
      </c>
      <c r="AM1028" s="43">
        <v>7.8699002266000004</v>
      </c>
      <c r="AN1028" s="43">
        <v>7.6944999694999998</v>
      </c>
      <c r="AO1028" s="43">
        <v>7.6399998665000002</v>
      </c>
      <c r="AP1028" s="43">
        <v>7.5599999428000002</v>
      </c>
      <c r="AQ1028" s="43">
        <v>7.3800001143999996</v>
      </c>
      <c r="AR1028" s="43">
        <v>7.3099999428000002</v>
      </c>
      <c r="AS1028" s="43">
        <v>7.3099999428000002</v>
      </c>
      <c r="AT1028" s="43">
        <v>7.7</v>
      </c>
      <c r="AU1028" s="43">
        <v>7.7</v>
      </c>
      <c r="AV1028" s="43">
        <v>7.7</v>
      </c>
      <c r="AW1028" s="43">
        <v>6.7</v>
      </c>
      <c r="AX1028" s="43">
        <v>6.7</v>
      </c>
      <c r="AY1028" s="43">
        <v>6.8</v>
      </c>
      <c r="AZ1028" s="43">
        <v>6.7</v>
      </c>
      <c r="BA1028" s="43">
        <v>6.5</v>
      </c>
      <c r="BB1028" s="43">
        <v>6.6</v>
      </c>
      <c r="BC1028" s="43">
        <v>6.6</v>
      </c>
      <c r="BD1028" s="43">
        <v>6.3</v>
      </c>
      <c r="BE1028" s="43">
        <v>6.1</v>
      </c>
      <c r="BF1028" s="43">
        <v>6.2</v>
      </c>
      <c r="BG1028" s="43">
        <v>6.3</v>
      </c>
      <c r="BH1028" s="43"/>
      <c r="BI1028" s="43"/>
      <c r="BJ1028" s="43"/>
      <c r="BK1028" s="43"/>
      <c r="BL1028" s="43"/>
      <c r="BM1028" s="43"/>
      <c r="BN1028" s="56">
        <f t="shared" si="28"/>
        <v>6.3</v>
      </c>
      <c r="BO1028" s="428">
        <f>IF(BN1028="No reported value",INDEX('WB HCW &amp; Beds'!$BU$831:$BU$835,MATCH($BP1028,'WB HCW &amp; Beds'!$BS$831:$BS$835,0)),$BN1028)</f>
        <v>6.3</v>
      </c>
      <c r="BP1028" s="132" t="str">
        <f>INDEX('HCW + Staff Summary'!$E$7:$E$270,MATCH($B1028,'HCW + Staff Summary'!$B$7:$B$270,0))</f>
        <v>Upper middle income</v>
      </c>
      <c r="BQ1028" s="429">
        <f>INDEX('WB HCW &amp; Beds'!$BU$838:$BU$842,MATCH($BP1028,'WB HCW &amp; Beds'!$BS$838:$BS$842,0))*100</f>
        <v>3.32</v>
      </c>
    </row>
    <row r="1029" spans="2:69" x14ac:dyDescent="0.75">
      <c r="B1029" s="43" t="s">
        <v>512</v>
      </c>
      <c r="C1029" s="43" t="s">
        <v>122</v>
      </c>
      <c r="D1029" s="43" t="s">
        <v>632</v>
      </c>
      <c r="E1029" s="43" t="s">
        <v>633</v>
      </c>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v>12.9815998077393</v>
      </c>
      <c r="AF1029" s="43">
        <v>13.0462999343872</v>
      </c>
      <c r="AG1029" s="43">
        <v>13.117600440979</v>
      </c>
      <c r="AH1029" s="43">
        <v>13.1752004623413</v>
      </c>
      <c r="AI1029" s="43">
        <v>13.186200141906699</v>
      </c>
      <c r="AJ1029" s="43">
        <v>13.0552997589</v>
      </c>
      <c r="AK1029" s="43">
        <v>12.701999664300001</v>
      </c>
      <c r="AL1029" s="43">
        <v>12.2342996597</v>
      </c>
      <c r="AM1029" s="43">
        <v>12.1958999634</v>
      </c>
      <c r="AN1029" s="43">
        <v>11.9611997604</v>
      </c>
      <c r="AO1029" s="43">
        <v>11.8699998856</v>
      </c>
      <c r="AP1029" s="43">
        <v>11.6300001144</v>
      </c>
      <c r="AQ1029" s="43">
        <v>11.3400001526</v>
      </c>
      <c r="AR1029" s="43">
        <v>11.109999656699999</v>
      </c>
      <c r="AS1029" s="43">
        <v>10.850000381499999</v>
      </c>
      <c r="AT1029" s="43">
        <v>10.9</v>
      </c>
      <c r="AU1029" s="43">
        <v>10.8</v>
      </c>
      <c r="AV1029" s="43">
        <v>10.7</v>
      </c>
      <c r="AW1029" s="43">
        <v>10.5</v>
      </c>
      <c r="AX1029" s="43">
        <v>9.9</v>
      </c>
      <c r="AY1029" s="43">
        <v>9.6999999999999993</v>
      </c>
      <c r="AZ1029" s="43">
        <v>9.6999999999999993</v>
      </c>
      <c r="BA1029" s="43">
        <v>9.5</v>
      </c>
      <c r="BB1029" s="43">
        <v>9.1999999999999993</v>
      </c>
      <c r="BC1029" s="43">
        <v>9</v>
      </c>
      <c r="BD1029" s="43">
        <v>8.8000000000000007</v>
      </c>
      <c r="BE1029" s="43">
        <v>8.6</v>
      </c>
      <c r="BF1029" s="43">
        <v>8.4</v>
      </c>
      <c r="BG1029" s="43">
        <v>8.1999999999999993</v>
      </c>
      <c r="BH1029" s="43"/>
      <c r="BI1029" s="43"/>
      <c r="BJ1029" s="43"/>
      <c r="BK1029" s="43"/>
      <c r="BL1029" s="43"/>
      <c r="BM1029" s="43"/>
      <c r="BN1029" s="56">
        <f t="shared" si="28"/>
        <v>8.1999999999999993</v>
      </c>
      <c r="BO1029" s="428">
        <f>IF(BN1029="No reported value",INDEX('WB HCW &amp; Beds'!$BU$831:$BU$835,MATCH($BP1029,'WB HCW &amp; Beds'!$BS$831:$BS$835,0)),$BN1029)</f>
        <v>8.1999999999999993</v>
      </c>
      <c r="BP1029" s="132" t="str">
        <f>INDEX('HCW + Staff Summary'!$E$7:$E$270,MATCH($B1029,'HCW + Staff Summary'!$B$7:$B$270,0))</f>
        <v>Upper middle income</v>
      </c>
      <c r="BQ1029" s="429">
        <f>INDEX('WB HCW &amp; Beds'!$BU$838:$BU$842,MATCH($BP1029,'WB HCW &amp; Beds'!$BS$838:$BS$842,0))*100</f>
        <v>3.32</v>
      </c>
    </row>
    <row r="1030" spans="2:69" x14ac:dyDescent="0.75">
      <c r="B1030" s="43" t="s">
        <v>210</v>
      </c>
      <c r="C1030" s="43" t="s">
        <v>123</v>
      </c>
      <c r="D1030" s="43" t="s">
        <v>632</v>
      </c>
      <c r="E1030" s="43" t="s">
        <v>633</v>
      </c>
      <c r="F1030" s="43"/>
      <c r="G1030" s="43"/>
      <c r="H1030" s="43"/>
      <c r="I1030" s="43"/>
      <c r="J1030" s="43"/>
      <c r="K1030" s="43"/>
      <c r="L1030" s="43"/>
      <c r="M1030" s="43"/>
      <c r="N1030" s="43"/>
      <c r="O1030" s="43"/>
      <c r="P1030" s="43">
        <v>1.25399994850159</v>
      </c>
      <c r="Q1030" s="43"/>
      <c r="R1030" s="43"/>
      <c r="S1030" s="43"/>
      <c r="T1030" s="43"/>
      <c r="U1030" s="43">
        <v>1.2425999641418499</v>
      </c>
      <c r="V1030" s="43"/>
      <c r="W1030" s="43"/>
      <c r="X1030" s="43"/>
      <c r="Y1030" s="43"/>
      <c r="Z1030" s="43">
        <v>1.5279999971389799</v>
      </c>
      <c r="AA1030" s="43">
        <v>1.47809994220734</v>
      </c>
      <c r="AB1030" s="43"/>
      <c r="AC1030" s="43"/>
      <c r="AD1030" s="43"/>
      <c r="AE1030" s="43"/>
      <c r="AF1030" s="43"/>
      <c r="AG1030" s="43"/>
      <c r="AH1030" s="43"/>
      <c r="AI1030" s="43">
        <v>0.86790001392364502</v>
      </c>
      <c r="AJ1030" s="43">
        <v>1.6519999504</v>
      </c>
      <c r="AK1030" s="43"/>
      <c r="AL1030" s="43"/>
      <c r="AM1030" s="43"/>
      <c r="AN1030" s="43"/>
      <c r="AO1030" s="43"/>
      <c r="AP1030" s="43"/>
      <c r="AQ1030" s="43"/>
      <c r="AR1030" s="43"/>
      <c r="AS1030" s="43"/>
      <c r="AT1030" s="43"/>
      <c r="AU1030" s="43"/>
      <c r="AV1030" s="43"/>
      <c r="AW1030" s="43"/>
      <c r="AX1030" s="43">
        <v>1.7</v>
      </c>
      <c r="AY1030" s="43"/>
      <c r="AZ1030" s="43">
        <v>1.6</v>
      </c>
      <c r="BA1030" s="43">
        <v>1.6</v>
      </c>
      <c r="BB1030" s="43"/>
      <c r="BC1030" s="43"/>
      <c r="BD1030" s="43"/>
      <c r="BE1030" s="43"/>
      <c r="BF1030" s="43"/>
      <c r="BG1030" s="43"/>
      <c r="BH1030" s="43"/>
      <c r="BI1030" s="43"/>
      <c r="BJ1030" s="43"/>
      <c r="BK1030" s="43"/>
      <c r="BL1030" s="43"/>
      <c r="BM1030" s="43"/>
      <c r="BN1030" s="56">
        <f t="shared" si="28"/>
        <v>1.6</v>
      </c>
      <c r="BO1030" s="428">
        <f>IF(BN1030="No reported value",INDEX('WB HCW &amp; Beds'!$BU$831:$BU$835,MATCH($BP1030,'WB HCW &amp; Beds'!$BS$831:$BS$835,0)),$BN1030)</f>
        <v>1.6</v>
      </c>
      <c r="BP1030" s="132" t="str">
        <f>INDEX('HCW + Staff Summary'!$E$7:$E$270,MATCH($B1030,'HCW + Staff Summary'!$B$7:$B$270,0))</f>
        <v>Low income</v>
      </c>
      <c r="BQ1030" s="429">
        <f>INDEX('WB HCW &amp; Beds'!$BU$838:$BU$842,MATCH($BP1030,'WB HCW &amp; Beds'!$BS$838:$BS$842,0))*100</f>
        <v>1.63</v>
      </c>
    </row>
    <row r="1031" spans="2:69" x14ac:dyDescent="0.75">
      <c r="B1031" s="43" t="s">
        <v>524</v>
      </c>
      <c r="C1031" s="43" t="s">
        <v>525</v>
      </c>
      <c r="D1031" s="43" t="s">
        <v>632</v>
      </c>
      <c r="E1031" s="43" t="s">
        <v>633</v>
      </c>
      <c r="F1031" s="43">
        <v>0.50630844011821574</v>
      </c>
      <c r="G1031" s="43"/>
      <c r="H1031" s="43"/>
      <c r="I1031" s="43"/>
      <c r="J1031" s="43"/>
      <c r="K1031" s="43"/>
      <c r="L1031" s="43"/>
      <c r="M1031" s="43"/>
      <c r="N1031" s="43"/>
      <c r="O1031" s="43"/>
      <c r="P1031" s="43">
        <v>0.58514162500468481</v>
      </c>
      <c r="Q1031" s="43"/>
      <c r="R1031" s="43"/>
      <c r="S1031" s="43"/>
      <c r="T1031" s="43"/>
      <c r="U1031" s="43">
        <v>0.62665708729566538</v>
      </c>
      <c r="V1031" s="43"/>
      <c r="W1031" s="43"/>
      <c r="X1031" s="43"/>
      <c r="Y1031" s="43"/>
      <c r="Z1031" s="43">
        <v>0.72945337708162117</v>
      </c>
      <c r="AA1031" s="43">
        <v>0.73184895803921313</v>
      </c>
      <c r="AB1031" s="43"/>
      <c r="AC1031" s="43"/>
      <c r="AD1031" s="43"/>
      <c r="AE1031" s="43">
        <v>0.70908290144914998</v>
      </c>
      <c r="AF1031" s="43"/>
      <c r="AG1031" s="43">
        <v>0.70241016978022341</v>
      </c>
      <c r="AH1031" s="43"/>
      <c r="AI1031" s="43"/>
      <c r="AJ1031" s="43"/>
      <c r="AK1031" s="43">
        <v>0.71941374022195159</v>
      </c>
      <c r="AL1031" s="43"/>
      <c r="AM1031" s="43"/>
      <c r="AN1031" s="43"/>
      <c r="AO1031" s="43"/>
      <c r="AP1031" s="43"/>
      <c r="AQ1031" s="43"/>
      <c r="AR1031" s="43"/>
      <c r="AS1031" s="43"/>
      <c r="AT1031" s="43"/>
      <c r="AU1031" s="43"/>
      <c r="AV1031" s="43">
        <v>0.67765124019247169</v>
      </c>
      <c r="AW1031" s="43">
        <v>0.86737903302951869</v>
      </c>
      <c r="AX1031" s="43"/>
      <c r="AY1031" s="43">
        <v>0.81325691749772511</v>
      </c>
      <c r="AZ1031" s="43"/>
      <c r="BA1031" s="43"/>
      <c r="BB1031" s="43"/>
      <c r="BC1031" s="43"/>
      <c r="BD1031" s="43"/>
      <c r="BE1031" s="43">
        <v>0.67426183450707411</v>
      </c>
      <c r="BF1031" s="43"/>
      <c r="BG1031" s="43"/>
      <c r="BH1031" s="43"/>
      <c r="BI1031" s="43"/>
      <c r="BJ1031" s="43"/>
      <c r="BK1031" s="43"/>
      <c r="BL1031" s="43"/>
      <c r="BM1031" s="43"/>
      <c r="BN1031" s="56">
        <f t="shared" si="28"/>
        <v>0.67426183450707411</v>
      </c>
      <c r="BO1031" s="428">
        <f>IF(BN1031="No reported value",INDEX('WB HCW &amp; Beds'!$BU$831:$BU$835,MATCH($BP1031,'WB HCW &amp; Beds'!$BS$831:$BS$835,0)),$BN1031)</f>
        <v>0.67426183450707411</v>
      </c>
      <c r="BP1031" s="132" t="str">
        <f>INDEX('HCW + Staff Summary'!$E$7:$E$270,MATCH($B1031,'HCW + Staff Summary'!$B$7:$B$270,0))</f>
        <v>OUT</v>
      </c>
      <c r="BQ1031" s="429">
        <f>INDEX('WB HCW &amp; Beds'!$BU$838:$BU$842,MATCH($BP1031,'WB HCW &amp; Beds'!$BS$838:$BS$842,0))*100</f>
        <v>2.7250000000000001</v>
      </c>
    </row>
    <row r="1032" spans="2:69" x14ac:dyDescent="0.75">
      <c r="B1032" s="43" t="s">
        <v>514</v>
      </c>
      <c r="C1032" s="43" t="s">
        <v>124</v>
      </c>
      <c r="D1032" s="43" t="s">
        <v>632</v>
      </c>
      <c r="E1032" s="43" t="s">
        <v>633</v>
      </c>
      <c r="F1032" s="43">
        <v>0.77472394704818703</v>
      </c>
      <c r="G1032" s="43"/>
      <c r="H1032" s="43"/>
      <c r="I1032" s="43"/>
      <c r="J1032" s="43"/>
      <c r="K1032" s="43"/>
      <c r="L1032" s="43"/>
      <c r="M1032" s="43"/>
      <c r="N1032" s="43"/>
      <c r="O1032" s="43"/>
      <c r="P1032" s="43">
        <v>1.1813999414444001</v>
      </c>
      <c r="Q1032" s="43"/>
      <c r="R1032" s="43"/>
      <c r="S1032" s="43"/>
      <c r="T1032" s="43"/>
      <c r="U1032" s="43"/>
      <c r="V1032" s="43"/>
      <c r="W1032" s="43"/>
      <c r="X1032" s="43"/>
      <c r="Y1032" s="43"/>
      <c r="Z1032" s="43"/>
      <c r="AA1032" s="43">
        <v>1.4581999778747601</v>
      </c>
      <c r="AB1032" s="43"/>
      <c r="AC1032" s="43"/>
      <c r="AD1032" s="43"/>
      <c r="AE1032" s="43"/>
      <c r="AF1032" s="43"/>
      <c r="AG1032" s="43"/>
      <c r="AH1032" s="43"/>
      <c r="AI1032" s="43"/>
      <c r="AJ1032" s="43">
        <v>2.4964001178999999</v>
      </c>
      <c r="AK1032" s="43"/>
      <c r="AL1032" s="43"/>
      <c r="AM1032" s="43"/>
      <c r="AN1032" s="43"/>
      <c r="AO1032" s="43"/>
      <c r="AP1032" s="43"/>
      <c r="AQ1032" s="43">
        <v>2.2999999522999999</v>
      </c>
      <c r="AR1032" s="43"/>
      <c r="AS1032" s="43"/>
      <c r="AT1032" s="43">
        <v>2.2999999999999998</v>
      </c>
      <c r="AU1032" s="43">
        <v>3.2</v>
      </c>
      <c r="AV1032" s="43">
        <v>2.2000000000000002</v>
      </c>
      <c r="AW1032" s="43">
        <v>2.2000000000000002</v>
      </c>
      <c r="AX1032" s="43">
        <v>2.2000000000000002</v>
      </c>
      <c r="AY1032" s="43">
        <v>2.2999999999999998</v>
      </c>
      <c r="AZ1032" s="43">
        <v>2.2999999999999998</v>
      </c>
      <c r="BA1032" s="43">
        <v>2.2000000000000002</v>
      </c>
      <c r="BB1032" s="43">
        <v>2.2000000000000002</v>
      </c>
      <c r="BC1032" s="43">
        <v>2.2000000000000002</v>
      </c>
      <c r="BD1032" s="43">
        <v>2.2000000000000002</v>
      </c>
      <c r="BE1032" s="43">
        <v>2.1</v>
      </c>
      <c r="BF1032" s="43">
        <v>2.1</v>
      </c>
      <c r="BG1032" s="43">
        <v>2.2000000000000002</v>
      </c>
      <c r="BH1032" s="43">
        <v>2.7</v>
      </c>
      <c r="BI1032" s="43"/>
      <c r="BJ1032" s="43"/>
      <c r="BK1032" s="43"/>
      <c r="BL1032" s="43"/>
      <c r="BM1032" s="43"/>
      <c r="BN1032" s="56">
        <f t="shared" si="28"/>
        <v>2.7</v>
      </c>
      <c r="BO1032" s="428">
        <f>IF(BN1032="No reported value",INDEX('WB HCW &amp; Beds'!$BU$831:$BU$835,MATCH($BP1032,'WB HCW &amp; Beds'!$BS$831:$BS$835,0)),$BN1032)</f>
        <v>2.7</v>
      </c>
      <c r="BP1032" s="132" t="str">
        <f>INDEX('HCW + Staff Summary'!$E$7:$E$270,MATCH($B1032,'HCW + Staff Summary'!$B$7:$B$270,0))</f>
        <v>High income</v>
      </c>
      <c r="BQ1032" s="429">
        <f>INDEX('WB HCW &amp; Beds'!$BU$838:$BU$842,MATCH($BP1032,'WB HCW &amp; Beds'!$BS$838:$BS$842,0))*100</f>
        <v>3.5700000000000003</v>
      </c>
    </row>
    <row r="1033" spans="2:69" x14ac:dyDescent="0.75">
      <c r="B1033" s="43" t="s">
        <v>233</v>
      </c>
      <c r="C1033" s="43" t="s">
        <v>125</v>
      </c>
      <c r="D1033" s="43" t="s">
        <v>632</v>
      </c>
      <c r="E1033" s="43" t="s">
        <v>633</v>
      </c>
      <c r="F1033" s="43">
        <v>1.0065009593963601</v>
      </c>
      <c r="G1033" s="43"/>
      <c r="H1033" s="43"/>
      <c r="I1033" s="43"/>
      <c r="J1033" s="43"/>
      <c r="K1033" s="43"/>
      <c r="L1033" s="43"/>
      <c r="M1033" s="43"/>
      <c r="N1033" s="43"/>
      <c r="O1033" s="43"/>
      <c r="P1033" s="43">
        <v>1.0426000356674201</v>
      </c>
      <c r="Q1033" s="43"/>
      <c r="R1033" s="43"/>
      <c r="S1033" s="43"/>
      <c r="T1033" s="43"/>
      <c r="U1033" s="43">
        <v>0.9932000041008</v>
      </c>
      <c r="V1033" s="43"/>
      <c r="W1033" s="43"/>
      <c r="X1033" s="43"/>
      <c r="Y1033" s="43"/>
      <c r="Z1033" s="43">
        <v>0.890699982643127</v>
      </c>
      <c r="AA1033" s="43">
        <v>0.87019997835159302</v>
      </c>
      <c r="AB1033" s="43"/>
      <c r="AC1033" s="43"/>
      <c r="AD1033" s="43"/>
      <c r="AE1033" s="43"/>
      <c r="AF1033" s="43"/>
      <c r="AG1033" s="43"/>
      <c r="AH1033" s="43"/>
      <c r="AI1033" s="43"/>
      <c r="AJ1033" s="43">
        <v>1.0880000591000001</v>
      </c>
      <c r="AK1033" s="43"/>
      <c r="AL1033" s="43"/>
      <c r="AM1033" s="43"/>
      <c r="AN1033" s="43"/>
      <c r="AO1033" s="43"/>
      <c r="AP1033" s="43"/>
      <c r="AQ1033" s="43"/>
      <c r="AR1033" s="43"/>
      <c r="AS1033" s="43"/>
      <c r="AT1033" s="43">
        <v>0.8</v>
      </c>
      <c r="AU1033" s="43">
        <v>0.7</v>
      </c>
      <c r="AV1033" s="43">
        <v>0.7</v>
      </c>
      <c r="AW1033" s="43">
        <v>0.7</v>
      </c>
      <c r="AX1033" s="43">
        <v>0.7</v>
      </c>
      <c r="AY1033" s="43">
        <v>0.7</v>
      </c>
      <c r="AZ1033" s="43">
        <v>0.7</v>
      </c>
      <c r="BA1033" s="43">
        <v>0.7</v>
      </c>
      <c r="BB1033" s="43">
        <v>0.7</v>
      </c>
      <c r="BC1033" s="43">
        <v>0.7</v>
      </c>
      <c r="BD1033" s="43">
        <v>0.7</v>
      </c>
      <c r="BE1033" s="43">
        <v>0.8</v>
      </c>
      <c r="BF1033" s="43">
        <v>0.8</v>
      </c>
      <c r="BG1033" s="43">
        <v>0.8</v>
      </c>
      <c r="BH1033" s="43"/>
      <c r="BI1033" s="43"/>
      <c r="BJ1033" s="43"/>
      <c r="BK1033" s="43"/>
      <c r="BL1033" s="43"/>
      <c r="BM1033" s="43"/>
      <c r="BN1033" s="56">
        <f t="shared" si="28"/>
        <v>0.8</v>
      </c>
      <c r="BO1033" s="428">
        <f>IF(BN1033="No reported value",INDEX('WB HCW &amp; Beds'!$BU$831:$BU$835,MATCH($BP1033,'WB HCW &amp; Beds'!$BS$831:$BS$835,0)),$BN1033)</f>
        <v>0.8</v>
      </c>
      <c r="BP1033" s="132" t="str">
        <f>INDEX('HCW + Staff Summary'!$E$7:$E$270,MATCH($B1033,'HCW + Staff Summary'!$B$7:$B$270,0))</f>
        <v>Lower middle income</v>
      </c>
      <c r="BQ1033" s="429">
        <f>INDEX('WB HCW &amp; Beds'!$BU$838:$BU$842,MATCH($BP1033,'WB HCW &amp; Beds'!$BS$838:$BS$842,0))*100</f>
        <v>2.3800000000000003</v>
      </c>
    </row>
    <row r="1034" spans="2:69" x14ac:dyDescent="0.75">
      <c r="B1034" s="43" t="s">
        <v>212</v>
      </c>
      <c r="C1034" s="43" t="s">
        <v>126</v>
      </c>
      <c r="D1034" s="43" t="s">
        <v>632</v>
      </c>
      <c r="E1034" s="43" t="s">
        <v>633</v>
      </c>
      <c r="F1034" s="43">
        <v>1.3131471872329701</v>
      </c>
      <c r="G1034" s="43"/>
      <c r="H1034" s="43"/>
      <c r="I1034" s="43"/>
      <c r="J1034" s="43"/>
      <c r="K1034" s="43"/>
      <c r="L1034" s="43"/>
      <c r="M1034" s="43"/>
      <c r="N1034" s="43"/>
      <c r="O1034" s="43"/>
      <c r="P1034" s="43">
        <v>1.29849994182587</v>
      </c>
      <c r="Q1034" s="43"/>
      <c r="R1034" s="43"/>
      <c r="S1034" s="43"/>
      <c r="T1034" s="43"/>
      <c r="U1034" s="43">
        <v>1.29009997844696</v>
      </c>
      <c r="V1034" s="43"/>
      <c r="W1034" s="43"/>
      <c r="X1034" s="43"/>
      <c r="Y1034" s="43"/>
      <c r="Z1034" s="43"/>
      <c r="AA1034" s="43"/>
      <c r="AB1034" s="43"/>
      <c r="AC1034" s="43"/>
      <c r="AD1034" s="43"/>
      <c r="AE1034" s="43"/>
      <c r="AF1034" s="43"/>
      <c r="AG1034" s="43"/>
      <c r="AH1034" s="43"/>
      <c r="AI1034" s="43">
        <v>0.52399998903274503</v>
      </c>
      <c r="AJ1034" s="43">
        <v>0.72960001230000004</v>
      </c>
      <c r="AK1034" s="43"/>
      <c r="AL1034" s="43"/>
      <c r="AM1034" s="43"/>
      <c r="AN1034" s="43">
        <v>0.2475000024</v>
      </c>
      <c r="AO1034" s="43"/>
      <c r="AP1034" s="43">
        <v>0.44999998810000003</v>
      </c>
      <c r="AQ1034" s="43"/>
      <c r="AR1034" s="43">
        <v>0.40000000600000002</v>
      </c>
      <c r="AS1034" s="43"/>
      <c r="AT1034" s="43"/>
      <c r="AU1034" s="43"/>
      <c r="AV1034" s="43"/>
      <c r="AW1034" s="43"/>
      <c r="AX1034" s="43"/>
      <c r="AY1034" s="43"/>
      <c r="AZ1034" s="43"/>
      <c r="BA1034" s="43">
        <v>0.1</v>
      </c>
      <c r="BB1034" s="43">
        <v>0.3</v>
      </c>
      <c r="BC1034" s="43"/>
      <c r="BD1034" s="43"/>
      <c r="BE1034" s="43"/>
      <c r="BF1034" s="43"/>
      <c r="BG1034" s="43"/>
      <c r="BH1034" s="43"/>
      <c r="BI1034" s="43"/>
      <c r="BJ1034" s="43"/>
      <c r="BK1034" s="43"/>
      <c r="BL1034" s="43"/>
      <c r="BM1034" s="43"/>
      <c r="BN1034" s="56">
        <f t="shared" si="28"/>
        <v>0.3</v>
      </c>
      <c r="BO1034" s="428">
        <f>IF(BN1034="No reported value",INDEX('WB HCW &amp; Beds'!$BU$831:$BU$835,MATCH($BP1034,'WB HCW &amp; Beds'!$BS$831:$BS$835,0)),$BN1034)</f>
        <v>0.3</v>
      </c>
      <c r="BP1034" s="132" t="str">
        <f>INDEX('HCW + Staff Summary'!$E$7:$E$270,MATCH($B1034,'HCW + Staff Summary'!$B$7:$B$270,0))</f>
        <v>Lower middle income</v>
      </c>
      <c r="BQ1034" s="429">
        <f>INDEX('WB HCW &amp; Beds'!$BU$838:$BU$842,MATCH($BP1034,'WB HCW &amp; Beds'!$BS$838:$BS$842,0))*100</f>
        <v>2.3800000000000003</v>
      </c>
    </row>
    <row r="1035" spans="2:69" x14ac:dyDescent="0.75">
      <c r="B1035" s="43" t="s">
        <v>516</v>
      </c>
      <c r="C1035" s="43" t="s">
        <v>127</v>
      </c>
      <c r="D1035" s="43" t="s">
        <v>632</v>
      </c>
      <c r="E1035" s="43" t="s">
        <v>633</v>
      </c>
      <c r="F1035" s="43">
        <v>4.3924665451049796</v>
      </c>
      <c r="G1035" s="43"/>
      <c r="H1035" s="43"/>
      <c r="I1035" s="43"/>
      <c r="J1035" s="43"/>
      <c r="K1035" s="43"/>
      <c r="L1035" s="43"/>
      <c r="M1035" s="43"/>
      <c r="N1035" s="43"/>
      <c r="O1035" s="43"/>
      <c r="P1035" s="43">
        <v>3.6982998847961399</v>
      </c>
      <c r="Q1035" s="43"/>
      <c r="R1035" s="43"/>
      <c r="S1035" s="43"/>
      <c r="T1035" s="43"/>
      <c r="U1035" s="43">
        <v>3.3333001136779798</v>
      </c>
      <c r="V1035" s="43"/>
      <c r="W1035" s="43"/>
      <c r="X1035" s="43"/>
      <c r="Y1035" s="43"/>
      <c r="Z1035" s="43">
        <v>3.9565000534057599</v>
      </c>
      <c r="AA1035" s="43">
        <v>3.9079999923706099</v>
      </c>
      <c r="AB1035" s="43"/>
      <c r="AC1035" s="43"/>
      <c r="AD1035" s="43"/>
      <c r="AE1035" s="43"/>
      <c r="AF1035" s="43"/>
      <c r="AG1035" s="43"/>
      <c r="AH1035" s="43"/>
      <c r="AI1035" s="43"/>
      <c r="AJ1035" s="43">
        <v>3.6078000068999998</v>
      </c>
      <c r="AK1035" s="43">
        <v>3.5471999644999999</v>
      </c>
      <c r="AL1035" s="43">
        <v>3.4514000415999999</v>
      </c>
      <c r="AM1035" s="43">
        <v>3.6426999569</v>
      </c>
      <c r="AN1035" s="43">
        <v>3.5652000903999999</v>
      </c>
      <c r="AO1035" s="43"/>
      <c r="AP1035" s="43"/>
      <c r="AQ1035" s="43"/>
      <c r="AR1035" s="43"/>
      <c r="AS1035" s="43"/>
      <c r="AT1035" s="43"/>
      <c r="AU1035" s="43">
        <v>2.9000000953999998</v>
      </c>
      <c r="AV1035" s="43"/>
      <c r="AW1035" s="43">
        <v>2.8</v>
      </c>
      <c r="AX1035" s="43"/>
      <c r="AY1035" s="43">
        <v>3.2</v>
      </c>
      <c r="AZ1035" s="43">
        <v>3.2</v>
      </c>
      <c r="BA1035" s="43">
        <v>3.22</v>
      </c>
      <c r="BB1035" s="43">
        <v>3.1</v>
      </c>
      <c r="BC1035" s="43"/>
      <c r="BD1035" s="43"/>
      <c r="BE1035" s="43">
        <v>2</v>
      </c>
      <c r="BF1035" s="43"/>
      <c r="BG1035" s="43">
        <v>2.1</v>
      </c>
      <c r="BH1035" s="43"/>
      <c r="BI1035" s="43">
        <v>2.4</v>
      </c>
      <c r="BJ1035" s="43"/>
      <c r="BK1035" s="43"/>
      <c r="BL1035" s="43"/>
      <c r="BM1035" s="43"/>
      <c r="BN1035" s="56">
        <f t="shared" si="28"/>
        <v>2.4</v>
      </c>
      <c r="BO1035" s="428">
        <f>IF(BN1035="No reported value",INDEX('WB HCW &amp; Beds'!$BU$831:$BU$835,MATCH($BP1035,'WB HCW &amp; Beds'!$BS$831:$BS$835,0)),$BN1035)</f>
        <v>2.4</v>
      </c>
      <c r="BP1035" s="132" t="str">
        <f>INDEX('HCW + Staff Summary'!$E$7:$E$270,MATCH($B1035,'HCW + Staff Summary'!$B$7:$B$270,0))</f>
        <v>High income</v>
      </c>
      <c r="BQ1035" s="429">
        <f>INDEX('WB HCW &amp; Beds'!$BU$838:$BU$842,MATCH($BP1035,'WB HCW &amp; Beds'!$BS$838:$BS$842,0))*100</f>
        <v>3.5700000000000003</v>
      </c>
    </row>
    <row r="1036" spans="2:69" x14ac:dyDescent="0.75">
      <c r="B1036" s="43" t="s">
        <v>255</v>
      </c>
      <c r="C1036" s="43" t="s">
        <v>128</v>
      </c>
      <c r="D1036" s="43" t="s">
        <v>632</v>
      </c>
      <c r="E1036" s="43" t="s">
        <v>633</v>
      </c>
      <c r="F1036" s="43">
        <v>7.3305087089538601</v>
      </c>
      <c r="G1036" s="43"/>
      <c r="H1036" s="43"/>
      <c r="I1036" s="43"/>
      <c r="J1036" s="43"/>
      <c r="K1036" s="43"/>
      <c r="L1036" s="43"/>
      <c r="M1036" s="43"/>
      <c r="N1036" s="43"/>
      <c r="O1036" s="43"/>
      <c r="P1036" s="43">
        <v>7.3415999412536603</v>
      </c>
      <c r="Q1036" s="43"/>
      <c r="R1036" s="43"/>
      <c r="S1036" s="43"/>
      <c r="T1036" s="43"/>
      <c r="U1036" s="43"/>
      <c r="V1036" s="43"/>
      <c r="W1036" s="43"/>
      <c r="X1036" s="43"/>
      <c r="Y1036" s="43"/>
      <c r="Z1036" s="43"/>
      <c r="AA1036" s="43">
        <v>5.68289995193481</v>
      </c>
      <c r="AB1036" s="43"/>
      <c r="AC1036" s="43"/>
      <c r="AD1036" s="43"/>
      <c r="AE1036" s="43"/>
      <c r="AF1036" s="43"/>
      <c r="AG1036" s="43"/>
      <c r="AH1036" s="43"/>
      <c r="AI1036" s="43"/>
      <c r="AJ1036" s="43">
        <v>0.82810002569999996</v>
      </c>
      <c r="AK1036" s="43"/>
      <c r="AL1036" s="43">
        <v>2.7481000422999999</v>
      </c>
      <c r="AM1036" s="43"/>
      <c r="AN1036" s="43"/>
      <c r="AO1036" s="43"/>
      <c r="AP1036" s="43"/>
      <c r="AQ1036" s="43"/>
      <c r="AR1036" s="43"/>
      <c r="AS1036" s="43"/>
      <c r="AT1036" s="43"/>
      <c r="AU1036" s="43"/>
      <c r="AV1036" s="43"/>
      <c r="AW1036" s="43">
        <v>2.2000000000000002</v>
      </c>
      <c r="AX1036" s="43"/>
      <c r="AY1036" s="43">
        <v>1.4</v>
      </c>
      <c r="AZ1036" s="43"/>
      <c r="BA1036" s="43"/>
      <c r="BB1036" s="43"/>
      <c r="BC1036" s="43"/>
      <c r="BD1036" s="43"/>
      <c r="BE1036" s="43"/>
      <c r="BF1036" s="43">
        <v>1.4</v>
      </c>
      <c r="BG1036" s="43"/>
      <c r="BH1036" s="43"/>
      <c r="BI1036" s="43"/>
      <c r="BJ1036" s="43"/>
      <c r="BK1036" s="43"/>
      <c r="BL1036" s="43"/>
      <c r="BM1036" s="43"/>
      <c r="BN1036" s="56">
        <f t="shared" si="28"/>
        <v>1.4</v>
      </c>
      <c r="BO1036" s="428">
        <f>IF(BN1036="No reported value",INDEX('WB HCW &amp; Beds'!$BU$831:$BU$835,MATCH($BP1036,'WB HCW &amp; Beds'!$BS$831:$BS$835,0)),$BN1036)</f>
        <v>1.4</v>
      </c>
      <c r="BP1036" s="132" t="str">
        <f>INDEX('HCW + Staff Summary'!$E$7:$E$270,MATCH($B1036,'HCW + Staff Summary'!$B$7:$B$270,0))</f>
        <v>Lower middle income</v>
      </c>
      <c r="BQ1036" s="429">
        <f>INDEX('WB HCW &amp; Beds'!$BU$838:$BU$842,MATCH($BP1036,'WB HCW &amp; Beds'!$BS$838:$BS$842,0))*100</f>
        <v>2.3800000000000003</v>
      </c>
    </row>
    <row r="1037" spans="2:69" x14ac:dyDescent="0.75">
      <c r="B1037" s="43" t="s">
        <v>214</v>
      </c>
      <c r="C1037" s="43" t="s">
        <v>129</v>
      </c>
      <c r="D1037" s="43" t="s">
        <v>632</v>
      </c>
      <c r="E1037" s="43" t="s">
        <v>633</v>
      </c>
      <c r="F1037" s="43">
        <v>0.77286922931671098</v>
      </c>
      <c r="G1037" s="43"/>
      <c r="H1037" s="43"/>
      <c r="I1037" s="43"/>
      <c r="J1037" s="43"/>
      <c r="K1037" s="43"/>
      <c r="L1037" s="43"/>
      <c r="M1037" s="43"/>
      <c r="N1037" s="43"/>
      <c r="O1037" s="43"/>
      <c r="P1037" s="43">
        <v>0.92549997568130504</v>
      </c>
      <c r="Q1037" s="43"/>
      <c r="R1037" s="43"/>
      <c r="S1037" s="43"/>
      <c r="T1037" s="43"/>
      <c r="U1037" s="43">
        <v>0.90689998865127597</v>
      </c>
      <c r="V1037" s="43"/>
      <c r="W1037" s="43"/>
      <c r="X1037" s="43"/>
      <c r="Y1037" s="43"/>
      <c r="Z1037" s="43">
        <v>1.21449995040894</v>
      </c>
      <c r="AA1037" s="43"/>
      <c r="AB1037" s="43"/>
      <c r="AC1037" s="43"/>
      <c r="AD1037" s="43"/>
      <c r="AE1037" s="43"/>
      <c r="AF1037" s="43"/>
      <c r="AG1037" s="43"/>
      <c r="AH1037" s="43"/>
      <c r="AI1037" s="43"/>
      <c r="AJ1037" s="43"/>
      <c r="AK1037" s="43"/>
      <c r="AL1037" s="43"/>
      <c r="AM1037" s="43"/>
      <c r="AN1037" s="43"/>
      <c r="AO1037" s="43"/>
      <c r="AP1037" s="43"/>
      <c r="AQ1037" s="43"/>
      <c r="AR1037" s="43"/>
      <c r="AS1037" s="43"/>
      <c r="AT1037" s="43"/>
      <c r="AU1037" s="43"/>
      <c r="AV1037" s="43"/>
      <c r="AW1037" s="43"/>
      <c r="AX1037" s="43"/>
      <c r="AY1037" s="43"/>
      <c r="AZ1037" s="43">
        <v>0.4</v>
      </c>
      <c r="BA1037" s="43"/>
      <c r="BB1037" s="43"/>
      <c r="BC1037" s="43"/>
      <c r="BD1037" s="43"/>
      <c r="BE1037" s="43"/>
      <c r="BF1037" s="43"/>
      <c r="BG1037" s="43"/>
      <c r="BH1037" s="43"/>
      <c r="BI1037" s="43"/>
      <c r="BJ1037" s="43"/>
      <c r="BK1037" s="43"/>
      <c r="BL1037" s="43"/>
      <c r="BM1037" s="43"/>
      <c r="BN1037" s="56">
        <f t="shared" si="28"/>
        <v>0.4</v>
      </c>
      <c r="BO1037" s="428">
        <f>IF(BN1037="No reported value",INDEX('WB HCW &amp; Beds'!$BU$831:$BU$835,MATCH($BP1037,'WB HCW &amp; Beds'!$BS$831:$BS$835,0)),$BN1037)</f>
        <v>0.4</v>
      </c>
      <c r="BP1037" s="132" t="str">
        <f>INDEX('HCW + Staff Summary'!$E$7:$E$270,MATCH($B1037,'HCW + Staff Summary'!$B$7:$B$270,0))</f>
        <v>Low income</v>
      </c>
      <c r="BQ1037" s="429">
        <f>INDEX('WB HCW &amp; Beds'!$BU$838:$BU$842,MATCH($BP1037,'WB HCW &amp; Beds'!$BS$838:$BS$842,0))*100</f>
        <v>1.63</v>
      </c>
    </row>
    <row r="1038" spans="2:69" x14ac:dyDescent="0.75">
      <c r="B1038" s="43" t="s">
        <v>222</v>
      </c>
      <c r="C1038" s="43" t="s">
        <v>164</v>
      </c>
      <c r="D1038" s="43" t="s">
        <v>632</v>
      </c>
      <c r="E1038" s="43" t="s">
        <v>633</v>
      </c>
      <c r="F1038" s="43">
        <v>2.1834754943847701</v>
      </c>
      <c r="G1038" s="43"/>
      <c r="H1038" s="43"/>
      <c r="I1038" s="43"/>
      <c r="J1038" s="43"/>
      <c r="K1038" s="43"/>
      <c r="L1038" s="43"/>
      <c r="M1038" s="43"/>
      <c r="N1038" s="43"/>
      <c r="O1038" s="43"/>
      <c r="P1038" s="43">
        <v>1.90240001678467</v>
      </c>
      <c r="Q1038" s="43"/>
      <c r="R1038" s="43"/>
      <c r="S1038" s="43"/>
      <c r="T1038" s="43"/>
      <c r="U1038" s="43">
        <v>1.9850000143051101</v>
      </c>
      <c r="V1038" s="43"/>
      <c r="W1038" s="43"/>
      <c r="X1038" s="43"/>
      <c r="Y1038" s="43"/>
      <c r="Z1038" s="43"/>
      <c r="AA1038" s="43"/>
      <c r="AB1038" s="43"/>
      <c r="AC1038" s="43"/>
      <c r="AD1038" s="43"/>
      <c r="AE1038" s="43"/>
      <c r="AF1038" s="43"/>
      <c r="AG1038" s="43"/>
      <c r="AH1038" s="43"/>
      <c r="AI1038" s="43"/>
      <c r="AJ1038" s="43">
        <v>1.4710999727</v>
      </c>
      <c r="AK1038" s="43"/>
      <c r="AL1038" s="43"/>
      <c r="AM1038" s="43">
        <v>1.5</v>
      </c>
      <c r="AN1038" s="43"/>
      <c r="AO1038" s="43"/>
      <c r="AP1038" s="43">
        <v>1.6499999761999999</v>
      </c>
      <c r="AQ1038" s="43"/>
      <c r="AR1038" s="43"/>
      <c r="AS1038" s="43"/>
      <c r="AT1038" s="43"/>
      <c r="AU1038" s="43"/>
      <c r="AV1038" s="43"/>
      <c r="AW1038" s="43"/>
      <c r="AX1038" s="43"/>
      <c r="AY1038" s="43">
        <v>0.9</v>
      </c>
      <c r="AZ1038" s="43">
        <v>0.9</v>
      </c>
      <c r="BA1038" s="43">
        <v>0.7</v>
      </c>
      <c r="BB1038" s="43">
        <v>0.8</v>
      </c>
      <c r="BC1038" s="43">
        <v>1.1000000000000001</v>
      </c>
      <c r="BD1038" s="43">
        <v>1</v>
      </c>
      <c r="BE1038" s="43">
        <v>1</v>
      </c>
      <c r="BF1038" s="43">
        <v>1.1000000000000001</v>
      </c>
      <c r="BG1038" s="43">
        <v>1.1000000000000001</v>
      </c>
      <c r="BH1038" s="43">
        <v>1.3</v>
      </c>
      <c r="BI1038" s="43"/>
      <c r="BJ1038" s="43"/>
      <c r="BK1038" s="43"/>
      <c r="BL1038" s="43"/>
      <c r="BM1038" s="43"/>
      <c r="BN1038" s="56">
        <f t="shared" si="28"/>
        <v>1.3</v>
      </c>
      <c r="BO1038" s="428">
        <f>IF(BN1038="No reported value",INDEX('WB HCW &amp; Beds'!$BU$831:$BU$835,MATCH($BP1038,'WB HCW &amp; Beds'!$BS$831:$BS$835,0)),$BN1038)</f>
        <v>1.3</v>
      </c>
      <c r="BP1038" s="132" t="str">
        <f>INDEX('HCW + Staff Summary'!$E$7:$E$270,MATCH($B1038,'HCW + Staff Summary'!$B$7:$B$270,0))</f>
        <v>Lower middle income</v>
      </c>
      <c r="BQ1038" s="429">
        <f>INDEX('WB HCW &amp; Beds'!$BU$838:$BU$842,MATCH($BP1038,'WB HCW &amp; Beds'!$BS$838:$BS$842,0))*100</f>
        <v>2.3800000000000003</v>
      </c>
    </row>
    <row r="1039" spans="2:69" x14ac:dyDescent="0.75">
      <c r="B1039" s="43" t="s">
        <v>513</v>
      </c>
      <c r="C1039" s="43" t="s">
        <v>130</v>
      </c>
      <c r="D1039" s="43" t="s">
        <v>632</v>
      </c>
      <c r="E1039" s="43" t="s">
        <v>633</v>
      </c>
      <c r="F1039" s="43"/>
      <c r="G1039" s="43"/>
      <c r="H1039" s="43"/>
      <c r="I1039" s="43"/>
      <c r="J1039" s="43"/>
      <c r="K1039" s="43"/>
      <c r="L1039" s="43"/>
      <c r="M1039" s="43"/>
      <c r="N1039" s="43"/>
      <c r="O1039" s="43"/>
      <c r="P1039" s="43"/>
      <c r="Q1039" s="43"/>
      <c r="R1039" s="43"/>
      <c r="S1039" s="43"/>
      <c r="T1039" s="43"/>
      <c r="U1039" s="43"/>
      <c r="V1039" s="43"/>
      <c r="W1039" s="43"/>
      <c r="X1039" s="43"/>
      <c r="Y1039" s="43"/>
      <c r="Z1039" s="43">
        <v>6.6719999313354501</v>
      </c>
      <c r="AA1039" s="43"/>
      <c r="AB1039" s="43"/>
      <c r="AC1039" s="43"/>
      <c r="AD1039" s="43">
        <v>6.8200001716613796</v>
      </c>
      <c r="AE1039" s="43">
        <v>6.7680001258850098</v>
      </c>
      <c r="AF1039" s="43">
        <v>6.6999998092651403</v>
      </c>
      <c r="AG1039" s="43">
        <v>6.6589999198913601</v>
      </c>
      <c r="AH1039" s="43">
        <v>7.65700006484985</v>
      </c>
      <c r="AI1039" s="43">
        <v>7.4450001716613796</v>
      </c>
      <c r="AJ1039" s="43">
        <v>7.1599998474</v>
      </c>
      <c r="AK1039" s="43"/>
      <c r="AL1039" s="43"/>
      <c r="AM1039" s="43"/>
      <c r="AN1039" s="43"/>
      <c r="AO1039" s="43"/>
      <c r="AP1039" s="43"/>
      <c r="AQ1039" s="43"/>
      <c r="AR1039" s="43"/>
      <c r="AS1039" s="43"/>
      <c r="AT1039" s="43"/>
      <c r="AU1039" s="43"/>
      <c r="AV1039" s="43"/>
      <c r="AW1039" s="43"/>
      <c r="AX1039" s="43"/>
      <c r="AY1039" s="43"/>
      <c r="AZ1039" s="43"/>
      <c r="BA1039" s="43"/>
      <c r="BB1039" s="43"/>
      <c r="BC1039" s="43"/>
      <c r="BD1039" s="43"/>
      <c r="BE1039" s="43">
        <v>3.85</v>
      </c>
      <c r="BF1039" s="43">
        <v>3.8</v>
      </c>
      <c r="BG1039" s="43"/>
      <c r="BH1039" s="43"/>
      <c r="BI1039" s="43"/>
      <c r="BJ1039" s="43"/>
      <c r="BK1039" s="43"/>
      <c r="BL1039" s="43"/>
      <c r="BM1039" s="43"/>
      <c r="BN1039" s="56">
        <f t="shared" si="28"/>
        <v>3.8</v>
      </c>
      <c r="BO1039" s="428">
        <f>IF(BN1039="No reported value",INDEX('WB HCW &amp; Beds'!$BU$831:$BU$835,MATCH($BP1039,'WB HCW &amp; Beds'!$BS$831:$BS$835,0)),$BN1039)</f>
        <v>3.8</v>
      </c>
      <c r="BP1039" s="132" t="str">
        <f>INDEX('HCW + Staff Summary'!$E$7:$E$270,MATCH($B1039,'HCW + Staff Summary'!$B$7:$B$270,0))</f>
        <v>High income</v>
      </c>
      <c r="BQ1039" s="429">
        <f>INDEX('WB HCW &amp; Beds'!$BU$838:$BU$842,MATCH($BP1039,'WB HCW &amp; Beds'!$BS$838:$BS$842,0))*100</f>
        <v>3.5700000000000003</v>
      </c>
    </row>
    <row r="1040" spans="2:69" x14ac:dyDescent="0.75">
      <c r="B1040" s="43" t="s">
        <v>232</v>
      </c>
      <c r="C1040" s="43" t="s">
        <v>171</v>
      </c>
      <c r="D1040" s="43" t="s">
        <v>632</v>
      </c>
      <c r="E1040" s="43" t="s">
        <v>633</v>
      </c>
      <c r="F1040" s="43">
        <v>1.35531914234161</v>
      </c>
      <c r="G1040" s="43"/>
      <c r="H1040" s="43"/>
      <c r="I1040" s="43"/>
      <c r="J1040" s="43"/>
      <c r="K1040" s="43"/>
      <c r="L1040" s="43"/>
      <c r="M1040" s="43"/>
      <c r="N1040" s="43"/>
      <c r="O1040" s="43"/>
      <c r="P1040" s="43">
        <v>1.3557000160217301</v>
      </c>
      <c r="Q1040" s="43"/>
      <c r="R1040" s="43"/>
      <c r="S1040" s="43"/>
      <c r="T1040" s="43"/>
      <c r="U1040" s="43">
        <v>1.4220000505447401</v>
      </c>
      <c r="V1040" s="43"/>
      <c r="W1040" s="43"/>
      <c r="X1040" s="43"/>
      <c r="Y1040" s="43"/>
      <c r="Z1040" s="43"/>
      <c r="AA1040" s="43"/>
      <c r="AB1040" s="43"/>
      <c r="AC1040" s="43"/>
      <c r="AD1040" s="43"/>
      <c r="AE1040" s="43"/>
      <c r="AF1040" s="43"/>
      <c r="AG1040" s="43"/>
      <c r="AH1040" s="43">
        <v>0.906300008296967</v>
      </c>
      <c r="AI1040" s="43"/>
      <c r="AJ1040" s="43">
        <v>0.75349998470000001</v>
      </c>
      <c r="AK1040" s="43"/>
      <c r="AL1040" s="43"/>
      <c r="AM1040" s="43"/>
      <c r="AN1040" s="43"/>
      <c r="AO1040" s="43"/>
      <c r="AP1040" s="43"/>
      <c r="AQ1040" s="43">
        <v>0.40000000600000002</v>
      </c>
      <c r="AR1040" s="43"/>
      <c r="AS1040" s="43"/>
      <c r="AT1040" s="43">
        <v>0.4</v>
      </c>
      <c r="AU1040" s="43">
        <v>0.4</v>
      </c>
      <c r="AV1040" s="43">
        <v>0.4</v>
      </c>
      <c r="AW1040" s="43">
        <v>0.4</v>
      </c>
      <c r="AX1040" s="43">
        <v>0.4</v>
      </c>
      <c r="AY1040" s="43"/>
      <c r="AZ1040" s="43"/>
      <c r="BA1040" s="43"/>
      <c r="BB1040" s="43"/>
      <c r="BC1040" s="43"/>
      <c r="BD1040" s="43"/>
      <c r="BE1040" s="43"/>
      <c r="BF1040" s="43"/>
      <c r="BG1040" s="43">
        <v>0.9</v>
      </c>
      <c r="BH1040" s="43">
        <v>0.9</v>
      </c>
      <c r="BI1040" s="43"/>
      <c r="BJ1040" s="43"/>
      <c r="BK1040" s="43"/>
      <c r="BL1040" s="43"/>
      <c r="BM1040" s="43"/>
      <c r="BN1040" s="56">
        <f t="shared" si="28"/>
        <v>0.9</v>
      </c>
      <c r="BO1040" s="428">
        <f>IF(BN1040="No reported value",INDEX('WB HCW &amp; Beds'!$BU$831:$BU$835,MATCH($BP1040,'WB HCW &amp; Beds'!$BS$831:$BS$835,0)),$BN1040)</f>
        <v>0.9</v>
      </c>
      <c r="BP1040" s="132" t="str">
        <f>INDEX('HCW + Staff Summary'!$E$7:$E$270,MATCH($B1040,'HCW + Staff Summary'!$B$7:$B$270,0))</f>
        <v>Low income</v>
      </c>
      <c r="BQ1040" s="429">
        <f>INDEX('WB HCW &amp; Beds'!$BU$838:$BU$842,MATCH($BP1040,'WB HCW &amp; Beds'!$BS$838:$BS$842,0))*100</f>
        <v>1.63</v>
      </c>
    </row>
    <row r="1041" spans="2:69" x14ac:dyDescent="0.75">
      <c r="B1041" s="43" t="s">
        <v>515</v>
      </c>
      <c r="C1041" s="43" t="s">
        <v>131</v>
      </c>
      <c r="D1041" s="43" t="s">
        <v>632</v>
      </c>
      <c r="E1041" s="43" t="s">
        <v>633</v>
      </c>
      <c r="F1041" s="43"/>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43"/>
      <c r="AE1041" s="43"/>
      <c r="AF1041" s="43"/>
      <c r="AG1041" s="43"/>
      <c r="AH1041" s="43"/>
      <c r="AI1041" s="43"/>
      <c r="AJ1041" s="43"/>
      <c r="AK1041" s="43"/>
      <c r="AL1041" s="43"/>
      <c r="AM1041" s="43"/>
      <c r="AN1041" s="43"/>
      <c r="AO1041" s="43"/>
      <c r="AP1041" s="43"/>
      <c r="AQ1041" s="43"/>
      <c r="AR1041" s="43"/>
      <c r="AS1041" s="43"/>
      <c r="AT1041" s="43"/>
      <c r="AU1041" s="43"/>
      <c r="AV1041" s="43"/>
      <c r="AW1041" s="43"/>
      <c r="AX1041" s="43"/>
      <c r="AY1041" s="43">
        <v>5.9</v>
      </c>
      <c r="AZ1041" s="43">
        <v>5.7</v>
      </c>
      <c r="BA1041" s="43">
        <v>5.5</v>
      </c>
      <c r="BB1041" s="43">
        <v>5.5</v>
      </c>
      <c r="BC1041" s="43">
        <v>5.4</v>
      </c>
      <c r="BD1041" s="43">
        <v>5.6</v>
      </c>
      <c r="BE1041" s="43">
        <v>5.6</v>
      </c>
      <c r="BF1041" s="43">
        <v>5.7</v>
      </c>
      <c r="BG1041" s="43"/>
      <c r="BH1041" s="43"/>
      <c r="BI1041" s="43"/>
      <c r="BJ1041" s="43"/>
      <c r="BK1041" s="43"/>
      <c r="BL1041" s="43"/>
      <c r="BM1041" s="43"/>
      <c r="BN1041" s="56">
        <f t="shared" si="28"/>
        <v>5.7</v>
      </c>
      <c r="BO1041" s="428">
        <f>IF(BN1041="No reported value",INDEX('WB HCW &amp; Beds'!$BU$831:$BU$835,MATCH($BP1041,'WB HCW &amp; Beds'!$BS$831:$BS$835,0)),$BN1041)</f>
        <v>5.7</v>
      </c>
      <c r="BP1041" s="132" t="str">
        <f>INDEX('HCW + Staff Summary'!$E$7:$E$270,MATCH($B1041,'HCW + Staff Summary'!$B$7:$B$270,0))</f>
        <v>Upper middle income</v>
      </c>
      <c r="BQ1041" s="429">
        <f>INDEX('WB HCW &amp; Beds'!$BU$838:$BU$842,MATCH($BP1041,'WB HCW &amp; Beds'!$BS$838:$BS$842,0))*100</f>
        <v>3.32</v>
      </c>
    </row>
    <row r="1042" spans="2:69" x14ac:dyDescent="0.75">
      <c r="B1042" s="43" t="s">
        <v>540</v>
      </c>
      <c r="C1042" s="43" t="s">
        <v>541</v>
      </c>
      <c r="D1042" s="43" t="s">
        <v>632</v>
      </c>
      <c r="E1042" s="43" t="s">
        <v>633</v>
      </c>
      <c r="F1042" s="43">
        <v>1.3981141694174462</v>
      </c>
      <c r="G1042" s="43"/>
      <c r="H1042" s="43"/>
      <c r="I1042" s="43"/>
      <c r="J1042" s="43"/>
      <c r="K1042" s="43"/>
      <c r="L1042" s="43"/>
      <c r="M1042" s="43"/>
      <c r="N1042" s="43"/>
      <c r="O1042" s="43"/>
      <c r="P1042" s="43">
        <v>1.3575028036866947</v>
      </c>
      <c r="Q1042" s="43"/>
      <c r="R1042" s="43"/>
      <c r="S1042" s="43"/>
      <c r="T1042" s="43"/>
      <c r="U1042" s="43">
        <v>1.2777320631294817</v>
      </c>
      <c r="V1042" s="43"/>
      <c r="W1042" s="43"/>
      <c r="X1042" s="43"/>
      <c r="Y1042" s="43"/>
      <c r="Z1042" s="43"/>
      <c r="AA1042" s="43"/>
      <c r="AB1042" s="43"/>
      <c r="AC1042" s="43"/>
      <c r="AD1042" s="43"/>
      <c r="AE1042" s="43"/>
      <c r="AF1042" s="43"/>
      <c r="AG1042" s="43"/>
      <c r="AH1042" s="43"/>
      <c r="AI1042" s="43"/>
      <c r="AJ1042" s="43">
        <v>1.2125754223136325</v>
      </c>
      <c r="AK1042" s="43"/>
      <c r="AL1042" s="43"/>
      <c r="AM1042" s="43"/>
      <c r="AN1042" s="43"/>
      <c r="AO1042" s="43"/>
      <c r="AP1042" s="43"/>
      <c r="AQ1042" s="43"/>
      <c r="AR1042" s="43"/>
      <c r="AS1042" s="43"/>
      <c r="AT1042" s="43"/>
      <c r="AU1042" s="43"/>
      <c r="AV1042" s="43"/>
      <c r="AW1042" s="43"/>
      <c r="AX1042" s="43"/>
      <c r="AY1042" s="43"/>
      <c r="AZ1042" s="43"/>
      <c r="BA1042" s="43"/>
      <c r="BB1042" s="43"/>
      <c r="BC1042" s="43"/>
      <c r="BD1042" s="43"/>
      <c r="BE1042" s="43"/>
      <c r="BF1042" s="43"/>
      <c r="BG1042" s="43"/>
      <c r="BH1042" s="43"/>
      <c r="BI1042" s="43"/>
      <c r="BJ1042" s="43"/>
      <c r="BK1042" s="43"/>
      <c r="BL1042" s="43"/>
      <c r="BM1042" s="43"/>
      <c r="BN1042" s="56">
        <f t="shared" si="28"/>
        <v>1.2125754223136325</v>
      </c>
      <c r="BO1042" s="428">
        <f>IF(BN1042="No reported value",INDEX('WB HCW &amp; Beds'!$BU$831:$BU$835,MATCH($BP1042,'WB HCW &amp; Beds'!$BS$831:$BS$835,0)),$BN1042)</f>
        <v>1.2125754223136325</v>
      </c>
      <c r="BP1042" s="132" t="str">
        <f>INDEX('HCW + Staff Summary'!$E$7:$E$270,MATCH($B1042,'HCW + Staff Summary'!$B$7:$B$270,0))</f>
        <v>OUT</v>
      </c>
      <c r="BQ1042" s="429">
        <f>INDEX('WB HCW &amp; Beds'!$BU$838:$BU$842,MATCH($BP1042,'WB HCW &amp; Beds'!$BS$838:$BS$842,0))*100</f>
        <v>2.7250000000000001</v>
      </c>
    </row>
    <row r="1043" spans="2:69" x14ac:dyDescent="0.75">
      <c r="B1043" s="43" t="s">
        <v>528</v>
      </c>
      <c r="C1043" s="43" t="s">
        <v>529</v>
      </c>
      <c r="D1043" s="43" t="s">
        <v>632</v>
      </c>
      <c r="E1043" s="43" t="s">
        <v>633</v>
      </c>
      <c r="F1043" s="43"/>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43"/>
      <c r="AE1043" s="43"/>
      <c r="AF1043" s="43"/>
      <c r="AG1043" s="43"/>
      <c r="AH1043" s="43"/>
      <c r="AI1043" s="43"/>
      <c r="AJ1043" s="43"/>
      <c r="AK1043" s="43"/>
      <c r="AL1043" s="43"/>
      <c r="AM1043" s="43"/>
      <c r="AN1043" s="43"/>
      <c r="AO1043" s="43"/>
      <c r="AP1043" s="43"/>
      <c r="AQ1043" s="43"/>
      <c r="AR1043" s="43"/>
      <c r="AS1043" s="43"/>
      <c r="AT1043" s="43"/>
      <c r="AU1043" s="43"/>
      <c r="AV1043" s="43"/>
      <c r="AW1043" s="43"/>
      <c r="AX1043" s="43"/>
      <c r="AY1043" s="43"/>
      <c r="AZ1043" s="43"/>
      <c r="BA1043" s="43"/>
      <c r="BB1043" s="43"/>
      <c r="BC1043" s="43"/>
      <c r="BD1043" s="43"/>
      <c r="BE1043" s="43"/>
      <c r="BF1043" s="43"/>
      <c r="BG1043" s="43"/>
      <c r="BH1043" s="43"/>
      <c r="BI1043" s="43"/>
      <c r="BJ1043" s="43"/>
      <c r="BK1043" s="43"/>
      <c r="BL1043" s="43"/>
      <c r="BM1043" s="43"/>
      <c r="BN1043" s="56" t="str">
        <f t="shared" si="28"/>
        <v>No reported value</v>
      </c>
      <c r="BO1043" s="428">
        <f>IF(BN1043="No reported value",INDEX('WB HCW &amp; Beds'!$BU$831:$BU$835,MATCH($BP1043,'WB HCW &amp; Beds'!$BS$831:$BS$835,0)),$BN1043)</f>
        <v>1.24</v>
      </c>
      <c r="BP1043" s="132" t="str">
        <f>INDEX('HCW + Staff Summary'!$E$7:$E$270,MATCH($B1043,'HCW + Staff Summary'!$B$7:$B$270,0))</f>
        <v>Low income</v>
      </c>
      <c r="BQ1043" s="429">
        <f>INDEX('WB HCW &amp; Beds'!$BU$838:$BU$842,MATCH($BP1043,'WB HCW &amp; Beds'!$BS$838:$BS$842,0))*100</f>
        <v>1.63</v>
      </c>
    </row>
    <row r="1044" spans="2:69" x14ac:dyDescent="0.75">
      <c r="B1044" s="43" t="s">
        <v>538</v>
      </c>
      <c r="C1044" s="43" t="s">
        <v>539</v>
      </c>
      <c r="D1044" s="43" t="s">
        <v>632</v>
      </c>
      <c r="E1044" s="43" t="s">
        <v>633</v>
      </c>
      <c r="F1044" s="43">
        <v>1.3992890315360274</v>
      </c>
      <c r="G1044" s="43"/>
      <c r="H1044" s="43"/>
      <c r="I1044" s="43"/>
      <c r="J1044" s="43"/>
      <c r="K1044" s="43"/>
      <c r="L1044" s="43"/>
      <c r="M1044" s="43"/>
      <c r="N1044" s="43"/>
      <c r="O1044" s="43"/>
      <c r="P1044" s="43">
        <v>1.3586140938132971</v>
      </c>
      <c r="Q1044" s="43"/>
      <c r="R1044" s="43"/>
      <c r="S1044" s="43"/>
      <c r="T1044" s="43"/>
      <c r="U1044" s="43">
        <v>1.2786763405983781</v>
      </c>
      <c r="V1044" s="43"/>
      <c r="W1044" s="43"/>
      <c r="X1044" s="43"/>
      <c r="Y1044" s="43"/>
      <c r="Z1044" s="43"/>
      <c r="AA1044" s="43"/>
      <c r="AB1044" s="43"/>
      <c r="AC1044" s="43"/>
      <c r="AD1044" s="43"/>
      <c r="AE1044" s="43"/>
      <c r="AF1044" s="43"/>
      <c r="AG1044" s="43"/>
      <c r="AH1044" s="43"/>
      <c r="AI1044" s="43"/>
      <c r="AJ1044" s="43">
        <v>1.2125754223136325</v>
      </c>
      <c r="AK1044" s="43"/>
      <c r="AL1044" s="43"/>
      <c r="AM1044" s="43"/>
      <c r="AN1044" s="43"/>
      <c r="AO1044" s="43"/>
      <c r="AP1044" s="43"/>
      <c r="AQ1044" s="43"/>
      <c r="AR1044" s="43"/>
      <c r="AS1044" s="43"/>
      <c r="AT1044" s="43"/>
      <c r="AU1044" s="43"/>
      <c r="AV1044" s="43"/>
      <c r="AW1044" s="43"/>
      <c r="AX1044" s="43"/>
      <c r="AY1044" s="43"/>
      <c r="AZ1044" s="43"/>
      <c r="BA1044" s="43"/>
      <c r="BB1044" s="43"/>
      <c r="BC1044" s="43"/>
      <c r="BD1044" s="43"/>
      <c r="BE1044" s="43"/>
      <c r="BF1044" s="43"/>
      <c r="BG1044" s="43"/>
      <c r="BH1044" s="43"/>
      <c r="BI1044" s="43"/>
      <c r="BJ1044" s="43"/>
      <c r="BK1044" s="43"/>
      <c r="BL1044" s="43"/>
      <c r="BM1044" s="43"/>
      <c r="BN1044" s="56">
        <f t="shared" si="28"/>
        <v>1.2125754223136325</v>
      </c>
      <c r="BO1044" s="428">
        <f>IF(BN1044="No reported value",INDEX('WB HCW &amp; Beds'!$BU$831:$BU$835,MATCH($BP1044,'WB HCW &amp; Beds'!$BS$831:$BS$835,0)),$BN1044)</f>
        <v>1.2125754223136325</v>
      </c>
      <c r="BP1044" s="132" t="str">
        <f>INDEX('HCW + Staff Summary'!$E$7:$E$270,MATCH($B1044,'HCW + Staff Summary'!$B$7:$B$270,0))</f>
        <v>OUT</v>
      </c>
      <c r="BQ1044" s="429">
        <f>INDEX('WB HCW &amp; Beds'!$BU$838:$BU$842,MATCH($BP1044,'WB HCW &amp; Beds'!$BS$838:$BS$842,0))*100</f>
        <v>2.7250000000000001</v>
      </c>
    </row>
    <row r="1045" spans="2:69" x14ac:dyDescent="0.75">
      <c r="B1045" s="43" t="s">
        <v>522</v>
      </c>
      <c r="C1045" s="43" t="s">
        <v>523</v>
      </c>
      <c r="D1045" s="43" t="s">
        <v>632</v>
      </c>
      <c r="E1045" s="43" t="s">
        <v>633</v>
      </c>
      <c r="F1045" s="43">
        <v>4.5751541174817412</v>
      </c>
      <c r="G1045" s="43"/>
      <c r="H1045" s="43"/>
      <c r="I1045" s="43"/>
      <c r="J1045" s="43"/>
      <c r="K1045" s="43"/>
      <c r="L1045" s="43"/>
      <c r="M1045" s="43"/>
      <c r="N1045" s="43"/>
      <c r="O1045" s="43"/>
      <c r="P1045" s="43"/>
      <c r="Q1045" s="43"/>
      <c r="R1045" s="43"/>
      <c r="S1045" s="43"/>
      <c r="T1045" s="43"/>
      <c r="U1045" s="43"/>
      <c r="V1045" s="43"/>
      <c r="W1045" s="43"/>
      <c r="X1045" s="43"/>
      <c r="Y1045" s="43"/>
      <c r="Z1045" s="43"/>
      <c r="AA1045" s="43"/>
      <c r="AB1045" s="43"/>
      <c r="AC1045" s="43"/>
      <c r="AD1045" s="43"/>
      <c r="AE1045" s="43"/>
      <c r="AF1045" s="43"/>
      <c r="AG1045" s="43"/>
      <c r="AH1045" s="43"/>
      <c r="AI1045" s="43"/>
      <c r="AJ1045" s="43"/>
      <c r="AK1045" s="43"/>
      <c r="AL1045" s="43"/>
      <c r="AM1045" s="43"/>
      <c r="AN1045" s="43"/>
      <c r="AO1045" s="43"/>
      <c r="AP1045" s="43"/>
      <c r="AQ1045" s="43"/>
      <c r="AR1045" s="43"/>
      <c r="AS1045" s="43"/>
      <c r="AT1045" s="43"/>
      <c r="AU1045" s="43"/>
      <c r="AV1045" s="43"/>
      <c r="AW1045" s="43"/>
      <c r="AX1045" s="43"/>
      <c r="AY1045" s="43"/>
      <c r="AZ1045" s="43"/>
      <c r="BA1045" s="43"/>
      <c r="BB1045" s="43"/>
      <c r="BC1045" s="43"/>
      <c r="BD1045" s="43"/>
      <c r="BE1045" s="43"/>
      <c r="BF1045" s="43"/>
      <c r="BG1045" s="43"/>
      <c r="BH1045" s="43"/>
      <c r="BI1045" s="43"/>
      <c r="BJ1045" s="43"/>
      <c r="BK1045" s="43"/>
      <c r="BL1045" s="43"/>
      <c r="BM1045" s="43"/>
      <c r="BN1045" s="56">
        <f t="shared" si="28"/>
        <v>4.5751541174817412</v>
      </c>
      <c r="BO1045" s="428">
        <f>IF(BN1045="No reported value",INDEX('WB HCW &amp; Beds'!$BU$831:$BU$835,MATCH($BP1045,'WB HCW &amp; Beds'!$BS$831:$BS$835,0)),$BN1045)</f>
        <v>4.5751541174817412</v>
      </c>
      <c r="BP1045" s="132" t="str">
        <f>INDEX('HCW + Staff Summary'!$E$7:$E$270,MATCH($B1045,'HCW + Staff Summary'!$B$7:$B$270,0))</f>
        <v>OUT</v>
      </c>
      <c r="BQ1045" s="429">
        <f>INDEX('WB HCW &amp; Beds'!$BU$838:$BU$842,MATCH($BP1045,'WB HCW &amp; Beds'!$BS$838:$BS$842,0))*100</f>
        <v>2.7250000000000001</v>
      </c>
    </row>
    <row r="1046" spans="2:69" x14ac:dyDescent="0.75">
      <c r="B1046" s="43" t="s">
        <v>211</v>
      </c>
      <c r="C1046" s="43" t="s">
        <v>175</v>
      </c>
      <c r="D1046" s="43" t="s">
        <v>632</v>
      </c>
      <c r="E1046" s="43" t="s">
        <v>633</v>
      </c>
      <c r="F1046" s="43">
        <v>40.315456390380902</v>
      </c>
      <c r="G1046" s="43"/>
      <c r="H1046" s="43"/>
      <c r="I1046" s="43"/>
      <c r="J1046" s="43"/>
      <c r="K1046" s="43"/>
      <c r="L1046" s="43"/>
      <c r="M1046" s="43"/>
      <c r="N1046" s="43"/>
      <c r="O1046" s="43"/>
      <c r="P1046" s="43">
        <v>26.7122993469238</v>
      </c>
      <c r="Q1046" s="43"/>
      <c r="R1046" s="43"/>
      <c r="S1046" s="43"/>
      <c r="T1046" s="43"/>
      <c r="U1046" s="43"/>
      <c r="V1046" s="43"/>
      <c r="W1046" s="43"/>
      <c r="X1046" s="43"/>
      <c r="Y1046" s="43"/>
      <c r="Z1046" s="43"/>
      <c r="AA1046" s="43"/>
      <c r="AB1046" s="43"/>
      <c r="AC1046" s="43"/>
      <c r="AD1046" s="43"/>
      <c r="AE1046" s="43"/>
      <c r="AF1046" s="43"/>
      <c r="AG1046" s="43"/>
      <c r="AH1046" s="43"/>
      <c r="AI1046" s="43"/>
      <c r="AJ1046" s="43"/>
      <c r="AK1046" s="43">
        <v>4.7372999190999998</v>
      </c>
      <c r="AL1046" s="43"/>
      <c r="AM1046" s="43"/>
      <c r="AN1046" s="43"/>
      <c r="AO1046" s="43"/>
      <c r="AP1046" s="43"/>
      <c r="AQ1046" s="43"/>
      <c r="AR1046" s="43"/>
      <c r="AS1046" s="43"/>
      <c r="AT1046" s="43"/>
      <c r="AU1046" s="43"/>
      <c r="AV1046" s="43"/>
      <c r="AW1046" s="43">
        <v>3.2</v>
      </c>
      <c r="AX1046" s="43"/>
      <c r="AY1046" s="43"/>
      <c r="AZ1046" s="43">
        <v>3.2</v>
      </c>
      <c r="BA1046" s="43"/>
      <c r="BB1046" s="43"/>
      <c r="BC1046" s="43"/>
      <c r="BD1046" s="43"/>
      <c r="BE1046" s="43">
        <v>2.9</v>
      </c>
      <c r="BF1046" s="43"/>
      <c r="BG1046" s="43"/>
      <c r="BH1046" s="43"/>
      <c r="BI1046" s="43"/>
      <c r="BJ1046" s="43"/>
      <c r="BK1046" s="43"/>
      <c r="BL1046" s="43"/>
      <c r="BM1046" s="43"/>
      <c r="BN1046" s="56">
        <f t="shared" si="28"/>
        <v>2.9</v>
      </c>
      <c r="BO1046" s="428">
        <f>IF(BN1046="No reported value",INDEX('WB HCW &amp; Beds'!$BU$831:$BU$835,MATCH($BP1046,'WB HCW &amp; Beds'!$BS$831:$BS$835,0)),$BN1046)</f>
        <v>2.9</v>
      </c>
      <c r="BP1046" s="132" t="str">
        <f>INDEX('HCW + Staff Summary'!$E$7:$E$270,MATCH($B1046,'HCW + Staff Summary'!$B$7:$B$270,0))</f>
        <v>Lower middle income</v>
      </c>
      <c r="BQ1046" s="429">
        <f>INDEX('WB HCW &amp; Beds'!$BU$838:$BU$842,MATCH($BP1046,'WB HCW &amp; Beds'!$BS$838:$BS$842,0))*100</f>
        <v>2.3800000000000003</v>
      </c>
    </row>
    <row r="1047" spans="2:69" x14ac:dyDescent="0.75">
      <c r="B1047" s="43" t="s">
        <v>229</v>
      </c>
      <c r="C1047" s="43" t="s">
        <v>170</v>
      </c>
      <c r="D1047" s="43" t="s">
        <v>632</v>
      </c>
      <c r="E1047" s="43" t="s">
        <v>633</v>
      </c>
      <c r="F1047" s="43">
        <v>6.5103449821472203</v>
      </c>
      <c r="G1047" s="43"/>
      <c r="H1047" s="43"/>
      <c r="I1047" s="43"/>
      <c r="J1047" s="43"/>
      <c r="K1047" s="43"/>
      <c r="L1047" s="43"/>
      <c r="M1047" s="43"/>
      <c r="N1047" s="43"/>
      <c r="O1047" s="43"/>
      <c r="P1047" s="43">
        <v>5.6774001121520996</v>
      </c>
      <c r="Q1047" s="43"/>
      <c r="R1047" s="43"/>
      <c r="S1047" s="43"/>
      <c r="T1047" s="43"/>
      <c r="U1047" s="43"/>
      <c r="V1047" s="43"/>
      <c r="W1047" s="43"/>
      <c r="X1047" s="43"/>
      <c r="Y1047" s="43"/>
      <c r="Z1047" s="43">
        <v>8.9267997741699201</v>
      </c>
      <c r="AA1047" s="43"/>
      <c r="AB1047" s="43"/>
      <c r="AC1047" s="43"/>
      <c r="AD1047" s="43"/>
      <c r="AE1047" s="43"/>
      <c r="AF1047" s="43"/>
      <c r="AG1047" s="43"/>
      <c r="AH1047" s="43"/>
      <c r="AI1047" s="43"/>
      <c r="AJ1047" s="43">
        <v>5.6999998093000004</v>
      </c>
      <c r="AK1047" s="43"/>
      <c r="AL1047" s="43"/>
      <c r="AM1047" s="43"/>
      <c r="AN1047" s="43"/>
      <c r="AO1047" s="43">
        <v>3.1</v>
      </c>
      <c r="AP1047" s="43">
        <v>3.7400000095000001</v>
      </c>
      <c r="AQ1047" s="43"/>
      <c r="AR1047" s="43"/>
      <c r="AS1047" s="43"/>
      <c r="AT1047" s="43">
        <v>3.9</v>
      </c>
      <c r="AU1047" s="43">
        <v>3.5999999046000002</v>
      </c>
      <c r="AV1047" s="43"/>
      <c r="AW1047" s="43"/>
      <c r="AX1047" s="43">
        <v>3.1</v>
      </c>
      <c r="AY1047" s="43"/>
      <c r="AZ1047" s="43">
        <v>3.3</v>
      </c>
      <c r="BA1047" s="43">
        <v>3.1</v>
      </c>
      <c r="BB1047" s="43"/>
      <c r="BC1047" s="43">
        <v>2.6</v>
      </c>
      <c r="BD1047" s="43">
        <v>3.1</v>
      </c>
      <c r="BE1047" s="43"/>
      <c r="BF1047" s="43"/>
      <c r="BG1047" s="43"/>
      <c r="BH1047" s="43"/>
      <c r="BI1047" s="43"/>
      <c r="BJ1047" s="43"/>
      <c r="BK1047" s="43"/>
      <c r="BL1047" s="43"/>
      <c r="BM1047" s="43"/>
      <c r="BN1047" s="56">
        <f t="shared" si="28"/>
        <v>3.1</v>
      </c>
      <c r="BO1047" s="428">
        <f>IF(BN1047="No reported value",INDEX('WB HCW &amp; Beds'!$BU$831:$BU$835,MATCH($BP1047,'WB HCW &amp; Beds'!$BS$831:$BS$835,0)),$BN1047)</f>
        <v>3.1</v>
      </c>
      <c r="BP1047" s="132" t="str">
        <f>INDEX('HCW + Staff Summary'!$E$7:$E$270,MATCH($B1047,'HCW + Staff Summary'!$B$7:$B$270,0))</f>
        <v>Upper middle income</v>
      </c>
      <c r="BQ1047" s="429">
        <f>INDEX('WB HCW &amp; Beds'!$BU$838:$BU$842,MATCH($BP1047,'WB HCW &amp; Beds'!$BS$838:$BS$842,0))*100</f>
        <v>3.32</v>
      </c>
    </row>
    <row r="1048" spans="2:69" x14ac:dyDescent="0.75">
      <c r="B1048" s="43" t="s">
        <v>519</v>
      </c>
      <c r="C1048" s="43" t="s">
        <v>520</v>
      </c>
      <c r="D1048" s="43" t="s">
        <v>632</v>
      </c>
      <c r="E1048" s="43" t="s">
        <v>633</v>
      </c>
      <c r="F1048" s="43"/>
      <c r="G1048" s="43"/>
      <c r="H1048" s="43"/>
      <c r="I1048" s="43"/>
      <c r="J1048" s="43"/>
      <c r="K1048" s="43"/>
      <c r="L1048" s="43"/>
      <c r="M1048" s="43"/>
      <c r="N1048" s="43"/>
      <c r="O1048" s="43"/>
      <c r="P1048" s="43"/>
      <c r="Q1048" s="43"/>
      <c r="R1048" s="43"/>
      <c r="S1048" s="43"/>
      <c r="T1048" s="43"/>
      <c r="U1048" s="43"/>
      <c r="V1048" s="43"/>
      <c r="W1048" s="43"/>
      <c r="X1048" s="43"/>
      <c r="Y1048" s="43"/>
      <c r="Z1048" s="43"/>
      <c r="AA1048" s="43"/>
      <c r="AB1048" s="43"/>
      <c r="AC1048" s="43"/>
      <c r="AD1048" s="43"/>
      <c r="AE1048" s="43">
        <v>8.9547100000000004</v>
      </c>
      <c r="AF1048" s="43">
        <v>8.9422200000000007</v>
      </c>
      <c r="AG1048" s="43">
        <v>8.9505099999999995</v>
      </c>
      <c r="AH1048" s="43">
        <v>8.8131599999999999</v>
      </c>
      <c r="AI1048" s="43">
        <v>8.8163099999999996</v>
      </c>
      <c r="AJ1048" s="43">
        <v>7.4482002258</v>
      </c>
      <c r="AK1048" s="43">
        <v>7.5778999329000003</v>
      </c>
      <c r="AL1048" s="43">
        <v>7.5609002112999999</v>
      </c>
      <c r="AM1048" s="43">
        <v>7.8740000725000003</v>
      </c>
      <c r="AN1048" s="43">
        <v>7.0992999076999999</v>
      </c>
      <c r="AO1048" s="43"/>
      <c r="AP1048" s="43">
        <v>8.3000001907000005</v>
      </c>
      <c r="AQ1048" s="43">
        <v>8.1000003814999992</v>
      </c>
      <c r="AR1048" s="43">
        <v>8</v>
      </c>
      <c r="AS1048" s="43">
        <v>8</v>
      </c>
      <c r="AT1048" s="43">
        <v>7.8</v>
      </c>
      <c r="AU1048" s="43">
        <v>7.7</v>
      </c>
      <c r="AV1048" s="43">
        <v>7.6</v>
      </c>
      <c r="AW1048" s="43">
        <v>7.2</v>
      </c>
      <c r="AX1048" s="43">
        <v>6.9</v>
      </c>
      <c r="AY1048" s="43">
        <v>6.8</v>
      </c>
      <c r="AZ1048" s="43">
        <v>6.7</v>
      </c>
      <c r="BA1048" s="43">
        <v>6.8</v>
      </c>
      <c r="BB1048" s="43">
        <v>6.6</v>
      </c>
      <c r="BC1048" s="43">
        <v>6.5</v>
      </c>
      <c r="BD1048" s="43">
        <v>6.4</v>
      </c>
      <c r="BE1048" s="43">
        <v>6.1</v>
      </c>
      <c r="BF1048" s="43">
        <v>5.9</v>
      </c>
      <c r="BG1048" s="43">
        <v>5.8</v>
      </c>
      <c r="BH1048" s="43"/>
      <c r="BI1048" s="43">
        <v>5.8</v>
      </c>
      <c r="BJ1048" s="43"/>
      <c r="BK1048" s="43"/>
      <c r="BL1048" s="43"/>
      <c r="BM1048" s="43"/>
      <c r="BN1048" s="56">
        <f t="shared" si="28"/>
        <v>5.8</v>
      </c>
      <c r="BO1048" s="428">
        <f>IF(BN1048="No reported value",INDEX('WB HCW &amp; Beds'!$BU$831:$BU$835,MATCH($BP1048,'WB HCW &amp; Beds'!$BS$831:$BS$835,0)),$BN1048)</f>
        <v>5.8</v>
      </c>
      <c r="BP1048" s="132" t="str">
        <f>INDEX('HCW + Staff Summary'!$E$7:$E$270,MATCH($B1048,'HCW + Staff Summary'!$B$7:$B$270,0))</f>
        <v>High income</v>
      </c>
      <c r="BQ1048" s="429">
        <f>INDEX('WB HCW &amp; Beds'!$BU$838:$BU$842,MATCH($BP1048,'WB HCW &amp; Beds'!$BS$838:$BS$842,0))*100</f>
        <v>3.5700000000000003</v>
      </c>
    </row>
    <row r="1049" spans="2:69" x14ac:dyDescent="0.75">
      <c r="B1049" s="43" t="s">
        <v>521</v>
      </c>
      <c r="C1049" s="43" t="s">
        <v>132</v>
      </c>
      <c r="D1049" s="43" t="s">
        <v>632</v>
      </c>
      <c r="E1049" s="43" t="s">
        <v>633</v>
      </c>
      <c r="F1049" s="43"/>
      <c r="G1049" s="43"/>
      <c r="H1049" s="43"/>
      <c r="I1049" s="43"/>
      <c r="J1049" s="43"/>
      <c r="K1049" s="43"/>
      <c r="L1049" s="43"/>
      <c r="M1049" s="43"/>
      <c r="N1049" s="43"/>
      <c r="O1049" s="43"/>
      <c r="P1049" s="43"/>
      <c r="Q1049" s="43"/>
      <c r="R1049" s="43"/>
      <c r="S1049" s="43"/>
      <c r="T1049" s="43"/>
      <c r="U1049" s="43"/>
      <c r="V1049" s="43"/>
      <c r="W1049" s="43"/>
      <c r="X1049" s="43"/>
      <c r="Y1049" s="43"/>
      <c r="Z1049" s="43">
        <v>6.9526000022888201</v>
      </c>
      <c r="AA1049" s="43"/>
      <c r="AB1049" s="43">
        <v>6.6795001029968297</v>
      </c>
      <c r="AC1049" s="43"/>
      <c r="AD1049" s="43">
        <v>6.5009999275207502</v>
      </c>
      <c r="AE1049" s="43">
        <v>6.3260998725891104</v>
      </c>
      <c r="AF1049" s="43">
        <v>6.2678999900817898</v>
      </c>
      <c r="AG1049" s="43">
        <v>6.2153000831604004</v>
      </c>
      <c r="AH1049" s="43">
        <v>6.13800001144409</v>
      </c>
      <c r="AI1049" s="43">
        <v>6.0633997917175302</v>
      </c>
      <c r="AJ1049" s="43">
        <v>6.0408000945999998</v>
      </c>
      <c r="AK1049" s="43">
        <v>6.0113000870000004</v>
      </c>
      <c r="AL1049" s="43">
        <v>5.9369997978000004</v>
      </c>
      <c r="AM1049" s="43">
        <v>5.8007001877000004</v>
      </c>
      <c r="AN1049" s="43">
        <v>5.7768998146000001</v>
      </c>
      <c r="AO1049" s="43">
        <v>5.75</v>
      </c>
      <c r="AP1049" s="43">
        <v>5.6599998474</v>
      </c>
      <c r="AQ1049" s="43">
        <v>5.6700000763</v>
      </c>
      <c r="AR1049" s="43">
        <v>5.6199998856000004</v>
      </c>
      <c r="AS1049" s="43">
        <v>5.5500001906999996</v>
      </c>
      <c r="AT1049" s="43">
        <v>5.4</v>
      </c>
      <c r="AU1049" s="43">
        <v>5.2</v>
      </c>
      <c r="AV1049" s="43">
        <v>5.0999999999999996</v>
      </c>
      <c r="AW1049" s="43">
        <v>5</v>
      </c>
      <c r="AX1049" s="43">
        <v>4.8</v>
      </c>
      <c r="AY1049" s="43">
        <v>4.8</v>
      </c>
      <c r="AZ1049" s="43">
        <v>4.8</v>
      </c>
      <c r="BA1049" s="43">
        <v>4.7</v>
      </c>
      <c r="BB1049" s="43">
        <v>4.7</v>
      </c>
      <c r="BC1049" s="43">
        <v>4.5999999999999996</v>
      </c>
      <c r="BD1049" s="43">
        <v>4.5999999999999996</v>
      </c>
      <c r="BE1049" s="43">
        <v>4.5999999999999996</v>
      </c>
      <c r="BF1049" s="43">
        <v>4.5</v>
      </c>
      <c r="BG1049" s="43">
        <v>4.5999999999999996</v>
      </c>
      <c r="BH1049" s="43"/>
      <c r="BI1049" s="43"/>
      <c r="BJ1049" s="43"/>
      <c r="BK1049" s="43"/>
      <c r="BL1049" s="43"/>
      <c r="BM1049" s="43"/>
      <c r="BN1049" s="56">
        <f t="shared" si="28"/>
        <v>4.5999999999999996</v>
      </c>
      <c r="BO1049" s="428">
        <f>IF(BN1049="No reported value",INDEX('WB HCW &amp; Beds'!$BU$831:$BU$835,MATCH($BP1049,'WB HCW &amp; Beds'!$BS$831:$BS$835,0)),$BN1049)</f>
        <v>4.5999999999999996</v>
      </c>
      <c r="BP1049" s="132" t="str">
        <f>INDEX('HCW + Staff Summary'!$E$7:$E$270,MATCH($B1049,'HCW + Staff Summary'!$B$7:$B$270,0))</f>
        <v>High income</v>
      </c>
      <c r="BQ1049" s="429">
        <f>INDEX('WB HCW &amp; Beds'!$BU$838:$BU$842,MATCH($BP1049,'WB HCW &amp; Beds'!$BS$838:$BS$842,0))*100</f>
        <v>3.5700000000000003</v>
      </c>
    </row>
    <row r="1050" spans="2:69" x14ac:dyDescent="0.75">
      <c r="B1050" s="43" t="s">
        <v>544</v>
      </c>
      <c r="C1050" s="43" t="s">
        <v>133</v>
      </c>
      <c r="D1050" s="43" t="s">
        <v>632</v>
      </c>
      <c r="E1050" s="43" t="s">
        <v>633</v>
      </c>
      <c r="F1050" s="43">
        <v>14.199999809265099</v>
      </c>
      <c r="G1050" s="43"/>
      <c r="H1050" s="43"/>
      <c r="I1050" s="43"/>
      <c r="J1050" s="43"/>
      <c r="K1050" s="43"/>
      <c r="L1050" s="43"/>
      <c r="M1050" s="43"/>
      <c r="N1050" s="43"/>
      <c r="O1050" s="43"/>
      <c r="P1050" s="43">
        <v>15.300000190734901</v>
      </c>
      <c r="Q1050" s="43"/>
      <c r="R1050" s="43"/>
      <c r="S1050" s="43"/>
      <c r="T1050" s="43"/>
      <c r="U1050" s="43"/>
      <c r="V1050" s="43"/>
      <c r="W1050" s="43"/>
      <c r="X1050" s="43"/>
      <c r="Y1050" s="43"/>
      <c r="Z1050" s="43">
        <v>15.1000003814697</v>
      </c>
      <c r="AA1050" s="43"/>
      <c r="AB1050" s="43"/>
      <c r="AC1050" s="43"/>
      <c r="AD1050" s="43"/>
      <c r="AE1050" s="43">
        <v>14.6000003814697</v>
      </c>
      <c r="AF1050" s="43"/>
      <c r="AG1050" s="43"/>
      <c r="AH1050" s="43"/>
      <c r="AI1050" s="43"/>
      <c r="AJ1050" s="43">
        <v>12.399999618500001</v>
      </c>
      <c r="AK1050" s="43">
        <v>11.899999618500001</v>
      </c>
      <c r="AL1050" s="43">
        <v>7.5999999045999997</v>
      </c>
      <c r="AM1050" s="43">
        <v>7</v>
      </c>
      <c r="AN1050" s="43">
        <v>6.5</v>
      </c>
      <c r="AO1050" s="43">
        <v>4.9000000954000003</v>
      </c>
      <c r="AP1050" s="43">
        <v>4.4000000954000003</v>
      </c>
      <c r="AQ1050" s="43">
        <v>5.2</v>
      </c>
      <c r="AR1050" s="43">
        <v>3.7999999522999999</v>
      </c>
      <c r="AS1050" s="43">
        <v>3.7000000477000001</v>
      </c>
      <c r="AT1050" s="43">
        <v>3.6</v>
      </c>
      <c r="AU1050" s="43">
        <v>3.3</v>
      </c>
      <c r="AV1050" s="43">
        <v>3.1</v>
      </c>
      <c r="AW1050" s="43">
        <v>3.1</v>
      </c>
      <c r="AX1050" s="43">
        <v>3</v>
      </c>
      <c r="AY1050" s="43">
        <v>2.9</v>
      </c>
      <c r="AZ1050" s="43">
        <v>2.9</v>
      </c>
      <c r="BA1050" s="43">
        <v>2.9</v>
      </c>
      <c r="BB1050" s="43">
        <v>2.8</v>
      </c>
      <c r="BC1050" s="43">
        <v>2.8</v>
      </c>
      <c r="BD1050" s="43">
        <v>2.7</v>
      </c>
      <c r="BE1050" s="43">
        <v>2.7</v>
      </c>
      <c r="BF1050" s="43">
        <v>2.6</v>
      </c>
      <c r="BG1050" s="43">
        <v>2.6</v>
      </c>
      <c r="BH1050" s="43"/>
      <c r="BI1050" s="43"/>
      <c r="BJ1050" s="43"/>
      <c r="BK1050" s="43"/>
      <c r="BL1050" s="43"/>
      <c r="BM1050" s="43"/>
      <c r="BN1050" s="56">
        <f t="shared" si="28"/>
        <v>2.6</v>
      </c>
      <c r="BO1050" s="428">
        <f>IF(BN1050="No reported value",INDEX('WB HCW &amp; Beds'!$BU$831:$BU$835,MATCH($BP1050,'WB HCW &amp; Beds'!$BS$831:$BS$835,0)),$BN1050)</f>
        <v>2.6</v>
      </c>
      <c r="BP1050" s="132" t="str">
        <f>INDEX('HCW + Staff Summary'!$E$7:$E$270,MATCH($B1050,'HCW + Staff Summary'!$B$7:$B$270,0))</f>
        <v>High income</v>
      </c>
      <c r="BQ1050" s="429">
        <f>INDEX('WB HCW &amp; Beds'!$BU$838:$BU$842,MATCH($BP1050,'WB HCW &amp; Beds'!$BS$838:$BS$842,0))*100</f>
        <v>3.5700000000000003</v>
      </c>
    </row>
    <row r="1051" spans="2:69" x14ac:dyDescent="0.75">
      <c r="B1051" s="43" t="s">
        <v>380</v>
      </c>
      <c r="C1051" s="43" t="s">
        <v>134</v>
      </c>
      <c r="D1051" s="43" t="s">
        <v>632</v>
      </c>
      <c r="E1051" s="43" t="s">
        <v>633</v>
      </c>
      <c r="F1051" s="43">
        <v>1.94478523731232</v>
      </c>
      <c r="G1051" s="43"/>
      <c r="H1051" s="43"/>
      <c r="I1051" s="43"/>
      <c r="J1051" s="43"/>
      <c r="K1051" s="43"/>
      <c r="L1051" s="43"/>
      <c r="M1051" s="43"/>
      <c r="N1051" s="43"/>
      <c r="O1051" s="43"/>
      <c r="P1051" s="43">
        <v>3.3747000694274898</v>
      </c>
      <c r="Q1051" s="43"/>
      <c r="R1051" s="43"/>
      <c r="S1051" s="43"/>
      <c r="T1051" s="43"/>
      <c r="U1051" s="43"/>
      <c r="V1051" s="43"/>
      <c r="W1051" s="43"/>
      <c r="X1051" s="43"/>
      <c r="Y1051" s="43"/>
      <c r="Z1051" s="43"/>
      <c r="AA1051" s="43"/>
      <c r="AB1051" s="43"/>
      <c r="AC1051" s="43"/>
      <c r="AD1051" s="43"/>
      <c r="AE1051" s="43"/>
      <c r="AF1051" s="43"/>
      <c r="AG1051" s="43"/>
      <c r="AH1051" s="43"/>
      <c r="AI1051" s="43"/>
      <c r="AJ1051" s="43"/>
      <c r="AK1051" s="43"/>
      <c r="AL1051" s="43"/>
      <c r="AM1051" s="43"/>
      <c r="AN1051" s="43"/>
      <c r="AO1051" s="43"/>
      <c r="AP1051" s="43"/>
      <c r="AQ1051" s="43"/>
      <c r="AR1051" s="43"/>
      <c r="AS1051" s="43"/>
      <c r="AT1051" s="43"/>
      <c r="AU1051" s="43"/>
      <c r="AV1051" s="43"/>
      <c r="AW1051" s="43"/>
      <c r="AX1051" s="43"/>
      <c r="AY1051" s="43"/>
      <c r="AZ1051" s="43">
        <v>2.1</v>
      </c>
      <c r="BA1051" s="43"/>
      <c r="BB1051" s="43"/>
      <c r="BC1051" s="43"/>
      <c r="BD1051" s="43"/>
      <c r="BE1051" s="43">
        <v>2.1</v>
      </c>
      <c r="BF1051" s="43"/>
      <c r="BG1051" s="43"/>
      <c r="BH1051" s="43"/>
      <c r="BI1051" s="43"/>
      <c r="BJ1051" s="43"/>
      <c r="BK1051" s="43"/>
      <c r="BL1051" s="43"/>
      <c r="BM1051" s="43"/>
      <c r="BN1051" s="56">
        <f t="shared" si="28"/>
        <v>2.1</v>
      </c>
      <c r="BO1051" s="428">
        <f>IF(BN1051="No reported value",INDEX('WB HCW &amp; Beds'!$BU$831:$BU$835,MATCH($BP1051,'WB HCW &amp; Beds'!$BS$831:$BS$835,0)),$BN1051)</f>
        <v>2.1</v>
      </c>
      <c r="BP1051" s="132" t="str">
        <f>INDEX('HCW + Staff Summary'!$E$7:$E$270,MATCH($B1051,'HCW + Staff Summary'!$B$7:$B$270,0))</f>
        <v>Lower middle income</v>
      </c>
      <c r="BQ1051" s="429">
        <f>INDEX('WB HCW &amp; Beds'!$BU$838:$BU$842,MATCH($BP1051,'WB HCW &amp; Beds'!$BS$838:$BS$842,0))*100</f>
        <v>2.3800000000000003</v>
      </c>
    </row>
    <row r="1052" spans="2:69" x14ac:dyDescent="0.75">
      <c r="B1052" s="43" t="s">
        <v>517</v>
      </c>
      <c r="C1052" s="43" t="s">
        <v>518</v>
      </c>
      <c r="D1052" s="43" t="s">
        <v>632</v>
      </c>
      <c r="E1052" s="43" t="s">
        <v>633</v>
      </c>
      <c r="F1052" s="43"/>
      <c r="G1052" s="43"/>
      <c r="H1052" s="43"/>
      <c r="I1052" s="43"/>
      <c r="J1052" s="43"/>
      <c r="K1052" s="43"/>
      <c r="L1052" s="43"/>
      <c r="M1052" s="43"/>
      <c r="N1052" s="43"/>
      <c r="O1052" s="43"/>
      <c r="P1052" s="43"/>
      <c r="Q1052" s="43"/>
      <c r="R1052" s="43"/>
      <c r="S1052" s="43"/>
      <c r="T1052" s="43"/>
      <c r="U1052" s="43"/>
      <c r="V1052" s="43"/>
      <c r="W1052" s="43"/>
      <c r="X1052" s="43"/>
      <c r="Y1052" s="43"/>
      <c r="Z1052" s="43"/>
      <c r="AA1052" s="43"/>
      <c r="AB1052" s="43"/>
      <c r="AC1052" s="43"/>
      <c r="AD1052" s="43"/>
      <c r="AE1052" s="43"/>
      <c r="AF1052" s="43"/>
      <c r="AG1052" s="43"/>
      <c r="AH1052" s="43"/>
      <c r="AI1052" s="43"/>
      <c r="AJ1052" s="43"/>
      <c r="AK1052" s="43"/>
      <c r="AL1052" s="43"/>
      <c r="AM1052" s="43"/>
      <c r="AN1052" s="43"/>
      <c r="AO1052" s="43"/>
      <c r="AP1052" s="43"/>
      <c r="AQ1052" s="43"/>
      <c r="AR1052" s="43"/>
      <c r="AS1052" s="43"/>
      <c r="AT1052" s="43"/>
      <c r="AU1052" s="43"/>
      <c r="AV1052" s="43"/>
      <c r="AW1052" s="43"/>
      <c r="AX1052" s="43"/>
      <c r="AY1052" s="43"/>
      <c r="AZ1052" s="43"/>
      <c r="BA1052" s="43"/>
      <c r="BB1052" s="43"/>
      <c r="BC1052" s="43"/>
      <c r="BD1052" s="43"/>
      <c r="BE1052" s="43"/>
      <c r="BF1052" s="43"/>
      <c r="BG1052" s="43"/>
      <c r="BH1052" s="43"/>
      <c r="BI1052" s="43"/>
      <c r="BJ1052" s="43"/>
      <c r="BK1052" s="43"/>
      <c r="BL1052" s="43"/>
      <c r="BM1052" s="43"/>
      <c r="BN1052" s="56" t="str">
        <f t="shared" si="28"/>
        <v>No reported value</v>
      </c>
      <c r="BO1052" s="428">
        <f>IF(BN1052="No reported value",INDEX('WB HCW &amp; Beds'!$BU$831:$BU$835,MATCH($BP1052,'WB HCW &amp; Beds'!$BS$831:$BS$835,0)),$BN1052)</f>
        <v>4.82</v>
      </c>
      <c r="BP1052" s="132" t="str">
        <f>INDEX('HCW + Staff Summary'!$E$7:$E$270,MATCH($B1052,'HCW + Staff Summary'!$B$7:$B$270,0))</f>
        <v>High income</v>
      </c>
      <c r="BQ1052" s="429">
        <f>INDEX('WB HCW &amp; Beds'!$BU$838:$BU$842,MATCH($BP1052,'WB HCW &amp; Beds'!$BS$838:$BS$842,0))*100</f>
        <v>3.5700000000000003</v>
      </c>
    </row>
    <row r="1053" spans="2:69" x14ac:dyDescent="0.75">
      <c r="B1053" s="43" t="s">
        <v>213</v>
      </c>
      <c r="C1053" s="43" t="s">
        <v>135</v>
      </c>
      <c r="D1053" s="43" t="s">
        <v>632</v>
      </c>
      <c r="E1053" s="43" t="s">
        <v>633</v>
      </c>
      <c r="F1053" s="43">
        <v>7.0983214378356898</v>
      </c>
      <c r="G1053" s="43"/>
      <c r="H1053" s="43"/>
      <c r="I1053" s="43"/>
      <c r="J1053" s="43"/>
      <c r="K1053" s="43"/>
      <c r="L1053" s="43"/>
      <c r="M1053" s="43"/>
      <c r="N1053" s="43"/>
      <c r="O1053" s="43"/>
      <c r="P1053" s="43">
        <v>6.4924998283386204</v>
      </c>
      <c r="Q1053" s="43"/>
      <c r="R1053" s="43"/>
      <c r="S1053" s="43"/>
      <c r="T1053" s="43"/>
      <c r="U1053" s="43">
        <v>4.9496998786926296</v>
      </c>
      <c r="V1053" s="43"/>
      <c r="W1053" s="43"/>
      <c r="X1053" s="43"/>
      <c r="Y1053" s="43"/>
      <c r="Z1053" s="43"/>
      <c r="AA1053" s="43"/>
      <c r="AB1053" s="43"/>
      <c r="AC1053" s="43"/>
      <c r="AD1053" s="43"/>
      <c r="AE1053" s="43">
        <v>4.82200002670288</v>
      </c>
      <c r="AF1053" s="43"/>
      <c r="AG1053" s="43"/>
      <c r="AH1053" s="43"/>
      <c r="AI1053" s="43">
        <v>6.2832999229431197</v>
      </c>
      <c r="AJ1053" s="43"/>
      <c r="AK1053" s="43"/>
      <c r="AL1053" s="43"/>
      <c r="AM1053" s="43"/>
      <c r="AN1053" s="43"/>
      <c r="AO1053" s="43"/>
      <c r="AP1053" s="43"/>
      <c r="AQ1053" s="43"/>
      <c r="AR1053" s="43"/>
      <c r="AS1053" s="43"/>
      <c r="AT1053" s="43"/>
      <c r="AU1053" s="43"/>
      <c r="AV1053" s="43"/>
      <c r="AW1053" s="43"/>
      <c r="AX1053" s="43"/>
      <c r="AY1053" s="43"/>
      <c r="AZ1053" s="43">
        <v>5.7</v>
      </c>
      <c r="BA1053" s="43"/>
      <c r="BB1053" s="43"/>
      <c r="BC1053" s="43">
        <v>3.9</v>
      </c>
      <c r="BD1053" s="43"/>
      <c r="BE1053" s="43">
        <v>3.6</v>
      </c>
      <c r="BF1053" s="43"/>
      <c r="BG1053" s="43"/>
      <c r="BH1053" s="43"/>
      <c r="BI1053" s="43"/>
      <c r="BJ1053" s="43"/>
      <c r="BK1053" s="43"/>
      <c r="BL1053" s="43"/>
      <c r="BM1053" s="43"/>
      <c r="BN1053" s="56">
        <f t="shared" si="28"/>
        <v>3.6</v>
      </c>
      <c r="BO1053" s="428">
        <f>IF(BN1053="No reported value",INDEX('WB HCW &amp; Beds'!$BU$831:$BU$835,MATCH($BP1053,'WB HCW &amp; Beds'!$BS$831:$BS$835,0)),$BN1053)</f>
        <v>3.6</v>
      </c>
      <c r="BP1053" s="132" t="str">
        <f>INDEX('HCW + Staff Summary'!$E$7:$E$270,MATCH($B1053,'HCW + Staff Summary'!$B$7:$B$270,0))</f>
        <v>High income</v>
      </c>
      <c r="BQ1053" s="429">
        <f>INDEX('WB HCW &amp; Beds'!$BU$838:$BU$842,MATCH($BP1053,'WB HCW &amp; Beds'!$BS$838:$BS$842,0))*100</f>
        <v>3.5700000000000003</v>
      </c>
    </row>
    <row r="1054" spans="2:69" x14ac:dyDescent="0.75">
      <c r="B1054" s="43" t="s">
        <v>546</v>
      </c>
      <c r="C1054" s="43" t="s">
        <v>136</v>
      </c>
      <c r="D1054" s="43" t="s">
        <v>632</v>
      </c>
      <c r="E1054" s="43" t="s">
        <v>633</v>
      </c>
      <c r="F1054" s="43">
        <v>1.07673752307892</v>
      </c>
      <c r="G1054" s="43"/>
      <c r="H1054" s="43"/>
      <c r="I1054" s="43"/>
      <c r="J1054" s="43"/>
      <c r="K1054" s="43"/>
      <c r="L1054" s="43"/>
      <c r="M1054" s="43"/>
      <c r="N1054" s="43"/>
      <c r="O1054" s="43"/>
      <c r="P1054" s="43">
        <v>0.993399977684021</v>
      </c>
      <c r="Q1054" s="43"/>
      <c r="R1054" s="43"/>
      <c r="S1054" s="43"/>
      <c r="T1054" s="43"/>
      <c r="U1054" s="43">
        <v>1</v>
      </c>
      <c r="V1054" s="43"/>
      <c r="W1054" s="43"/>
      <c r="X1054" s="43"/>
      <c r="Y1054" s="43"/>
      <c r="Z1054" s="43">
        <v>1.1045000553131099</v>
      </c>
      <c r="AA1054" s="43">
        <v>1.1457999944686901</v>
      </c>
      <c r="AB1054" s="43"/>
      <c r="AC1054" s="43"/>
      <c r="AD1054" s="43"/>
      <c r="AE1054" s="43"/>
      <c r="AF1054" s="43"/>
      <c r="AG1054" s="43"/>
      <c r="AH1054" s="43"/>
      <c r="AI1054" s="43"/>
      <c r="AJ1054" s="43">
        <v>1.0865000486</v>
      </c>
      <c r="AK1054" s="43"/>
      <c r="AL1054" s="43"/>
      <c r="AM1054" s="43"/>
      <c r="AN1054" s="43"/>
      <c r="AO1054" s="43"/>
      <c r="AP1054" s="43">
        <v>1.5</v>
      </c>
      <c r="AQ1054" s="43"/>
      <c r="AR1054" s="43">
        <v>1.5</v>
      </c>
      <c r="AS1054" s="43">
        <v>1.3999999761999999</v>
      </c>
      <c r="AT1054" s="43">
        <v>1.4</v>
      </c>
      <c r="AU1054" s="43">
        <v>1.4</v>
      </c>
      <c r="AV1054" s="43">
        <v>1.4</v>
      </c>
      <c r="AW1054" s="43">
        <v>1.5</v>
      </c>
      <c r="AX1054" s="43">
        <v>1.5</v>
      </c>
      <c r="AY1054" s="43">
        <v>1.3</v>
      </c>
      <c r="AZ1054" s="43">
        <v>1.5</v>
      </c>
      <c r="BA1054" s="43">
        <v>1.5</v>
      </c>
      <c r="BB1054" s="43">
        <v>1.5</v>
      </c>
      <c r="BC1054" s="43">
        <v>1.5</v>
      </c>
      <c r="BD1054" s="43">
        <v>1.5</v>
      </c>
      <c r="BE1054" s="43">
        <v>1.6</v>
      </c>
      <c r="BF1054" s="43">
        <v>1.5</v>
      </c>
      <c r="BG1054" s="43">
        <v>1.5</v>
      </c>
      <c r="BH1054" s="43">
        <v>1.5</v>
      </c>
      <c r="BI1054" s="43"/>
      <c r="BJ1054" s="43"/>
      <c r="BK1054" s="43"/>
      <c r="BL1054" s="43"/>
      <c r="BM1054" s="43"/>
      <c r="BN1054" s="56">
        <f t="shared" si="28"/>
        <v>1.5</v>
      </c>
      <c r="BO1054" s="428">
        <f>IF(BN1054="No reported value",INDEX('WB HCW &amp; Beds'!$BU$831:$BU$835,MATCH($BP1054,'WB HCW &amp; Beds'!$BS$831:$BS$835,0)),$BN1054)</f>
        <v>1.5</v>
      </c>
      <c r="BP1054" s="132" t="str">
        <f>INDEX('HCW + Staff Summary'!$E$7:$E$270,MATCH($B1054,'HCW + Staff Summary'!$B$7:$B$270,0))</f>
        <v>Low income</v>
      </c>
      <c r="BQ1054" s="429">
        <f>INDEX('WB HCW &amp; Beds'!$BU$838:$BU$842,MATCH($BP1054,'WB HCW &amp; Beds'!$BS$838:$BS$842,0))*100</f>
        <v>1.63</v>
      </c>
    </row>
    <row r="1055" spans="2:69" x14ac:dyDescent="0.75">
      <c r="B1055" s="43" t="s">
        <v>553</v>
      </c>
      <c r="C1055" s="43" t="s">
        <v>554</v>
      </c>
      <c r="D1055" s="43" t="s">
        <v>632</v>
      </c>
      <c r="E1055" s="43" t="s">
        <v>633</v>
      </c>
      <c r="F1055" s="43"/>
      <c r="G1055" s="43"/>
      <c r="H1055" s="43"/>
      <c r="I1055" s="43"/>
      <c r="J1055" s="43"/>
      <c r="K1055" s="43"/>
      <c r="L1055" s="43"/>
      <c r="M1055" s="43"/>
      <c r="N1055" s="43"/>
      <c r="O1055" s="43"/>
      <c r="P1055" s="43"/>
      <c r="Q1055" s="43"/>
      <c r="R1055" s="43"/>
      <c r="S1055" s="43"/>
      <c r="T1055" s="43"/>
      <c r="U1055" s="43"/>
      <c r="V1055" s="43"/>
      <c r="W1055" s="43"/>
      <c r="X1055" s="43"/>
      <c r="Y1055" s="43"/>
      <c r="Z1055" s="43"/>
      <c r="AA1055" s="43"/>
      <c r="AB1055" s="43"/>
      <c r="AC1055" s="43"/>
      <c r="AD1055" s="43"/>
      <c r="AE1055" s="43"/>
      <c r="AF1055" s="43"/>
      <c r="AG1055" s="43"/>
      <c r="AH1055" s="43"/>
      <c r="AI1055" s="43"/>
      <c r="AJ1055" s="43"/>
      <c r="AK1055" s="43"/>
      <c r="AL1055" s="43"/>
      <c r="AM1055" s="43"/>
      <c r="AN1055" s="43"/>
      <c r="AO1055" s="43"/>
      <c r="AP1055" s="43"/>
      <c r="AQ1055" s="43"/>
      <c r="AR1055" s="43"/>
      <c r="AS1055" s="43"/>
      <c r="AT1055" s="43"/>
      <c r="AU1055" s="43"/>
      <c r="AV1055" s="43"/>
      <c r="AW1055" s="43"/>
      <c r="AX1055" s="43"/>
      <c r="AY1055" s="43"/>
      <c r="AZ1055" s="43"/>
      <c r="BA1055" s="43"/>
      <c r="BB1055" s="43"/>
      <c r="BC1055" s="43"/>
      <c r="BD1055" s="43"/>
      <c r="BE1055" s="43"/>
      <c r="BF1055" s="43"/>
      <c r="BG1055" s="43"/>
      <c r="BH1055" s="43"/>
      <c r="BI1055" s="43"/>
      <c r="BJ1055" s="43"/>
      <c r="BK1055" s="43"/>
      <c r="BL1055" s="43"/>
      <c r="BM1055" s="43"/>
      <c r="BN1055" s="56" t="str">
        <f t="shared" si="28"/>
        <v>No reported value</v>
      </c>
      <c r="BO1055" s="428">
        <f>IF(BN1055="No reported value",INDEX('WB HCW &amp; Beds'!$BU$831:$BU$835,MATCH($BP1055,'WB HCW &amp; Beds'!$BS$831:$BS$835,0)),$BN1055)</f>
        <v>4.82</v>
      </c>
      <c r="BP1055" s="132" t="str">
        <f>INDEX('HCW + Staff Summary'!$E$7:$E$270,MATCH($B1055,'HCW + Staff Summary'!$B$7:$B$270,0))</f>
        <v>High income</v>
      </c>
      <c r="BQ1055" s="429">
        <f>INDEX('WB HCW &amp; Beds'!$BU$838:$BU$842,MATCH($BP1055,'WB HCW &amp; Beds'!$BS$838:$BS$842,0))*100</f>
        <v>3.5700000000000003</v>
      </c>
    </row>
    <row r="1056" spans="2:69" x14ac:dyDescent="0.75">
      <c r="B1056" s="43" t="s">
        <v>189</v>
      </c>
      <c r="C1056" s="43" t="s">
        <v>169</v>
      </c>
      <c r="D1056" s="43" t="s">
        <v>632</v>
      </c>
      <c r="E1056" s="43" t="s">
        <v>633</v>
      </c>
      <c r="F1056" s="43">
        <v>0.697454333305359</v>
      </c>
      <c r="G1056" s="43"/>
      <c r="H1056" s="43"/>
      <c r="I1056" s="43"/>
      <c r="J1056" s="43"/>
      <c r="K1056" s="43"/>
      <c r="L1056" s="43"/>
      <c r="M1056" s="43"/>
      <c r="N1056" s="43"/>
      <c r="O1056" s="43"/>
      <c r="P1056" s="43">
        <v>1.3099999427795399</v>
      </c>
      <c r="Q1056" s="43"/>
      <c r="R1056" s="43"/>
      <c r="S1056" s="43"/>
      <c r="T1056" s="43"/>
      <c r="U1056" s="43"/>
      <c r="V1056" s="43"/>
      <c r="W1056" s="43"/>
      <c r="X1056" s="43"/>
      <c r="Y1056" s="43"/>
      <c r="Z1056" s="43"/>
      <c r="AA1056" s="43"/>
      <c r="AB1056" s="43"/>
      <c r="AC1056" s="43"/>
      <c r="AD1056" s="43"/>
      <c r="AE1056" s="43"/>
      <c r="AF1056" s="43"/>
      <c r="AG1056" s="43"/>
      <c r="AH1056" s="43"/>
      <c r="AI1056" s="43"/>
      <c r="AJ1056" s="43"/>
      <c r="AK1056" s="43">
        <v>0.72009998559999999</v>
      </c>
      <c r="AL1056" s="43"/>
      <c r="AM1056" s="43"/>
      <c r="AN1056" s="43"/>
      <c r="AO1056" s="43"/>
      <c r="AP1056" s="43"/>
      <c r="AQ1056" s="43"/>
      <c r="AR1056" s="43"/>
      <c r="AS1056" s="43"/>
      <c r="AT1056" s="43"/>
      <c r="AU1056" s="43"/>
      <c r="AV1056" s="43"/>
      <c r="AW1056" s="43"/>
      <c r="AX1056" s="43"/>
      <c r="AY1056" s="43">
        <v>0.4</v>
      </c>
      <c r="AZ1056" s="43"/>
      <c r="BA1056" s="43"/>
      <c r="BB1056" s="43"/>
      <c r="BC1056" s="43"/>
      <c r="BD1056" s="43"/>
      <c r="BE1056" s="43"/>
      <c r="BF1056" s="43"/>
      <c r="BG1056" s="43"/>
      <c r="BH1056" s="43"/>
      <c r="BI1056" s="43"/>
      <c r="BJ1056" s="43"/>
      <c r="BK1056" s="43"/>
      <c r="BL1056" s="43"/>
      <c r="BM1056" s="43"/>
      <c r="BN1056" s="56">
        <f t="shared" si="28"/>
        <v>0.4</v>
      </c>
      <c r="BO1056" s="428">
        <f>IF(BN1056="No reported value",INDEX('WB HCW &amp; Beds'!$BU$831:$BU$835,MATCH($BP1056,'WB HCW &amp; Beds'!$BS$831:$BS$835,0)),$BN1056)</f>
        <v>0.4</v>
      </c>
      <c r="BP1056" s="132" t="str">
        <f>INDEX('HCW + Staff Summary'!$E$7:$E$270,MATCH($B1056,'HCW + Staff Summary'!$B$7:$B$270,0))</f>
        <v>Low income</v>
      </c>
      <c r="BQ1056" s="429">
        <f>INDEX('WB HCW &amp; Beds'!$BU$838:$BU$842,MATCH($BP1056,'WB HCW &amp; Beds'!$BS$838:$BS$842,0))*100</f>
        <v>1.63</v>
      </c>
    </row>
    <row r="1057" spans="2:69" x14ac:dyDescent="0.75">
      <c r="B1057" s="43" t="s">
        <v>375</v>
      </c>
      <c r="C1057" s="43" t="s">
        <v>376</v>
      </c>
      <c r="D1057" s="43" t="s">
        <v>632</v>
      </c>
      <c r="E1057" s="43" t="s">
        <v>633</v>
      </c>
      <c r="F1057" s="43"/>
      <c r="G1057" s="43"/>
      <c r="H1057" s="43"/>
      <c r="I1057" s="43"/>
      <c r="J1057" s="43"/>
      <c r="K1057" s="43">
        <v>1.4400000572204601</v>
      </c>
      <c r="L1057" s="43">
        <v>1.5199999809265097</v>
      </c>
      <c r="M1057" s="43">
        <v>1.5</v>
      </c>
      <c r="N1057" s="43">
        <v>1.45000004768372</v>
      </c>
      <c r="O1057" s="43">
        <v>1.45000004768372</v>
      </c>
      <c r="P1057" s="43">
        <v>1.4418845852024127</v>
      </c>
      <c r="Q1057" s="43">
        <v>1.58000004291534</v>
      </c>
      <c r="R1057" s="43">
        <v>1.71000003814697</v>
      </c>
      <c r="S1057" s="43">
        <v>1.7699999809265099</v>
      </c>
      <c r="T1057" s="43">
        <v>1.8500000238418601</v>
      </c>
      <c r="U1057" s="43">
        <v>1.781145328361206</v>
      </c>
      <c r="V1057" s="43">
        <v>1.9873244335741538</v>
      </c>
      <c r="W1057" s="43">
        <v>2.0699999332428001</v>
      </c>
      <c r="X1057" s="43">
        <v>2.1400001049041699</v>
      </c>
      <c r="Y1057" s="43">
        <v>2.2000000476837198</v>
      </c>
      <c r="Z1057" s="43">
        <v>2.2237280297986231</v>
      </c>
      <c r="AA1057" s="43">
        <v>2.2944433840718892</v>
      </c>
      <c r="AB1057" s="43">
        <v>2.2341767405230057</v>
      </c>
      <c r="AC1057" s="43">
        <v>2.2624806304022251</v>
      </c>
      <c r="AD1057" s="43">
        <v>2.3100079927720474</v>
      </c>
      <c r="AE1057" s="43">
        <v>2.1220048777816523</v>
      </c>
      <c r="AF1057" s="43">
        <v>2.365937305387547</v>
      </c>
      <c r="AG1057" s="43">
        <v>2.4799684931745709</v>
      </c>
      <c r="AH1057" s="43">
        <v>2.5366463166226429</v>
      </c>
      <c r="AI1057" s="43">
        <v>2.3565014272552713</v>
      </c>
      <c r="AJ1057" s="43">
        <v>2.2787709059376415</v>
      </c>
      <c r="AK1057" s="43">
        <v>2.2722516619535922</v>
      </c>
      <c r="AL1057" s="43">
        <v>2.2777069907449761</v>
      </c>
      <c r="AM1057" s="43">
        <v>2.2919769188919759</v>
      </c>
      <c r="AN1057" s="43">
        <v>2.3496088918205911</v>
      </c>
      <c r="AO1057" s="43">
        <v>2.5720545817157396</v>
      </c>
      <c r="AP1057" s="43">
        <v>2.5408365363524146</v>
      </c>
      <c r="AQ1057" s="43">
        <v>2.4980746146048984</v>
      </c>
      <c r="AR1057" s="43">
        <v>2.255732353090615</v>
      </c>
      <c r="AS1057" s="43">
        <v>2.5048830581538994</v>
      </c>
      <c r="AT1057" s="43">
        <v>2.4434965467112728</v>
      </c>
      <c r="AU1057" s="43">
        <v>2.4032453335950055</v>
      </c>
      <c r="AV1057" s="43">
        <v>2.0312712030733975</v>
      </c>
      <c r="AW1057" s="43">
        <v>2.2002094602436104</v>
      </c>
      <c r="AX1057" s="43">
        <v>2.9656498563794167</v>
      </c>
      <c r="AY1057" s="43">
        <v>2.4265117760837809</v>
      </c>
      <c r="AZ1057" s="43">
        <v>2.1058969906450669</v>
      </c>
      <c r="BA1057" s="43"/>
      <c r="BB1057" s="43"/>
      <c r="BC1057" s="43">
        <v>3.8759285371161605</v>
      </c>
      <c r="BD1057" s="43">
        <v>2.8495019709634613</v>
      </c>
      <c r="BE1057" s="43">
        <v>3.5553882591873687</v>
      </c>
      <c r="BF1057" s="43">
        <v>3.514249049680596</v>
      </c>
      <c r="BG1057" s="43"/>
      <c r="BH1057" s="43"/>
      <c r="BI1057" s="43"/>
      <c r="BJ1057" s="43"/>
      <c r="BK1057" s="43"/>
      <c r="BL1057" s="43"/>
      <c r="BM1057" s="43"/>
      <c r="BN1057" s="56">
        <f t="shared" si="28"/>
        <v>3.514249049680596</v>
      </c>
      <c r="BO1057" s="428">
        <f>IF(BN1057="No reported value",INDEX('WB HCW &amp; Beds'!$BU$831:$BU$835,MATCH($BP1057,'WB HCW &amp; Beds'!$BS$831:$BS$835,0)),$BN1057)</f>
        <v>3.514249049680596</v>
      </c>
      <c r="BP1057" s="132" t="str">
        <f>INDEX('HCW + Staff Summary'!$E$7:$E$270,MATCH($B1057,'HCW + Staff Summary'!$B$7:$B$270,0))</f>
        <v>OUT</v>
      </c>
      <c r="BQ1057" s="429">
        <f>INDEX('WB HCW &amp; Beds'!$BU$838:$BU$842,MATCH($BP1057,'WB HCW &amp; Beds'!$BS$838:$BS$842,0))*100</f>
        <v>2.7250000000000001</v>
      </c>
    </row>
    <row r="1058" spans="2:69" x14ac:dyDescent="0.75">
      <c r="B1058" s="43" t="s">
        <v>387</v>
      </c>
      <c r="C1058" s="43" t="s">
        <v>388</v>
      </c>
      <c r="D1058" s="43" t="s">
        <v>632</v>
      </c>
      <c r="E1058" s="43" t="s">
        <v>633</v>
      </c>
      <c r="F1058" s="43"/>
      <c r="G1058" s="43"/>
      <c r="H1058" s="43"/>
      <c r="I1058" s="43"/>
      <c r="J1058" s="43"/>
      <c r="K1058" s="43"/>
      <c r="L1058" s="43"/>
      <c r="M1058" s="43"/>
      <c r="N1058" s="43"/>
      <c r="O1058" s="43"/>
      <c r="P1058" s="43"/>
      <c r="Q1058" s="43"/>
      <c r="R1058" s="43"/>
      <c r="S1058" s="43"/>
      <c r="T1058" s="43"/>
      <c r="U1058" s="43"/>
      <c r="V1058" s="43"/>
      <c r="W1058" s="43"/>
      <c r="X1058" s="43"/>
      <c r="Y1058" s="43"/>
      <c r="Z1058" s="43"/>
      <c r="AA1058" s="43"/>
      <c r="AB1058" s="43"/>
      <c r="AC1058" s="43"/>
      <c r="AD1058" s="43"/>
      <c r="AE1058" s="43">
        <v>10.150884801373316</v>
      </c>
      <c r="AF1058" s="43">
        <v>10.65719584966083</v>
      </c>
      <c r="AG1058" s="43">
        <v>10.689388263329512</v>
      </c>
      <c r="AH1058" s="43">
        <v>10.722020595188505</v>
      </c>
      <c r="AI1058" s="43">
        <v>10.742265760151703</v>
      </c>
      <c r="AJ1058" s="43">
        <v>10.271193994680269</v>
      </c>
      <c r="AK1058" s="43">
        <v>10.043844022603738</v>
      </c>
      <c r="AL1058" s="43">
        <v>9.8087686575852207</v>
      </c>
      <c r="AM1058" s="43">
        <v>9.6454105916619941</v>
      </c>
      <c r="AN1058" s="43">
        <v>9.371190919910017</v>
      </c>
      <c r="AO1058" s="43">
        <v>9.1616476037496426</v>
      </c>
      <c r="AP1058" s="43">
        <v>8.7932680466718462</v>
      </c>
      <c r="AQ1058" s="43">
        <v>8.3026435781496009</v>
      </c>
      <c r="AR1058" s="43">
        <v>8.003660552029503</v>
      </c>
      <c r="AS1058" s="43">
        <v>7.778831224349279</v>
      </c>
      <c r="AT1058" s="43">
        <v>7.6516890044980714</v>
      </c>
      <c r="AU1058" s="43">
        <v>7.824821668068342</v>
      </c>
      <c r="AV1058" s="43">
        <v>7.551819787151957</v>
      </c>
      <c r="AW1058" s="43">
        <v>7.4934794101222781</v>
      </c>
      <c r="AX1058" s="43">
        <v>7.2207796871468801</v>
      </c>
      <c r="AY1058" s="43">
        <v>7.1267943953128583</v>
      </c>
      <c r="AZ1058" s="43">
        <v>7.0902926373096573</v>
      </c>
      <c r="BA1058" s="43">
        <v>6.9077345685129563</v>
      </c>
      <c r="BB1058" s="43">
        <v>6.8687421196424543</v>
      </c>
      <c r="BC1058" s="43">
        <v>6.8579994028146176</v>
      </c>
      <c r="BD1058" s="43">
        <v>6.6846972235727851</v>
      </c>
      <c r="BE1058" s="43">
        <v>6.5165554073239047</v>
      </c>
      <c r="BF1058" s="43">
        <v>6.4599896402677173</v>
      </c>
      <c r="BG1058" s="43">
        <v>6.3619488752299436</v>
      </c>
      <c r="BH1058" s="43"/>
      <c r="BI1058" s="43"/>
      <c r="BJ1058" s="43"/>
      <c r="BK1058" s="43"/>
      <c r="BL1058" s="43"/>
      <c r="BM1058" s="43"/>
      <c r="BN1058" s="56">
        <f t="shared" si="28"/>
        <v>6.3619488752299436</v>
      </c>
      <c r="BO1058" s="428">
        <f>IF(BN1058="No reported value",INDEX('WB HCW &amp; Beds'!$BU$831:$BU$835,MATCH($BP1058,'WB HCW &amp; Beds'!$BS$831:$BS$835,0)),$BN1058)</f>
        <v>6.3619488752299436</v>
      </c>
      <c r="BP1058" s="132" t="str">
        <f>INDEX('HCW + Staff Summary'!$E$7:$E$270,MATCH($B1058,'HCW + Staff Summary'!$B$7:$B$270,0))</f>
        <v>OUT</v>
      </c>
      <c r="BQ1058" s="429">
        <f>INDEX('WB HCW &amp; Beds'!$BU$838:$BU$842,MATCH($BP1058,'WB HCW &amp; Beds'!$BS$838:$BS$842,0))*100</f>
        <v>2.7250000000000001</v>
      </c>
    </row>
    <row r="1059" spans="2:69" x14ac:dyDescent="0.75">
      <c r="B1059" s="43" t="s">
        <v>215</v>
      </c>
      <c r="C1059" s="43" t="s">
        <v>137</v>
      </c>
      <c r="D1059" s="43" t="s">
        <v>632</v>
      </c>
      <c r="E1059" s="43" t="s">
        <v>633</v>
      </c>
      <c r="F1059" s="43">
        <v>1.26509189605713</v>
      </c>
      <c r="G1059" s="43"/>
      <c r="H1059" s="43"/>
      <c r="I1059" s="43"/>
      <c r="J1059" s="43"/>
      <c r="K1059" s="43"/>
      <c r="L1059" s="43"/>
      <c r="M1059" s="43"/>
      <c r="N1059" s="43"/>
      <c r="O1059" s="43"/>
      <c r="P1059" s="43">
        <v>1.5333000421523999</v>
      </c>
      <c r="Q1059" s="43"/>
      <c r="R1059" s="43"/>
      <c r="S1059" s="43"/>
      <c r="T1059" s="43"/>
      <c r="U1059" s="43">
        <v>1.4399000406265301</v>
      </c>
      <c r="V1059" s="43"/>
      <c r="W1059" s="43"/>
      <c r="X1059" s="43"/>
      <c r="Y1059" s="43"/>
      <c r="Z1059" s="43"/>
      <c r="AA1059" s="43"/>
      <c r="AB1059" s="43"/>
      <c r="AC1059" s="43"/>
      <c r="AD1059" s="43"/>
      <c r="AE1059" s="43"/>
      <c r="AF1059" s="43"/>
      <c r="AG1059" s="43"/>
      <c r="AH1059" s="43"/>
      <c r="AI1059" s="43"/>
      <c r="AJ1059" s="43">
        <v>1.5111000537999999</v>
      </c>
      <c r="AK1059" s="43"/>
      <c r="AL1059" s="43"/>
      <c r="AM1059" s="43"/>
      <c r="AN1059" s="43"/>
      <c r="AO1059" s="43"/>
      <c r="AP1059" s="43"/>
      <c r="AQ1059" s="43"/>
      <c r="AR1059" s="43"/>
      <c r="AS1059" s="43"/>
      <c r="AT1059" s="43"/>
      <c r="AU1059" s="43"/>
      <c r="AV1059" s="43"/>
      <c r="AW1059" s="43"/>
      <c r="AX1059" s="43"/>
      <c r="AY1059" s="43">
        <v>0.9</v>
      </c>
      <c r="AZ1059" s="43"/>
      <c r="BA1059" s="43"/>
      <c r="BB1059" s="43"/>
      <c r="BC1059" s="43"/>
      <c r="BD1059" s="43"/>
      <c r="BE1059" s="43">
        <v>0.7</v>
      </c>
      <c r="BF1059" s="43"/>
      <c r="BG1059" s="43"/>
      <c r="BH1059" s="43"/>
      <c r="BI1059" s="43"/>
      <c r="BJ1059" s="43"/>
      <c r="BK1059" s="43"/>
      <c r="BL1059" s="43"/>
      <c r="BM1059" s="43"/>
      <c r="BN1059" s="56">
        <f t="shared" si="28"/>
        <v>0.7</v>
      </c>
      <c r="BO1059" s="428">
        <f>IF(BN1059="No reported value",INDEX('WB HCW &amp; Beds'!$BU$831:$BU$835,MATCH($BP1059,'WB HCW &amp; Beds'!$BS$831:$BS$835,0)),$BN1059)</f>
        <v>0.7</v>
      </c>
      <c r="BP1059" s="132" t="str">
        <f>INDEX('HCW + Staff Summary'!$E$7:$E$270,MATCH($B1059,'HCW + Staff Summary'!$B$7:$B$270,0))</f>
        <v>Low income</v>
      </c>
      <c r="BQ1059" s="429">
        <f>INDEX('WB HCW &amp; Beds'!$BU$838:$BU$842,MATCH($BP1059,'WB HCW &amp; Beds'!$BS$838:$BS$842,0))*100</f>
        <v>1.63</v>
      </c>
    </row>
    <row r="1060" spans="2:69" x14ac:dyDescent="0.75">
      <c r="B1060" s="43" t="s">
        <v>548</v>
      </c>
      <c r="C1060" s="43" t="s">
        <v>138</v>
      </c>
      <c r="D1060" s="43" t="s">
        <v>632</v>
      </c>
      <c r="E1060" s="43" t="s">
        <v>633</v>
      </c>
      <c r="F1060" s="43">
        <v>0.74003487825393699</v>
      </c>
      <c r="G1060" s="43"/>
      <c r="H1060" s="43"/>
      <c r="I1060" s="43"/>
      <c r="J1060" s="43"/>
      <c r="K1060" s="43"/>
      <c r="L1060" s="43"/>
      <c r="M1060" s="43"/>
      <c r="N1060" s="43"/>
      <c r="O1060" s="43"/>
      <c r="P1060" s="43">
        <v>1.1373000144958501</v>
      </c>
      <c r="Q1060" s="43"/>
      <c r="R1060" s="43"/>
      <c r="S1060" s="43"/>
      <c r="T1060" s="43"/>
      <c r="U1060" s="43">
        <v>1.11189997196198</v>
      </c>
      <c r="V1060" s="43"/>
      <c r="W1060" s="43"/>
      <c r="X1060" s="43"/>
      <c r="Y1060" s="43"/>
      <c r="Z1060" s="43">
        <v>1.53509998321533</v>
      </c>
      <c r="AA1060" s="43"/>
      <c r="AB1060" s="43"/>
      <c r="AC1060" s="43"/>
      <c r="AD1060" s="43"/>
      <c r="AE1060" s="43"/>
      <c r="AF1060" s="43"/>
      <c r="AG1060" s="43"/>
      <c r="AH1060" s="43"/>
      <c r="AI1060" s="43"/>
      <c r="AJ1060" s="43">
        <v>1.6325999497999999</v>
      </c>
      <c r="AK1060" s="43">
        <v>1.6612999439</v>
      </c>
      <c r="AL1060" s="43">
        <v>1.7066999674000001</v>
      </c>
      <c r="AM1060" s="43"/>
      <c r="AN1060" s="43"/>
      <c r="AO1060" s="43">
        <v>1.9900000095000001</v>
      </c>
      <c r="AP1060" s="43"/>
      <c r="AQ1060" s="43"/>
      <c r="AR1060" s="43"/>
      <c r="AS1060" s="43">
        <v>2.2000000477000001</v>
      </c>
      <c r="AT1060" s="43">
        <v>2.2000000000000002</v>
      </c>
      <c r="AU1060" s="43"/>
      <c r="AV1060" s="43">
        <v>2.2000000000000002</v>
      </c>
      <c r="AW1060" s="43"/>
      <c r="AX1060" s="43"/>
      <c r="AY1060" s="43">
        <v>2.1</v>
      </c>
      <c r="AZ1060" s="43"/>
      <c r="BA1060" s="43"/>
      <c r="BB1060" s="43"/>
      <c r="BC1060" s="43"/>
      <c r="BD1060" s="43">
        <v>2.1</v>
      </c>
      <c r="BE1060" s="43"/>
      <c r="BF1060" s="43"/>
      <c r="BG1060" s="43"/>
      <c r="BH1060" s="43"/>
      <c r="BI1060" s="43"/>
      <c r="BJ1060" s="43"/>
      <c r="BK1060" s="43"/>
      <c r="BL1060" s="43"/>
      <c r="BM1060" s="43"/>
      <c r="BN1060" s="56">
        <f t="shared" si="28"/>
        <v>2.1</v>
      </c>
      <c r="BO1060" s="428">
        <f>IF(BN1060="No reported value",INDEX('WB HCW &amp; Beds'!$BU$831:$BU$835,MATCH($BP1060,'WB HCW &amp; Beds'!$BS$831:$BS$835,0)),$BN1060)</f>
        <v>2.1</v>
      </c>
      <c r="BP1060" s="132" t="str">
        <f>INDEX('HCW + Staff Summary'!$E$7:$E$270,MATCH($B1060,'HCW + Staff Summary'!$B$7:$B$270,0))</f>
        <v>Upper middle income</v>
      </c>
      <c r="BQ1060" s="429">
        <f>INDEX('WB HCW &amp; Beds'!$BU$838:$BU$842,MATCH($BP1060,'WB HCW &amp; Beds'!$BS$838:$BS$842,0))*100</f>
        <v>3.32</v>
      </c>
    </row>
    <row r="1061" spans="2:69" x14ac:dyDescent="0.75">
      <c r="B1061" s="43" t="s">
        <v>238</v>
      </c>
      <c r="C1061" s="43" t="s">
        <v>163</v>
      </c>
      <c r="D1061" s="43" t="s">
        <v>632</v>
      </c>
      <c r="E1061" s="43" t="s">
        <v>633</v>
      </c>
      <c r="F1061" s="43"/>
      <c r="G1061" s="43"/>
      <c r="H1061" s="43"/>
      <c r="I1061" s="43"/>
      <c r="J1061" s="43"/>
      <c r="K1061" s="43"/>
      <c r="L1061" s="43"/>
      <c r="M1061" s="43"/>
      <c r="N1061" s="43"/>
      <c r="O1061" s="43"/>
      <c r="P1061" s="43"/>
      <c r="Q1061" s="43"/>
      <c r="R1061" s="43"/>
      <c r="S1061" s="43"/>
      <c r="T1061" s="43"/>
      <c r="U1061" s="43"/>
      <c r="V1061" s="43"/>
      <c r="W1061" s="43"/>
      <c r="X1061" s="43"/>
      <c r="Y1061" s="43"/>
      <c r="Z1061" s="43"/>
      <c r="AA1061" s="43"/>
      <c r="AB1061" s="43"/>
      <c r="AC1061" s="43"/>
      <c r="AD1061" s="43"/>
      <c r="AE1061" s="43">
        <v>10.6448001861572</v>
      </c>
      <c r="AF1061" s="43">
        <v>10.644900321960399</v>
      </c>
      <c r="AG1061" s="43">
        <v>10.6555995941162</v>
      </c>
      <c r="AH1061" s="43">
        <v>10.6742000579834</v>
      </c>
      <c r="AI1061" s="43">
        <v>10.629799842834499</v>
      </c>
      <c r="AJ1061" s="43">
        <v>10.661800384499999</v>
      </c>
      <c r="AK1061" s="43">
        <v>10.9629001617</v>
      </c>
      <c r="AL1061" s="43">
        <v>11.242300033599999</v>
      </c>
      <c r="AM1061" s="43">
        <v>10.681200027499999</v>
      </c>
      <c r="AN1061" s="43">
        <v>8.9413003922000005</v>
      </c>
      <c r="AO1061" s="43">
        <v>8.1999998092999995</v>
      </c>
      <c r="AP1061" s="43">
        <v>7.4699997902000002</v>
      </c>
      <c r="AQ1061" s="43">
        <v>7.2199997902000002</v>
      </c>
      <c r="AR1061" s="43">
        <v>6.9099998474</v>
      </c>
      <c r="AS1061" s="43">
        <v>6.8000001906999996</v>
      </c>
      <c r="AT1061" s="43">
        <v>6.5</v>
      </c>
      <c r="AU1061" s="43">
        <v>6.4</v>
      </c>
      <c r="AV1061" s="43">
        <v>6.3</v>
      </c>
      <c r="AW1061" s="43">
        <v>6.1</v>
      </c>
      <c r="AX1061" s="43">
        <v>6</v>
      </c>
      <c r="AY1061" s="43">
        <v>5.9</v>
      </c>
      <c r="AZ1061" s="43">
        <v>6.1</v>
      </c>
      <c r="BA1061" s="43">
        <v>5.4</v>
      </c>
      <c r="BB1061" s="43">
        <v>5.3</v>
      </c>
      <c r="BC1061" s="43">
        <v>5.2</v>
      </c>
      <c r="BD1061" s="43">
        <v>5</v>
      </c>
      <c r="BE1061" s="43">
        <v>4.9000000000000004</v>
      </c>
      <c r="BF1061" s="43">
        <v>4.8</v>
      </c>
      <c r="BG1061" s="43">
        <v>4.8</v>
      </c>
      <c r="BH1061" s="43"/>
      <c r="BI1061" s="43"/>
      <c r="BJ1061" s="43"/>
      <c r="BK1061" s="43"/>
      <c r="BL1061" s="43"/>
      <c r="BM1061" s="43"/>
      <c r="BN1061" s="56">
        <f t="shared" si="28"/>
        <v>4.8</v>
      </c>
      <c r="BO1061" s="428">
        <f>IF(BN1061="No reported value",INDEX('WB HCW &amp; Beds'!$BU$831:$BU$835,MATCH($BP1061,'WB HCW &amp; Beds'!$BS$831:$BS$835,0)),$BN1061)</f>
        <v>4.8</v>
      </c>
      <c r="BP1061" s="132" t="str">
        <f>INDEX('HCW + Staff Summary'!$E$7:$E$270,MATCH($B1061,'HCW + Staff Summary'!$B$7:$B$270,0))</f>
        <v>Low income</v>
      </c>
      <c r="BQ1061" s="429">
        <f>INDEX('WB HCW &amp; Beds'!$BU$838:$BU$842,MATCH($BP1061,'WB HCW &amp; Beds'!$BS$838:$BS$842,0))*100</f>
        <v>1.63</v>
      </c>
    </row>
    <row r="1062" spans="2:69" x14ac:dyDescent="0.75">
      <c r="B1062" s="43" t="s">
        <v>552</v>
      </c>
      <c r="C1062" s="43" t="s">
        <v>139</v>
      </c>
      <c r="D1062" s="43" t="s">
        <v>632</v>
      </c>
      <c r="E1062" s="43" t="s">
        <v>633</v>
      </c>
      <c r="F1062" s="43"/>
      <c r="G1062" s="43"/>
      <c r="H1062" s="43"/>
      <c r="I1062" s="43"/>
      <c r="J1062" s="43"/>
      <c r="K1062" s="43"/>
      <c r="L1062" s="43"/>
      <c r="M1062" s="43"/>
      <c r="N1062" s="43"/>
      <c r="O1062" s="43"/>
      <c r="P1062" s="43"/>
      <c r="Q1062" s="43"/>
      <c r="R1062" s="43"/>
      <c r="S1062" s="43"/>
      <c r="T1062" s="43"/>
      <c r="U1062" s="43"/>
      <c r="V1062" s="43"/>
      <c r="W1062" s="43"/>
      <c r="X1062" s="43"/>
      <c r="Y1062" s="43"/>
      <c r="Z1062" s="43">
        <v>10.4604997634888</v>
      </c>
      <c r="AA1062" s="43"/>
      <c r="AB1062" s="43"/>
      <c r="AC1062" s="43"/>
      <c r="AD1062" s="43"/>
      <c r="AE1062" s="43">
        <v>10.668000221252401</v>
      </c>
      <c r="AF1062" s="43">
        <v>11.122200012206999</v>
      </c>
      <c r="AG1062" s="43">
        <v>11.1049995422363</v>
      </c>
      <c r="AH1062" s="43">
        <v>11.129300117492701</v>
      </c>
      <c r="AI1062" s="43">
        <v>11.1934003829956</v>
      </c>
      <c r="AJ1062" s="43">
        <v>11.484999656699999</v>
      </c>
      <c r="AK1062" s="43">
        <v>11.5550003052</v>
      </c>
      <c r="AL1062" s="43">
        <v>11.415300369300001</v>
      </c>
      <c r="AM1062" s="43">
        <v>11.678899765000001</v>
      </c>
      <c r="AN1062" s="43">
        <v>11.470700264</v>
      </c>
      <c r="AO1062" s="43">
        <v>10.260000228899999</v>
      </c>
      <c r="AP1062" s="43">
        <v>8.0100002288999992</v>
      </c>
      <c r="AQ1062" s="43">
        <v>7.1100001334999998</v>
      </c>
      <c r="AR1062" s="43"/>
      <c r="AS1062" s="43"/>
      <c r="AT1062" s="43">
        <v>9.1</v>
      </c>
      <c r="AU1062" s="43">
        <v>8.4</v>
      </c>
      <c r="AV1062" s="43">
        <v>8.1999999999999993</v>
      </c>
      <c r="AW1062" s="43">
        <v>8.3000000000000007</v>
      </c>
      <c r="AX1062" s="43">
        <v>8.1</v>
      </c>
      <c r="AY1062" s="43">
        <v>8.4</v>
      </c>
      <c r="AZ1062" s="43">
        <v>8.1999999999999993</v>
      </c>
      <c r="BA1062" s="43">
        <v>4.0999999999999996</v>
      </c>
      <c r="BB1062" s="43">
        <v>7.7</v>
      </c>
      <c r="BC1062" s="43">
        <v>7.6</v>
      </c>
      <c r="BD1062" s="43">
        <v>7.6</v>
      </c>
      <c r="BE1062" s="43">
        <v>7.5</v>
      </c>
      <c r="BF1062" s="43">
        <v>7.4</v>
      </c>
      <c r="BG1062" s="43">
        <v>7.4</v>
      </c>
      <c r="BH1062" s="43"/>
      <c r="BI1062" s="43"/>
      <c r="BJ1062" s="43"/>
      <c r="BK1062" s="43"/>
      <c r="BL1062" s="43"/>
      <c r="BM1062" s="43"/>
      <c r="BN1062" s="56">
        <f t="shared" si="28"/>
        <v>7.4</v>
      </c>
      <c r="BO1062" s="428">
        <f>IF(BN1062="No reported value",INDEX('WB HCW &amp; Beds'!$BU$831:$BU$835,MATCH($BP1062,'WB HCW &amp; Beds'!$BS$831:$BS$835,0)),$BN1062)</f>
        <v>7.4</v>
      </c>
      <c r="BP1062" s="132" t="str">
        <f>INDEX('HCW + Staff Summary'!$E$7:$E$270,MATCH($B1062,'HCW + Staff Summary'!$B$7:$B$270,0))</f>
        <v>Upper middle income</v>
      </c>
      <c r="BQ1062" s="429">
        <f>INDEX('WB HCW &amp; Beds'!$BU$838:$BU$842,MATCH($BP1062,'WB HCW &amp; Beds'!$BS$838:$BS$842,0))*100</f>
        <v>3.32</v>
      </c>
    </row>
    <row r="1063" spans="2:69" x14ac:dyDescent="0.75">
      <c r="B1063" s="43" t="s">
        <v>441</v>
      </c>
      <c r="C1063" s="43" t="s">
        <v>442</v>
      </c>
      <c r="D1063" s="43" t="s">
        <v>632</v>
      </c>
      <c r="E1063" s="43" t="s">
        <v>633</v>
      </c>
      <c r="F1063" s="43">
        <v>3.3853155352479547</v>
      </c>
      <c r="G1063" s="43"/>
      <c r="H1063" s="43"/>
      <c r="I1063" s="43"/>
      <c r="J1063" s="43"/>
      <c r="K1063" s="43"/>
      <c r="L1063" s="43"/>
      <c r="M1063" s="43"/>
      <c r="N1063" s="43"/>
      <c r="O1063" s="43"/>
      <c r="P1063" s="43">
        <v>3.4076328274815908</v>
      </c>
      <c r="Q1063" s="43"/>
      <c r="R1063" s="43"/>
      <c r="S1063" s="43"/>
      <c r="T1063" s="43"/>
      <c r="U1063" s="43"/>
      <c r="V1063" s="43"/>
      <c r="W1063" s="43"/>
      <c r="X1063" s="43"/>
      <c r="Y1063" s="43"/>
      <c r="Z1063" s="43"/>
      <c r="AA1063" s="43"/>
      <c r="AB1063" s="43"/>
      <c r="AC1063" s="43"/>
      <c r="AD1063" s="43"/>
      <c r="AE1063" s="43"/>
      <c r="AF1063" s="43"/>
      <c r="AG1063" s="43"/>
      <c r="AH1063" s="43"/>
      <c r="AI1063" s="43"/>
      <c r="AJ1063" s="43">
        <v>2.4074238790078479</v>
      </c>
      <c r="AK1063" s="43"/>
      <c r="AL1063" s="43"/>
      <c r="AM1063" s="43">
        <v>2.4784495697037259</v>
      </c>
      <c r="AN1063" s="43"/>
      <c r="AO1063" s="43"/>
      <c r="AP1063" s="43">
        <v>2.1837208517148854</v>
      </c>
      <c r="AQ1063" s="43"/>
      <c r="AR1063" s="43"/>
      <c r="AS1063" s="43"/>
      <c r="AT1063" s="43"/>
      <c r="AU1063" s="43"/>
      <c r="AV1063" s="43"/>
      <c r="AW1063" s="43"/>
      <c r="AX1063" s="43"/>
      <c r="AY1063" s="43"/>
      <c r="AZ1063" s="43"/>
      <c r="BA1063" s="43"/>
      <c r="BB1063" s="43"/>
      <c r="BC1063" s="43">
        <v>1.8546929503005614</v>
      </c>
      <c r="BD1063" s="43">
        <v>2.1438479794817344</v>
      </c>
      <c r="BE1063" s="43">
        <v>1.9414130635837277</v>
      </c>
      <c r="BF1063" s="43">
        <v>2.0323400906413838</v>
      </c>
      <c r="BG1063" s="43">
        <v>2.0748850997330575</v>
      </c>
      <c r="BH1063" s="43">
        <v>2.08967547696012</v>
      </c>
      <c r="BI1063" s="43"/>
      <c r="BJ1063" s="43"/>
      <c r="BK1063" s="43"/>
      <c r="BL1063" s="43"/>
      <c r="BM1063" s="43"/>
      <c r="BN1063" s="56">
        <f t="shared" si="28"/>
        <v>2.08967547696012</v>
      </c>
      <c r="BO1063" s="428">
        <f>IF(BN1063="No reported value",INDEX('WB HCW &amp; Beds'!$BU$831:$BU$835,MATCH($BP1063,'WB HCW &amp; Beds'!$BS$831:$BS$835,0)),$BN1063)</f>
        <v>2.08967547696012</v>
      </c>
      <c r="BP1063" s="132" t="str">
        <f>INDEX('HCW + Staff Summary'!$E$7:$E$270,MATCH($B1063,'HCW + Staff Summary'!$B$7:$B$270,0))</f>
        <v>OUT</v>
      </c>
      <c r="BQ1063" s="429">
        <f>INDEX('WB HCW &amp; Beds'!$BU$838:$BU$842,MATCH($BP1063,'WB HCW &amp; Beds'!$BS$838:$BS$842,0))*100</f>
        <v>2.7250000000000001</v>
      </c>
    </row>
    <row r="1064" spans="2:69" x14ac:dyDescent="0.75">
      <c r="B1064" s="43" t="s">
        <v>246</v>
      </c>
      <c r="C1064" s="43" t="s">
        <v>140</v>
      </c>
      <c r="D1064" s="43" t="s">
        <v>632</v>
      </c>
      <c r="E1064" s="43" t="s">
        <v>633</v>
      </c>
      <c r="F1064" s="43"/>
      <c r="G1064" s="43"/>
      <c r="H1064" s="43"/>
      <c r="I1064" s="43"/>
      <c r="J1064" s="43"/>
      <c r="K1064" s="43"/>
      <c r="L1064" s="43"/>
      <c r="M1064" s="43"/>
      <c r="N1064" s="43"/>
      <c r="O1064" s="43"/>
      <c r="P1064" s="43"/>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c r="AW1064" s="43"/>
      <c r="AX1064" s="43"/>
      <c r="AY1064" s="43"/>
      <c r="AZ1064" s="43"/>
      <c r="BA1064" s="43"/>
      <c r="BB1064" s="43"/>
      <c r="BC1064" s="43">
        <v>5.9</v>
      </c>
      <c r="BD1064" s="43">
        <v>5.9</v>
      </c>
      <c r="BE1064" s="43"/>
      <c r="BF1064" s="43"/>
      <c r="BG1064" s="43"/>
      <c r="BH1064" s="43"/>
      <c r="BI1064" s="43"/>
      <c r="BJ1064" s="43"/>
      <c r="BK1064" s="43"/>
      <c r="BL1064" s="43"/>
      <c r="BM1064" s="43"/>
      <c r="BN1064" s="56">
        <f t="shared" si="28"/>
        <v>5.9</v>
      </c>
      <c r="BO1064" s="428">
        <f>IF(BN1064="No reported value",INDEX('WB HCW &amp; Beds'!$BU$831:$BU$835,MATCH($BP1064,'WB HCW &amp; Beds'!$BS$831:$BS$835,0)),$BN1064)</f>
        <v>5.9</v>
      </c>
      <c r="BP1064" s="132" t="str">
        <f>INDEX('HCW + Staff Summary'!$E$7:$E$270,MATCH($B1064,'HCW + Staff Summary'!$B$7:$B$270,0))</f>
        <v>Lower middle income</v>
      </c>
      <c r="BQ1064" s="429">
        <f>INDEX('WB HCW &amp; Beds'!$BU$838:$BU$842,MATCH($BP1064,'WB HCW &amp; Beds'!$BS$838:$BS$842,0))*100</f>
        <v>2.3800000000000003</v>
      </c>
    </row>
    <row r="1065" spans="2:69" x14ac:dyDescent="0.75">
      <c r="B1065" s="43" t="s">
        <v>470</v>
      </c>
      <c r="C1065" s="43" t="s">
        <v>471</v>
      </c>
      <c r="D1065" s="43" t="s">
        <v>632</v>
      </c>
      <c r="E1065" s="43" t="s">
        <v>633</v>
      </c>
      <c r="F1065" s="43">
        <v>1.8439760181732765</v>
      </c>
      <c r="G1065" s="43"/>
      <c r="H1065" s="43"/>
      <c r="I1065" s="43"/>
      <c r="J1065" s="43"/>
      <c r="K1065" s="43"/>
      <c r="L1065" s="43"/>
      <c r="M1065" s="43"/>
      <c r="N1065" s="43"/>
      <c r="O1065" s="43"/>
      <c r="P1065" s="43">
        <v>1.9069529216601422</v>
      </c>
      <c r="Q1065" s="43"/>
      <c r="R1065" s="43"/>
      <c r="S1065" s="43"/>
      <c r="T1065" s="43"/>
      <c r="U1065" s="43"/>
      <c r="V1065" s="43"/>
      <c r="W1065" s="43"/>
      <c r="X1065" s="43"/>
      <c r="Y1065" s="43"/>
      <c r="Z1065" s="43">
        <v>1.7473105473612334</v>
      </c>
      <c r="AA1065" s="43">
        <v>1.7520005838595081</v>
      </c>
      <c r="AB1065" s="43"/>
      <c r="AC1065" s="43"/>
      <c r="AD1065" s="43"/>
      <c r="AE1065" s="43"/>
      <c r="AF1065" s="43"/>
      <c r="AG1065" s="43"/>
      <c r="AH1065" s="43"/>
      <c r="AI1065" s="43"/>
      <c r="AJ1065" s="43">
        <v>1.7499535727126978</v>
      </c>
      <c r="AK1065" s="43"/>
      <c r="AL1065" s="43"/>
      <c r="AM1065" s="43"/>
      <c r="AN1065" s="43"/>
      <c r="AO1065" s="43"/>
      <c r="AP1065" s="43"/>
      <c r="AQ1065" s="43"/>
      <c r="AR1065" s="43"/>
      <c r="AS1065" s="43"/>
      <c r="AT1065" s="43">
        <v>1.6436750718705841</v>
      </c>
      <c r="AU1065" s="43">
        <v>1.6236523843981892</v>
      </c>
      <c r="AV1065" s="43">
        <v>1.6468667484683379</v>
      </c>
      <c r="AW1065" s="43">
        <v>1.646571080013123</v>
      </c>
      <c r="AX1065" s="43">
        <v>1.6761964363880009</v>
      </c>
      <c r="AY1065" s="43">
        <v>1.6734739443482836</v>
      </c>
      <c r="AZ1065" s="43">
        <v>1.7121248199255614</v>
      </c>
      <c r="BA1065" s="43">
        <v>1.6721220267037615</v>
      </c>
      <c r="BB1065" s="43">
        <v>1.6216907116887045</v>
      </c>
      <c r="BC1065" s="43">
        <v>1.5134445200018878</v>
      </c>
      <c r="BD1065" s="43">
        <v>1.5884314964685946</v>
      </c>
      <c r="BE1065" s="43">
        <v>1.2333075724781077</v>
      </c>
      <c r="BF1065" s="43">
        <v>0.82708115018422279</v>
      </c>
      <c r="BG1065" s="43">
        <v>1.1630078505323143</v>
      </c>
      <c r="BH1065" s="43">
        <v>1.5166967169273771</v>
      </c>
      <c r="BI1065" s="43"/>
      <c r="BJ1065" s="43"/>
      <c r="BK1065" s="43"/>
      <c r="BL1065" s="43"/>
      <c r="BM1065" s="43"/>
      <c r="BN1065" s="56">
        <f t="shared" si="28"/>
        <v>1.5166967169273771</v>
      </c>
      <c r="BO1065" s="428">
        <f>IF(BN1065="No reported value",INDEX('WB HCW &amp; Beds'!$BU$831:$BU$835,MATCH($BP1065,'WB HCW &amp; Beds'!$BS$831:$BS$835,0)),$BN1065)</f>
        <v>1.5166967169273771</v>
      </c>
      <c r="BP1065" s="132" t="str">
        <f>INDEX('HCW + Staff Summary'!$E$7:$E$270,MATCH($B1065,'HCW + Staff Summary'!$B$7:$B$270,0))</f>
        <v>OUT</v>
      </c>
      <c r="BQ1065" s="429">
        <f>INDEX('WB HCW &amp; Beds'!$BU$838:$BU$842,MATCH($BP1065,'WB HCW &amp; Beds'!$BS$838:$BS$842,0))*100</f>
        <v>2.7250000000000001</v>
      </c>
    </row>
    <row r="1066" spans="2:69" x14ac:dyDescent="0.75">
      <c r="B1066" s="43" t="s">
        <v>256</v>
      </c>
      <c r="C1066" s="43" t="s">
        <v>141</v>
      </c>
      <c r="D1066" s="43" t="s">
        <v>632</v>
      </c>
      <c r="E1066" s="43" t="s">
        <v>633</v>
      </c>
      <c r="F1066" s="43">
        <v>2.5</v>
      </c>
      <c r="G1066" s="43"/>
      <c r="H1066" s="43"/>
      <c r="I1066" s="43"/>
      <c r="J1066" s="43"/>
      <c r="K1066" s="43"/>
      <c r="L1066" s="43"/>
      <c r="M1066" s="43"/>
      <c r="N1066" s="43"/>
      <c r="O1066" s="43"/>
      <c r="P1066" s="43">
        <v>2.59299993515015</v>
      </c>
      <c r="Q1066" s="43"/>
      <c r="R1066" s="43"/>
      <c r="S1066" s="43"/>
      <c r="T1066" s="43"/>
      <c r="U1066" s="43"/>
      <c r="V1066" s="43"/>
      <c r="W1066" s="43"/>
      <c r="X1066" s="43"/>
      <c r="Y1066" s="43"/>
      <c r="Z1066" s="43">
        <v>3.4467999935150102</v>
      </c>
      <c r="AA1066" s="43">
        <v>3.53940010070801</v>
      </c>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v>3.2000000477000001</v>
      </c>
      <c r="AV1066" s="43"/>
      <c r="AW1066" s="43"/>
      <c r="AX1066" s="43">
        <v>2.4</v>
      </c>
      <c r="AY1066" s="43"/>
      <c r="AZ1066" s="43"/>
      <c r="BA1066" s="43"/>
      <c r="BB1066" s="43">
        <v>2.4</v>
      </c>
      <c r="BC1066" s="43"/>
      <c r="BD1066" s="43">
        <v>2.6</v>
      </c>
      <c r="BE1066" s="43"/>
      <c r="BF1066" s="43"/>
      <c r="BG1066" s="43"/>
      <c r="BH1066" s="43"/>
      <c r="BI1066" s="43"/>
      <c r="BJ1066" s="43"/>
      <c r="BK1066" s="43"/>
      <c r="BL1066" s="43"/>
      <c r="BM1066" s="43"/>
      <c r="BN1066" s="56">
        <f t="shared" si="28"/>
        <v>2.6</v>
      </c>
      <c r="BO1066" s="428">
        <f>IF(BN1066="No reported value",INDEX('WB HCW &amp; Beds'!$BU$831:$BU$835,MATCH($BP1066,'WB HCW &amp; Beds'!$BS$831:$BS$835,0)),$BN1066)</f>
        <v>2.6</v>
      </c>
      <c r="BP1066" s="132" t="str">
        <f>INDEX('HCW + Staff Summary'!$E$7:$E$270,MATCH($B1066,'HCW + Staff Summary'!$B$7:$B$270,0))</f>
        <v>Upper middle income</v>
      </c>
      <c r="BQ1066" s="429">
        <f>INDEX('WB HCW &amp; Beds'!$BU$838:$BU$842,MATCH($BP1066,'WB HCW &amp; Beds'!$BS$838:$BS$842,0))*100</f>
        <v>3.32</v>
      </c>
    </row>
    <row r="1067" spans="2:69" x14ac:dyDescent="0.75">
      <c r="B1067" s="43" t="s">
        <v>526</v>
      </c>
      <c r="C1067" s="43" t="s">
        <v>527</v>
      </c>
      <c r="D1067" s="43" t="s">
        <v>632</v>
      </c>
      <c r="E1067" s="43" t="s">
        <v>633</v>
      </c>
      <c r="F1067" s="43">
        <v>0.50630844011821574</v>
      </c>
      <c r="G1067" s="43"/>
      <c r="H1067" s="43"/>
      <c r="I1067" s="43"/>
      <c r="J1067" s="43"/>
      <c r="K1067" s="43"/>
      <c r="L1067" s="43"/>
      <c r="M1067" s="43"/>
      <c r="N1067" s="43"/>
      <c r="O1067" s="43"/>
      <c r="P1067" s="43">
        <v>0.58514162500468481</v>
      </c>
      <c r="Q1067" s="43"/>
      <c r="R1067" s="43"/>
      <c r="S1067" s="43"/>
      <c r="T1067" s="43"/>
      <c r="U1067" s="43">
        <v>0.62665708729566538</v>
      </c>
      <c r="V1067" s="43"/>
      <c r="W1067" s="43"/>
      <c r="X1067" s="43"/>
      <c r="Y1067" s="43"/>
      <c r="Z1067" s="43">
        <v>0.72945337708162117</v>
      </c>
      <c r="AA1067" s="43">
        <v>0.73184895803921313</v>
      </c>
      <c r="AB1067" s="43"/>
      <c r="AC1067" s="43"/>
      <c r="AD1067" s="43"/>
      <c r="AE1067" s="43">
        <v>0.70908290144914998</v>
      </c>
      <c r="AF1067" s="43"/>
      <c r="AG1067" s="43">
        <v>0.70241016978022341</v>
      </c>
      <c r="AH1067" s="43"/>
      <c r="AI1067" s="43"/>
      <c r="AJ1067" s="43"/>
      <c r="AK1067" s="43">
        <v>0.71941374022195159</v>
      </c>
      <c r="AL1067" s="43"/>
      <c r="AM1067" s="43"/>
      <c r="AN1067" s="43"/>
      <c r="AO1067" s="43"/>
      <c r="AP1067" s="43"/>
      <c r="AQ1067" s="43"/>
      <c r="AR1067" s="43"/>
      <c r="AS1067" s="43"/>
      <c r="AT1067" s="43"/>
      <c r="AU1067" s="43"/>
      <c r="AV1067" s="43">
        <v>0.67765124019247158</v>
      </c>
      <c r="AW1067" s="43">
        <v>0.86737903302951891</v>
      </c>
      <c r="AX1067" s="43"/>
      <c r="AY1067" s="43">
        <v>0.81325691749772511</v>
      </c>
      <c r="AZ1067" s="43"/>
      <c r="BA1067" s="43"/>
      <c r="BB1067" s="43"/>
      <c r="BC1067" s="43"/>
      <c r="BD1067" s="43"/>
      <c r="BE1067" s="43">
        <v>0.67426183450707411</v>
      </c>
      <c r="BF1067" s="43"/>
      <c r="BG1067" s="43"/>
      <c r="BH1067" s="43"/>
      <c r="BI1067" s="43"/>
      <c r="BJ1067" s="43"/>
      <c r="BK1067" s="43"/>
      <c r="BL1067" s="43"/>
      <c r="BM1067" s="43"/>
      <c r="BN1067" s="56">
        <f t="shared" si="28"/>
        <v>0.67426183450707411</v>
      </c>
      <c r="BO1067" s="428">
        <f>IF(BN1067="No reported value",INDEX('WB HCW &amp; Beds'!$BU$831:$BU$835,MATCH($BP1067,'WB HCW &amp; Beds'!$BS$831:$BS$835,0)),$BN1067)</f>
        <v>0.67426183450707411</v>
      </c>
      <c r="BP1067" s="132" t="str">
        <f>INDEX('HCW + Staff Summary'!$E$7:$E$270,MATCH($B1067,'HCW + Staff Summary'!$B$7:$B$270,0))</f>
        <v>OUT</v>
      </c>
      <c r="BQ1067" s="429">
        <f>INDEX('WB HCW &amp; Beds'!$BU$838:$BU$842,MATCH($BP1067,'WB HCW &amp; Beds'!$BS$838:$BS$842,0))*100</f>
        <v>2.7250000000000001</v>
      </c>
    </row>
    <row r="1068" spans="2:69" x14ac:dyDescent="0.75">
      <c r="B1068" s="43" t="s">
        <v>542</v>
      </c>
      <c r="C1068" s="43" t="s">
        <v>543</v>
      </c>
      <c r="D1068" s="43" t="s">
        <v>632</v>
      </c>
      <c r="E1068" s="43" t="s">
        <v>633</v>
      </c>
      <c r="F1068" s="43">
        <v>1.3992890315360276</v>
      </c>
      <c r="G1068" s="43"/>
      <c r="H1068" s="43"/>
      <c r="I1068" s="43"/>
      <c r="J1068" s="43"/>
      <c r="K1068" s="43"/>
      <c r="L1068" s="43"/>
      <c r="M1068" s="43"/>
      <c r="N1068" s="43"/>
      <c r="O1068" s="43"/>
      <c r="P1068" s="43">
        <v>1.3586140938132973</v>
      </c>
      <c r="Q1068" s="43"/>
      <c r="R1068" s="43"/>
      <c r="S1068" s="43"/>
      <c r="T1068" s="43"/>
      <c r="U1068" s="43">
        <v>1.2786763405983781</v>
      </c>
      <c r="V1068" s="43"/>
      <c r="W1068" s="43"/>
      <c r="X1068" s="43"/>
      <c r="Y1068" s="43"/>
      <c r="Z1068" s="43"/>
      <c r="AA1068" s="43"/>
      <c r="AB1068" s="43"/>
      <c r="AC1068" s="43"/>
      <c r="AD1068" s="43"/>
      <c r="AE1068" s="43"/>
      <c r="AF1068" s="43"/>
      <c r="AG1068" s="43"/>
      <c r="AH1068" s="43"/>
      <c r="AI1068" s="43"/>
      <c r="AJ1068" s="43">
        <v>1.2125754223136327</v>
      </c>
      <c r="AK1068" s="43"/>
      <c r="AL1068" s="43"/>
      <c r="AM1068" s="43"/>
      <c r="AN1068" s="43"/>
      <c r="AO1068" s="43"/>
      <c r="AP1068" s="43"/>
      <c r="AQ1068" s="43"/>
      <c r="AR1068" s="43"/>
      <c r="AS1068" s="43"/>
      <c r="AT1068" s="43"/>
      <c r="AU1068" s="43"/>
      <c r="AV1068" s="43"/>
      <c r="AW1068" s="43"/>
      <c r="AX1068" s="43"/>
      <c r="AY1068" s="43"/>
      <c r="AZ1068" s="43"/>
      <c r="BA1068" s="43"/>
      <c r="BB1068" s="43"/>
      <c r="BC1068" s="43"/>
      <c r="BD1068" s="43"/>
      <c r="BE1068" s="43"/>
      <c r="BF1068" s="43"/>
      <c r="BG1068" s="43"/>
      <c r="BH1068" s="43"/>
      <c r="BI1068" s="43"/>
      <c r="BJ1068" s="43"/>
      <c r="BK1068" s="43"/>
      <c r="BL1068" s="43"/>
      <c r="BM1068" s="43"/>
      <c r="BN1068" s="56">
        <f t="shared" si="28"/>
        <v>1.2125754223136327</v>
      </c>
      <c r="BO1068" s="428">
        <f>IF(BN1068="No reported value",INDEX('WB HCW &amp; Beds'!$BU$831:$BU$835,MATCH($BP1068,'WB HCW &amp; Beds'!$BS$831:$BS$835,0)),$BN1068)</f>
        <v>1.2125754223136327</v>
      </c>
      <c r="BP1068" s="132" t="str">
        <f>INDEX('HCW + Staff Summary'!$E$7:$E$270,MATCH($B1068,'HCW + Staff Summary'!$B$7:$B$270,0))</f>
        <v>OUT</v>
      </c>
      <c r="BQ1068" s="429">
        <f>INDEX('WB HCW &amp; Beds'!$BU$838:$BU$842,MATCH($BP1068,'WB HCW &amp; Beds'!$BS$838:$BS$842,0))*100</f>
        <v>2.7250000000000001</v>
      </c>
    </row>
    <row r="1069" spans="2:69" x14ac:dyDescent="0.75">
      <c r="B1069" s="43" t="s">
        <v>549</v>
      </c>
      <c r="C1069" s="43" t="s">
        <v>142</v>
      </c>
      <c r="D1069" s="43" t="s">
        <v>632</v>
      </c>
      <c r="E1069" s="43" t="s">
        <v>633</v>
      </c>
      <c r="F1069" s="43">
        <v>5.58956098556519</v>
      </c>
      <c r="G1069" s="43"/>
      <c r="H1069" s="43"/>
      <c r="I1069" s="43"/>
      <c r="J1069" s="43"/>
      <c r="K1069" s="43"/>
      <c r="L1069" s="43"/>
      <c r="M1069" s="43"/>
      <c r="N1069" s="43"/>
      <c r="O1069" s="43"/>
      <c r="P1069" s="43">
        <v>4.9433999061584499</v>
      </c>
      <c r="Q1069" s="43"/>
      <c r="R1069" s="43"/>
      <c r="S1069" s="43"/>
      <c r="T1069" s="43"/>
      <c r="U1069" s="43">
        <v>4.9851999282836896</v>
      </c>
      <c r="V1069" s="43"/>
      <c r="W1069" s="43"/>
      <c r="X1069" s="43"/>
      <c r="Y1069" s="43"/>
      <c r="Z1069" s="43"/>
      <c r="AA1069" s="43"/>
      <c r="AB1069" s="43"/>
      <c r="AC1069" s="43"/>
      <c r="AD1069" s="43"/>
      <c r="AE1069" s="43"/>
      <c r="AF1069" s="43">
        <v>5.0373001098632804</v>
      </c>
      <c r="AG1069" s="43"/>
      <c r="AH1069" s="43"/>
      <c r="AI1069" s="43"/>
      <c r="AJ1069" s="43">
        <v>4</v>
      </c>
      <c r="AK1069" s="43"/>
      <c r="AL1069" s="43"/>
      <c r="AM1069" s="43">
        <v>3.2425999641000001</v>
      </c>
      <c r="AN1069" s="43"/>
      <c r="AO1069" s="43">
        <v>3.8</v>
      </c>
      <c r="AP1069" s="43">
        <v>5.1100001334999998</v>
      </c>
      <c r="AQ1069" s="43"/>
      <c r="AR1069" s="43"/>
      <c r="AS1069" s="43"/>
      <c r="AT1069" s="43">
        <v>3.3</v>
      </c>
      <c r="AU1069" s="43">
        <v>3.4000000953999998</v>
      </c>
      <c r="AV1069" s="43"/>
      <c r="AW1069" s="43">
        <v>3.3</v>
      </c>
      <c r="AX1069" s="43"/>
      <c r="AY1069" s="43">
        <v>2.6</v>
      </c>
      <c r="AZ1069" s="43">
        <v>2.7</v>
      </c>
      <c r="BA1069" s="43">
        <v>2.7</v>
      </c>
      <c r="BB1069" s="43">
        <v>2.5</v>
      </c>
      <c r="BC1069" s="43">
        <v>2.6</v>
      </c>
      <c r="BD1069" s="43">
        <v>2.1</v>
      </c>
      <c r="BE1069" s="43"/>
      <c r="BF1069" s="43">
        <v>2.7</v>
      </c>
      <c r="BG1069" s="43">
        <v>2.7</v>
      </c>
      <c r="BH1069" s="43">
        <v>3</v>
      </c>
      <c r="BI1069" s="43"/>
      <c r="BJ1069" s="43"/>
      <c r="BK1069" s="43"/>
      <c r="BL1069" s="43"/>
      <c r="BM1069" s="43"/>
      <c r="BN1069" s="56">
        <f t="shared" si="28"/>
        <v>3</v>
      </c>
      <c r="BO1069" s="428">
        <f>IF(BN1069="No reported value",INDEX('WB HCW &amp; Beds'!$BU$831:$BU$835,MATCH($BP1069,'WB HCW &amp; Beds'!$BS$831:$BS$835,0)),$BN1069)</f>
        <v>3</v>
      </c>
      <c r="BP1069" s="132" t="str">
        <f>INDEX('HCW + Staff Summary'!$E$7:$E$270,MATCH($B1069,'HCW + Staff Summary'!$B$7:$B$270,0))</f>
        <v>High income</v>
      </c>
      <c r="BQ1069" s="429">
        <f>INDEX('WB HCW &amp; Beds'!$BU$838:$BU$842,MATCH($BP1069,'WB HCW &amp; Beds'!$BS$838:$BS$842,0))*100</f>
        <v>3.5700000000000003</v>
      </c>
    </row>
    <row r="1070" spans="2:69" x14ac:dyDescent="0.75">
      <c r="B1070" s="43" t="s">
        <v>550</v>
      </c>
      <c r="C1070" s="43" t="s">
        <v>143</v>
      </c>
      <c r="D1070" s="43" t="s">
        <v>632</v>
      </c>
      <c r="E1070" s="43" t="s">
        <v>633</v>
      </c>
      <c r="F1070" s="43">
        <v>2.4676616191864</v>
      </c>
      <c r="G1070" s="43"/>
      <c r="H1070" s="43"/>
      <c r="I1070" s="43"/>
      <c r="J1070" s="43"/>
      <c r="K1070" s="43"/>
      <c r="L1070" s="43"/>
      <c r="M1070" s="43"/>
      <c r="N1070" s="43"/>
      <c r="O1070" s="43"/>
      <c r="P1070" s="43">
        <v>2.4442999362945601</v>
      </c>
      <c r="Q1070" s="43"/>
      <c r="R1070" s="43"/>
      <c r="S1070" s="43"/>
      <c r="T1070" s="43"/>
      <c r="U1070" s="43">
        <v>2.5</v>
      </c>
      <c r="V1070" s="43"/>
      <c r="W1070" s="43"/>
      <c r="X1070" s="43"/>
      <c r="Y1070" s="43"/>
      <c r="Z1070" s="43">
        <v>2.1257998943328902</v>
      </c>
      <c r="AA1070" s="43"/>
      <c r="AB1070" s="43"/>
      <c r="AC1070" s="43"/>
      <c r="AD1070" s="43"/>
      <c r="AE1070" s="43"/>
      <c r="AF1070" s="43"/>
      <c r="AG1070" s="43"/>
      <c r="AH1070" s="43"/>
      <c r="AI1070" s="43">
        <v>1.9657000303268399</v>
      </c>
      <c r="AJ1070" s="43">
        <v>1.9167000055000001</v>
      </c>
      <c r="AK1070" s="43">
        <v>2.0123000145000001</v>
      </c>
      <c r="AL1070" s="43">
        <v>2.8573000431</v>
      </c>
      <c r="AM1070" s="43"/>
      <c r="AN1070" s="43">
        <v>1.7615000009999999</v>
      </c>
      <c r="AO1070" s="43"/>
      <c r="AP1070" s="43">
        <v>2</v>
      </c>
      <c r="AQ1070" s="43">
        <v>1.7000000476999999</v>
      </c>
      <c r="AR1070" s="43"/>
      <c r="AS1070" s="43"/>
      <c r="AT1070" s="43">
        <v>1.7</v>
      </c>
      <c r="AU1070" s="43">
        <v>1.7</v>
      </c>
      <c r="AV1070" s="43">
        <v>1.7</v>
      </c>
      <c r="AW1070" s="43">
        <v>1.7</v>
      </c>
      <c r="AX1070" s="43">
        <v>2.1</v>
      </c>
      <c r="AY1070" s="43">
        <v>1.8</v>
      </c>
      <c r="AZ1070" s="43">
        <v>2</v>
      </c>
      <c r="BA1070" s="43">
        <v>1.8</v>
      </c>
      <c r="BB1070" s="43">
        <v>2</v>
      </c>
      <c r="BC1070" s="43">
        <v>2.1</v>
      </c>
      <c r="BD1070" s="43">
        <v>2.1</v>
      </c>
      <c r="BE1070" s="43">
        <v>2.1</v>
      </c>
      <c r="BF1070" s="43">
        <v>2.1</v>
      </c>
      <c r="BG1070" s="43">
        <v>2.1</v>
      </c>
      <c r="BH1070" s="43">
        <v>2.2000000000000002</v>
      </c>
      <c r="BI1070" s="43">
        <v>2.2999999999999998</v>
      </c>
      <c r="BJ1070" s="43"/>
      <c r="BK1070" s="43"/>
      <c r="BL1070" s="43"/>
      <c r="BM1070" s="43"/>
      <c r="BN1070" s="56">
        <f t="shared" si="28"/>
        <v>2.2999999999999998</v>
      </c>
      <c r="BO1070" s="428">
        <f>IF(BN1070="No reported value",INDEX('WB HCW &amp; Beds'!$BU$831:$BU$835,MATCH($BP1070,'WB HCW &amp; Beds'!$BS$831:$BS$835,0)),$BN1070)</f>
        <v>2.2999999999999998</v>
      </c>
      <c r="BP1070" s="132" t="str">
        <f>INDEX('HCW + Staff Summary'!$E$7:$E$270,MATCH($B1070,'HCW + Staff Summary'!$B$7:$B$270,0))</f>
        <v>Lower middle income</v>
      </c>
      <c r="BQ1070" s="429">
        <f>INDEX('WB HCW &amp; Beds'!$BU$838:$BU$842,MATCH($BP1070,'WB HCW &amp; Beds'!$BS$838:$BS$842,0))*100</f>
        <v>2.3800000000000003</v>
      </c>
    </row>
    <row r="1071" spans="2:69" x14ac:dyDescent="0.75">
      <c r="B1071" s="43" t="s">
        <v>551</v>
      </c>
      <c r="C1071" s="43" t="s">
        <v>144</v>
      </c>
      <c r="D1071" s="43" t="s">
        <v>632</v>
      </c>
      <c r="E1071" s="43" t="s">
        <v>633</v>
      </c>
      <c r="F1071" s="43">
        <v>1.70000004768372</v>
      </c>
      <c r="G1071" s="43"/>
      <c r="H1071" s="43"/>
      <c r="I1071" s="43"/>
      <c r="J1071" s="43"/>
      <c r="K1071" s="43">
        <v>1.79999995231628</v>
      </c>
      <c r="L1071" s="43"/>
      <c r="M1071" s="43"/>
      <c r="N1071" s="43"/>
      <c r="O1071" s="43"/>
      <c r="P1071" s="43">
        <v>2</v>
      </c>
      <c r="Q1071" s="43"/>
      <c r="R1071" s="43"/>
      <c r="S1071" s="43"/>
      <c r="T1071" s="43"/>
      <c r="U1071" s="43">
        <v>2</v>
      </c>
      <c r="V1071" s="43"/>
      <c r="W1071" s="43"/>
      <c r="X1071" s="43"/>
      <c r="Y1071" s="43"/>
      <c r="Z1071" s="43">
        <v>2.2000000476837198</v>
      </c>
      <c r="AA1071" s="43"/>
      <c r="AB1071" s="43"/>
      <c r="AC1071" s="43"/>
      <c r="AD1071" s="43"/>
      <c r="AE1071" s="43">
        <v>2.0999999046325701</v>
      </c>
      <c r="AF1071" s="43">
        <v>2.0999999046325701</v>
      </c>
      <c r="AG1071" s="43">
        <v>2.0999999046325701</v>
      </c>
      <c r="AH1071" s="43">
        <v>2.0999999046325701</v>
      </c>
      <c r="AI1071" s="43">
        <v>2.0999999046325701</v>
      </c>
      <c r="AJ1071" s="43">
        <v>2.4000000953999998</v>
      </c>
      <c r="AK1071" s="43">
        <v>2.4000000953999998</v>
      </c>
      <c r="AL1071" s="43">
        <v>2.4000000953999998</v>
      </c>
      <c r="AM1071" s="43">
        <v>2.5</v>
      </c>
      <c r="AN1071" s="43">
        <v>2.5</v>
      </c>
      <c r="AO1071" s="43">
        <v>2.5</v>
      </c>
      <c r="AP1071" s="43">
        <v>2.5</v>
      </c>
      <c r="AQ1071" s="43">
        <v>2.5</v>
      </c>
      <c r="AR1071" s="43">
        <v>2.5</v>
      </c>
      <c r="AS1071" s="43">
        <v>2.5999999046000002</v>
      </c>
      <c r="AT1071" s="43">
        <v>2.1</v>
      </c>
      <c r="AU1071" s="43">
        <v>2.2000000000000002</v>
      </c>
      <c r="AV1071" s="43">
        <v>2.2999999999999998</v>
      </c>
      <c r="AW1071" s="43">
        <v>2.2000000000000002</v>
      </c>
      <c r="AX1071" s="43">
        <v>2.2000000000000002</v>
      </c>
      <c r="AY1071" s="43">
        <v>2.2999999999999998</v>
      </c>
      <c r="AZ1071" s="43">
        <v>2.2999999999999998</v>
      </c>
      <c r="BA1071" s="43">
        <v>2.2999999999999998</v>
      </c>
      <c r="BB1071" s="43">
        <v>2.2999999999999998</v>
      </c>
      <c r="BC1071" s="43">
        <v>2.5</v>
      </c>
      <c r="BD1071" s="43">
        <v>2.5</v>
      </c>
      <c r="BE1071" s="43">
        <v>2.5</v>
      </c>
      <c r="BF1071" s="43">
        <v>2.7</v>
      </c>
      <c r="BG1071" s="43">
        <v>2.7</v>
      </c>
      <c r="BH1071" s="43"/>
      <c r="BI1071" s="43"/>
      <c r="BJ1071" s="43"/>
      <c r="BK1071" s="43"/>
      <c r="BL1071" s="43"/>
      <c r="BM1071" s="43"/>
      <c r="BN1071" s="56">
        <f t="shared" si="28"/>
        <v>2.7</v>
      </c>
      <c r="BO1071" s="428">
        <f>IF(BN1071="No reported value",INDEX('WB HCW &amp; Beds'!$BU$831:$BU$835,MATCH($BP1071,'WB HCW &amp; Beds'!$BS$831:$BS$835,0)),$BN1071)</f>
        <v>2.7</v>
      </c>
      <c r="BP1071" s="132" t="str">
        <f>INDEX('HCW + Staff Summary'!$E$7:$E$270,MATCH($B1071,'HCW + Staff Summary'!$B$7:$B$270,0))</f>
        <v>Upper middle income</v>
      </c>
      <c r="BQ1071" s="429">
        <f>INDEX('WB HCW &amp; Beds'!$BU$838:$BU$842,MATCH($BP1071,'WB HCW &amp; Beds'!$BS$838:$BS$842,0))*100</f>
        <v>3.32</v>
      </c>
    </row>
    <row r="1072" spans="2:69" x14ac:dyDescent="0.75">
      <c r="B1072" s="43" t="s">
        <v>257</v>
      </c>
      <c r="C1072" s="43" t="s">
        <v>145</v>
      </c>
      <c r="D1072" s="43" t="s">
        <v>632</v>
      </c>
      <c r="E1072" s="43" t="s">
        <v>633</v>
      </c>
      <c r="F1072" s="43"/>
      <c r="G1072" s="43"/>
      <c r="H1072" s="43"/>
      <c r="I1072" s="43"/>
      <c r="J1072" s="43"/>
      <c r="K1072" s="43"/>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c r="AT1072" s="43"/>
      <c r="AU1072" s="43">
        <v>5.6</v>
      </c>
      <c r="AV1072" s="43"/>
      <c r="AW1072" s="43"/>
      <c r="AX1072" s="43"/>
      <c r="AY1072" s="43"/>
      <c r="AZ1072" s="43"/>
      <c r="BA1072" s="43"/>
      <c r="BB1072" s="43"/>
      <c r="BC1072" s="43"/>
      <c r="BD1072" s="43"/>
      <c r="BE1072" s="43"/>
      <c r="BF1072" s="43"/>
      <c r="BG1072" s="43"/>
      <c r="BH1072" s="43"/>
      <c r="BI1072" s="43"/>
      <c r="BJ1072" s="43"/>
      <c r="BK1072" s="43"/>
      <c r="BL1072" s="43"/>
      <c r="BM1072" s="43"/>
      <c r="BN1072" s="56">
        <f t="shared" si="28"/>
        <v>5.6</v>
      </c>
      <c r="BO1072" s="428">
        <f>IF(BN1072="No reported value",INDEX('WB HCW &amp; Beds'!$BU$831:$BU$835,MATCH($BP1072,'WB HCW &amp; Beds'!$BS$831:$BS$835,0)),$BN1072)</f>
        <v>5.6</v>
      </c>
      <c r="BP1072" s="132" t="str">
        <f>INDEX('HCW + Staff Summary'!$E$7:$E$270,MATCH($B1072,'HCW + Staff Summary'!$B$7:$B$270,0))</f>
        <v>Upper middle income</v>
      </c>
      <c r="BQ1072" s="429">
        <f>INDEX('WB HCW &amp; Beds'!$BU$838:$BU$842,MATCH($BP1072,'WB HCW &amp; Beds'!$BS$838:$BS$842,0))*100</f>
        <v>3.32</v>
      </c>
    </row>
    <row r="1073" spans="2:69" x14ac:dyDescent="0.75">
      <c r="B1073" s="43" t="s">
        <v>547</v>
      </c>
      <c r="C1073" s="43" t="s">
        <v>146</v>
      </c>
      <c r="D1073" s="43" t="s">
        <v>632</v>
      </c>
      <c r="E1073" s="43" t="s">
        <v>633</v>
      </c>
      <c r="F1073" s="43">
        <v>1.49044585227966</v>
      </c>
      <c r="G1073" s="43"/>
      <c r="H1073" s="43"/>
      <c r="I1073" s="43"/>
      <c r="J1073" s="43"/>
      <c r="K1073" s="43"/>
      <c r="L1073" s="43"/>
      <c r="M1073" s="43"/>
      <c r="N1073" s="43"/>
      <c r="O1073" s="43"/>
      <c r="P1073" s="43"/>
      <c r="Q1073" s="43"/>
      <c r="R1073" s="43"/>
      <c r="S1073" s="43"/>
      <c r="T1073" s="43"/>
      <c r="U1073" s="43"/>
      <c r="V1073" s="43">
        <v>1.4313000440597501</v>
      </c>
      <c r="W1073" s="43"/>
      <c r="X1073" s="43">
        <v>1.4371999502182</v>
      </c>
      <c r="Y1073" s="43"/>
      <c r="Z1073" s="43">
        <v>1.39750003814697</v>
      </c>
      <c r="AA1073" s="43"/>
      <c r="AB1073" s="43">
        <v>1.36580002307892</v>
      </c>
      <c r="AC1073" s="43"/>
      <c r="AD1073" s="43">
        <v>1.30309998989105</v>
      </c>
      <c r="AE1073" s="43"/>
      <c r="AF1073" s="43"/>
      <c r="AG1073" s="43"/>
      <c r="AH1073" s="43">
        <v>1.0903999805450399</v>
      </c>
      <c r="AI1073" s="43"/>
      <c r="AJ1073" s="43">
        <v>1.0246000289999999</v>
      </c>
      <c r="AK1073" s="43"/>
      <c r="AL1073" s="43">
        <v>0.89029997589999998</v>
      </c>
      <c r="AM1073" s="43"/>
      <c r="AN1073" s="43"/>
      <c r="AO1073" s="43"/>
      <c r="AP1073" s="43"/>
      <c r="AQ1073" s="43"/>
      <c r="AR1073" s="43"/>
      <c r="AS1073" s="43"/>
      <c r="AT1073" s="43"/>
      <c r="AU1073" s="43"/>
      <c r="AV1073" s="43"/>
      <c r="AW1073" s="43"/>
      <c r="AX1073" s="43"/>
      <c r="AY1073" s="43"/>
      <c r="AZ1073" s="43">
        <v>1.1000000000000001</v>
      </c>
      <c r="BA1073" s="43"/>
      <c r="BB1073" s="43"/>
      <c r="BC1073" s="43"/>
      <c r="BD1073" s="43">
        <v>0.7</v>
      </c>
      <c r="BE1073" s="43"/>
      <c r="BF1073" s="43"/>
      <c r="BG1073" s="43"/>
      <c r="BH1073" s="43"/>
      <c r="BI1073" s="43"/>
      <c r="BJ1073" s="43"/>
      <c r="BK1073" s="43"/>
      <c r="BL1073" s="43"/>
      <c r="BM1073" s="43"/>
      <c r="BN1073" s="56">
        <f t="shared" si="28"/>
        <v>0.7</v>
      </c>
      <c r="BO1073" s="428">
        <f>IF(BN1073="No reported value",INDEX('WB HCW &amp; Beds'!$BU$831:$BU$835,MATCH($BP1073,'WB HCW &amp; Beds'!$BS$831:$BS$835,0)),$BN1073)</f>
        <v>0.7</v>
      </c>
      <c r="BP1073" s="132" t="str">
        <f>INDEX('HCW + Staff Summary'!$E$7:$E$270,MATCH($B1073,'HCW + Staff Summary'!$B$7:$B$270,0))</f>
        <v>Low income</v>
      </c>
      <c r="BQ1073" s="429">
        <f>INDEX('WB HCW &amp; Beds'!$BU$838:$BU$842,MATCH($BP1073,'WB HCW &amp; Beds'!$BS$838:$BS$842,0))*100</f>
        <v>1.63</v>
      </c>
    </row>
    <row r="1074" spans="2:69" x14ac:dyDescent="0.75">
      <c r="B1074" s="43" t="s">
        <v>216</v>
      </c>
      <c r="C1074" s="43" t="s">
        <v>147</v>
      </c>
      <c r="D1074" s="43" t="s">
        <v>632</v>
      </c>
      <c r="E1074" s="43" t="s">
        <v>633</v>
      </c>
      <c r="F1074" s="43">
        <v>1.4807984828948999</v>
      </c>
      <c r="G1074" s="43"/>
      <c r="H1074" s="43"/>
      <c r="I1074" s="43"/>
      <c r="J1074" s="43"/>
      <c r="K1074" s="43"/>
      <c r="L1074" s="43"/>
      <c r="M1074" s="43"/>
      <c r="N1074" s="43"/>
      <c r="O1074" s="43"/>
      <c r="P1074" s="43">
        <v>1.55869996547699</v>
      </c>
      <c r="Q1074" s="43"/>
      <c r="R1074" s="43"/>
      <c r="S1074" s="43"/>
      <c r="T1074" s="43"/>
      <c r="U1074" s="43">
        <v>1.6484999656677199</v>
      </c>
      <c r="V1074" s="43"/>
      <c r="W1074" s="43"/>
      <c r="X1074" s="43"/>
      <c r="Y1074" s="43"/>
      <c r="Z1074" s="43"/>
      <c r="AA1074" s="43">
        <v>1.51250004768372</v>
      </c>
      <c r="AB1074" s="43"/>
      <c r="AC1074" s="43"/>
      <c r="AD1074" s="43"/>
      <c r="AE1074" s="43"/>
      <c r="AF1074" s="43"/>
      <c r="AG1074" s="43"/>
      <c r="AH1074" s="43">
        <v>1.3154000043869001</v>
      </c>
      <c r="AI1074" s="43"/>
      <c r="AJ1074" s="43"/>
      <c r="AK1074" s="43">
        <v>0.91619998219999998</v>
      </c>
      <c r="AL1074" s="43"/>
      <c r="AM1074" s="43"/>
      <c r="AN1074" s="43"/>
      <c r="AO1074" s="43"/>
      <c r="AP1074" s="43"/>
      <c r="AQ1074" s="43"/>
      <c r="AR1074" s="43"/>
      <c r="AS1074" s="43"/>
      <c r="AT1074" s="43"/>
      <c r="AU1074" s="43"/>
      <c r="AV1074" s="43"/>
      <c r="AW1074" s="43"/>
      <c r="AX1074" s="43">
        <v>0.7</v>
      </c>
      <c r="AY1074" s="43">
        <v>1</v>
      </c>
      <c r="AZ1074" s="43">
        <v>1.1000000000000001</v>
      </c>
      <c r="BA1074" s="43"/>
      <c r="BB1074" s="43"/>
      <c r="BC1074" s="43">
        <v>0.4</v>
      </c>
      <c r="BD1074" s="43">
        <v>0.5</v>
      </c>
      <c r="BE1074" s="43"/>
      <c r="BF1074" s="43"/>
      <c r="BG1074" s="43"/>
      <c r="BH1074" s="43"/>
      <c r="BI1074" s="43"/>
      <c r="BJ1074" s="43"/>
      <c r="BK1074" s="43"/>
      <c r="BL1074" s="43"/>
      <c r="BM1074" s="43"/>
      <c r="BN1074" s="56">
        <f t="shared" si="28"/>
        <v>0.5</v>
      </c>
      <c r="BO1074" s="428">
        <f>IF(BN1074="No reported value",INDEX('WB HCW &amp; Beds'!$BU$831:$BU$835,MATCH($BP1074,'WB HCW &amp; Beds'!$BS$831:$BS$835,0)),$BN1074)</f>
        <v>0.5</v>
      </c>
      <c r="BP1074" s="132" t="str">
        <f>INDEX('HCW + Staff Summary'!$E$7:$E$270,MATCH($B1074,'HCW + Staff Summary'!$B$7:$B$270,0))</f>
        <v>Low income</v>
      </c>
      <c r="BQ1074" s="429">
        <f>INDEX('WB HCW &amp; Beds'!$BU$838:$BU$842,MATCH($BP1074,'WB HCW &amp; Beds'!$BS$838:$BS$842,0))*100</f>
        <v>1.63</v>
      </c>
    </row>
    <row r="1075" spans="2:69" x14ac:dyDescent="0.75">
      <c r="B1075" s="43" t="s">
        <v>239</v>
      </c>
      <c r="C1075" s="43" t="s">
        <v>148</v>
      </c>
      <c r="D1075" s="43" t="s">
        <v>632</v>
      </c>
      <c r="E1075" s="43" t="s">
        <v>633</v>
      </c>
      <c r="F1075" s="43"/>
      <c r="G1075" s="43"/>
      <c r="H1075" s="43"/>
      <c r="I1075" s="43"/>
      <c r="J1075" s="43"/>
      <c r="K1075" s="43"/>
      <c r="L1075" s="43"/>
      <c r="M1075" s="43"/>
      <c r="N1075" s="43"/>
      <c r="O1075" s="43"/>
      <c r="P1075" s="43"/>
      <c r="Q1075" s="43"/>
      <c r="R1075" s="43"/>
      <c r="S1075" s="43"/>
      <c r="T1075" s="43"/>
      <c r="U1075" s="43"/>
      <c r="V1075" s="43"/>
      <c r="W1075" s="43"/>
      <c r="X1075" s="43"/>
      <c r="Y1075" s="43"/>
      <c r="Z1075" s="43">
        <v>12.143500328064</v>
      </c>
      <c r="AA1075" s="43">
        <v>12.253299713134799</v>
      </c>
      <c r="AB1075" s="43">
        <v>12.3577995300293</v>
      </c>
      <c r="AC1075" s="43">
        <v>12.444800376892101</v>
      </c>
      <c r="AD1075" s="43">
        <v>12.5909996032715</v>
      </c>
      <c r="AE1075" s="43">
        <v>12.694999694824199</v>
      </c>
      <c r="AF1075" s="43">
        <v>12.787599563598601</v>
      </c>
      <c r="AG1075" s="43">
        <v>12.8506002426147</v>
      </c>
      <c r="AH1075" s="43">
        <v>12.9303998947144</v>
      </c>
      <c r="AI1075" s="43">
        <v>13.006400108337401</v>
      </c>
      <c r="AJ1075" s="43">
        <v>13.013099670400001</v>
      </c>
      <c r="AK1075" s="43">
        <v>12.969099998500001</v>
      </c>
      <c r="AL1075" s="43">
        <v>12.7290000916</v>
      </c>
      <c r="AM1075" s="43">
        <v>12.470700264</v>
      </c>
      <c r="AN1075" s="43">
        <v>12.302200317400001</v>
      </c>
      <c r="AO1075" s="43">
        <v>11.890000343300001</v>
      </c>
      <c r="AP1075" s="43">
        <v>10.8400001526</v>
      </c>
      <c r="AQ1075" s="43">
        <v>9.3699998856000004</v>
      </c>
      <c r="AR1075" s="43">
        <v>9.0399999618999995</v>
      </c>
      <c r="AS1075" s="43">
        <v>8.9499998092999995</v>
      </c>
      <c r="AT1075" s="43">
        <v>8.8000000000000007</v>
      </c>
      <c r="AU1075" s="43">
        <v>8.8000000000000007</v>
      </c>
      <c r="AV1075" s="43">
        <v>8.9</v>
      </c>
      <c r="AW1075" s="43">
        <v>8.8000000000000007</v>
      </c>
      <c r="AX1075" s="43">
        <v>8.6999999999999993</v>
      </c>
      <c r="AY1075" s="43">
        <v>8.6999999999999993</v>
      </c>
      <c r="AZ1075" s="43">
        <v>8.6999999999999993</v>
      </c>
      <c r="BA1075" s="43">
        <v>8.6999999999999993</v>
      </c>
      <c r="BB1075" s="43">
        <v>8.6999999999999993</v>
      </c>
      <c r="BC1075" s="43">
        <v>9.4</v>
      </c>
      <c r="BD1075" s="43">
        <v>9.4</v>
      </c>
      <c r="BE1075" s="43">
        <v>9</v>
      </c>
      <c r="BF1075" s="43">
        <v>8.9</v>
      </c>
      <c r="BG1075" s="43">
        <v>8.8000000000000007</v>
      </c>
      <c r="BH1075" s="43"/>
      <c r="BI1075" s="43"/>
      <c r="BJ1075" s="43"/>
      <c r="BK1075" s="43"/>
      <c r="BL1075" s="43"/>
      <c r="BM1075" s="43"/>
      <c r="BN1075" s="56">
        <f t="shared" si="28"/>
        <v>8.8000000000000007</v>
      </c>
      <c r="BO1075" s="428">
        <f>IF(BN1075="No reported value",INDEX('WB HCW &amp; Beds'!$BU$831:$BU$835,MATCH($BP1075,'WB HCW &amp; Beds'!$BS$831:$BS$835,0)),$BN1075)</f>
        <v>8.8000000000000007</v>
      </c>
      <c r="BP1075" s="132" t="str">
        <f>INDEX('HCW + Staff Summary'!$E$7:$E$270,MATCH($B1075,'HCW + Staff Summary'!$B$7:$B$270,0))</f>
        <v>Lower middle income</v>
      </c>
      <c r="BQ1075" s="429">
        <f>INDEX('WB HCW &amp; Beds'!$BU$838:$BU$842,MATCH($BP1075,'WB HCW &amp; Beds'!$BS$838:$BS$842,0))*100</f>
        <v>2.3800000000000003</v>
      </c>
    </row>
    <row r="1076" spans="2:69" x14ac:dyDescent="0.75">
      <c r="B1076" s="43" t="s">
        <v>558</v>
      </c>
      <c r="C1076" s="43" t="s">
        <v>559</v>
      </c>
      <c r="D1076" s="43" t="s">
        <v>632</v>
      </c>
      <c r="E1076" s="43" t="s">
        <v>633</v>
      </c>
      <c r="F1076" s="43"/>
      <c r="G1076" s="43"/>
      <c r="H1076" s="43"/>
      <c r="I1076" s="43"/>
      <c r="J1076" s="43"/>
      <c r="K1076" s="43"/>
      <c r="L1076" s="43"/>
      <c r="M1076" s="43"/>
      <c r="N1076" s="43"/>
      <c r="O1076" s="43"/>
      <c r="P1076" s="43">
        <v>1.9364277939367331</v>
      </c>
      <c r="Q1076" s="43"/>
      <c r="R1076" s="43"/>
      <c r="S1076" s="43"/>
      <c r="T1076" s="43"/>
      <c r="U1076" s="43">
        <v>2.2107310534394715</v>
      </c>
      <c r="V1076" s="43"/>
      <c r="W1076" s="43"/>
      <c r="X1076" s="43"/>
      <c r="Y1076" s="43"/>
      <c r="Z1076" s="43">
        <v>2.5318724984461767</v>
      </c>
      <c r="AA1076" s="43"/>
      <c r="AB1076" s="43"/>
      <c r="AC1076" s="43"/>
      <c r="AD1076" s="43"/>
      <c r="AE1076" s="43">
        <v>3.9221065389211844</v>
      </c>
      <c r="AF1076" s="43">
        <v>3.9662434347042543</v>
      </c>
      <c r="AG1076" s="43">
        <v>3.9210856010692501</v>
      </c>
      <c r="AH1076" s="43">
        <v>3.9846046216753557</v>
      </c>
      <c r="AI1076" s="43">
        <v>3.9496834018352396</v>
      </c>
      <c r="AJ1076" s="43">
        <v>3.5937126485131241</v>
      </c>
      <c r="AK1076" s="43">
        <v>3.8076788705213249</v>
      </c>
      <c r="AL1076" s="43">
        <v>3.7199562937216362</v>
      </c>
      <c r="AM1076" s="43">
        <v>3.694257947389163</v>
      </c>
      <c r="AN1076" s="43">
        <v>3.6913371088419225</v>
      </c>
      <c r="AO1076" s="43">
        <v>3.6526035606908578</v>
      </c>
      <c r="AP1076" s="43">
        <v>3.3767608087201628</v>
      </c>
      <c r="AQ1076" s="43">
        <v>3.5522736421680383</v>
      </c>
      <c r="AR1076" s="43">
        <v>3.4321530606024222</v>
      </c>
      <c r="AS1076" s="43">
        <v>3.3766814402515863</v>
      </c>
      <c r="AT1076" s="43">
        <v>3.29765701562257</v>
      </c>
      <c r="AU1076" s="43">
        <v>3.2401803632726942</v>
      </c>
      <c r="AV1076" s="43">
        <v>3.1015117990210674</v>
      </c>
      <c r="AW1076" s="43">
        <v>2.8968964961739583</v>
      </c>
      <c r="AX1076" s="43">
        <v>3.3787423332201496</v>
      </c>
      <c r="AY1076" s="43">
        <v>3.1002779606771997</v>
      </c>
      <c r="AZ1076" s="43">
        <v>2.9227105982848962</v>
      </c>
      <c r="BA1076" s="43"/>
      <c r="BB1076" s="43"/>
      <c r="BC1076" s="43">
        <v>3.9621423880520306</v>
      </c>
      <c r="BD1076" s="43">
        <v>3.5643194401215084</v>
      </c>
      <c r="BE1076" s="43">
        <v>3.6251885775559125</v>
      </c>
      <c r="BF1076" s="43">
        <v>3.8496473351827474</v>
      </c>
      <c r="BG1076" s="43"/>
      <c r="BH1076" s="43"/>
      <c r="BI1076" s="43"/>
      <c r="BJ1076" s="43"/>
      <c r="BK1076" s="43"/>
      <c r="BL1076" s="43"/>
      <c r="BM1076" s="43"/>
      <c r="BN1076" s="56">
        <f t="shared" si="28"/>
        <v>3.8496473351827474</v>
      </c>
      <c r="BO1076" s="428">
        <f>IF(BN1076="No reported value",INDEX('WB HCW &amp; Beds'!$BU$831:$BU$835,MATCH($BP1076,'WB HCW &amp; Beds'!$BS$831:$BS$835,0)),$BN1076)</f>
        <v>3.8496473351827474</v>
      </c>
      <c r="BP1076" s="132" t="str">
        <f>INDEX('HCW + Staff Summary'!$E$7:$E$270,MATCH($B1076,'HCW + Staff Summary'!$B$7:$B$270,0))</f>
        <v>OUT</v>
      </c>
      <c r="BQ1076" s="429">
        <f>INDEX('WB HCW &amp; Beds'!$BU$838:$BU$842,MATCH($BP1076,'WB HCW &amp; Beds'!$BS$838:$BS$842,0))*100</f>
        <v>2.7250000000000001</v>
      </c>
    </row>
    <row r="1077" spans="2:69" x14ac:dyDescent="0.75">
      <c r="B1077" s="43" t="s">
        <v>560</v>
      </c>
      <c r="C1077" s="43" t="s">
        <v>561</v>
      </c>
      <c r="D1077" s="43" t="s">
        <v>632</v>
      </c>
      <c r="E1077" s="43" t="s">
        <v>633</v>
      </c>
      <c r="F1077" s="43">
        <v>5.5118203163146999</v>
      </c>
      <c r="G1077" s="43"/>
      <c r="H1077" s="43"/>
      <c r="I1077" s="43"/>
      <c r="J1077" s="43"/>
      <c r="K1077" s="43"/>
      <c r="L1077" s="43"/>
      <c r="M1077" s="43"/>
      <c r="N1077" s="43"/>
      <c r="O1077" s="43"/>
      <c r="P1077" s="43">
        <v>5.9127001762390101</v>
      </c>
      <c r="Q1077" s="43"/>
      <c r="R1077" s="43"/>
      <c r="S1077" s="43"/>
      <c r="T1077" s="43"/>
      <c r="U1077" s="43">
        <v>5.0018000602722203</v>
      </c>
      <c r="V1077" s="43"/>
      <c r="W1077" s="43"/>
      <c r="X1077" s="43"/>
      <c r="Y1077" s="43"/>
      <c r="Z1077" s="43"/>
      <c r="AA1077" s="43"/>
      <c r="AB1077" s="43"/>
      <c r="AC1077" s="43"/>
      <c r="AD1077" s="43"/>
      <c r="AE1077" s="43">
        <v>3.24580001831055</v>
      </c>
      <c r="AF1077" s="43"/>
      <c r="AG1077" s="43"/>
      <c r="AH1077" s="43"/>
      <c r="AI1077" s="43"/>
      <c r="AJ1077" s="43">
        <v>4.5226001739999999</v>
      </c>
      <c r="AK1077" s="43"/>
      <c r="AL1077" s="43"/>
      <c r="AM1077" s="43">
        <v>4.5</v>
      </c>
      <c r="AN1077" s="43"/>
      <c r="AO1077" s="43"/>
      <c r="AP1077" s="43">
        <v>4.3899998665000002</v>
      </c>
      <c r="AQ1077" s="43"/>
      <c r="AR1077" s="43"/>
      <c r="AS1077" s="43"/>
      <c r="AT1077" s="43"/>
      <c r="AU1077" s="43"/>
      <c r="AV1077" s="43"/>
      <c r="AW1077" s="43">
        <v>1.8999999761999999</v>
      </c>
      <c r="AX1077" s="43"/>
      <c r="AY1077" s="43">
        <v>2.4</v>
      </c>
      <c r="AZ1077" s="43">
        <v>2.9</v>
      </c>
      <c r="BA1077" s="43">
        <v>2.9</v>
      </c>
      <c r="BB1077" s="43"/>
      <c r="BC1077" s="43"/>
      <c r="BD1077" s="43">
        <v>1.2</v>
      </c>
      <c r="BE1077" s="43">
        <v>3</v>
      </c>
      <c r="BF1077" s="43">
        <v>2.5</v>
      </c>
      <c r="BG1077" s="43">
        <v>2.5</v>
      </c>
      <c r="BH1077" s="43">
        <v>2.8</v>
      </c>
      <c r="BI1077" s="43"/>
      <c r="BJ1077" s="43"/>
      <c r="BK1077" s="43"/>
      <c r="BL1077" s="43"/>
      <c r="BM1077" s="43"/>
      <c r="BN1077" s="56">
        <f t="shared" si="28"/>
        <v>2.8</v>
      </c>
      <c r="BO1077" s="428">
        <f>IF(BN1077="No reported value",INDEX('WB HCW &amp; Beds'!$BU$831:$BU$835,MATCH($BP1077,'WB HCW &amp; Beds'!$BS$831:$BS$835,0)),$BN1077)</f>
        <v>2.8</v>
      </c>
      <c r="BP1077" s="132" t="str">
        <f>INDEX('HCW + Staff Summary'!$E$7:$E$270,MATCH($B1077,'HCW + Staff Summary'!$B$7:$B$270,0))</f>
        <v>High income</v>
      </c>
      <c r="BQ1077" s="429">
        <f>INDEX('WB HCW &amp; Beds'!$BU$838:$BU$842,MATCH($BP1077,'WB HCW &amp; Beds'!$BS$838:$BS$842,0))*100</f>
        <v>3.5700000000000003</v>
      </c>
    </row>
    <row r="1078" spans="2:69" x14ac:dyDescent="0.75">
      <c r="B1078" s="43" t="s">
        <v>557</v>
      </c>
      <c r="C1078" s="43" t="s">
        <v>149</v>
      </c>
      <c r="D1078" s="43" t="s">
        <v>632</v>
      </c>
      <c r="E1078" s="43" t="s">
        <v>633</v>
      </c>
      <c r="F1078" s="43">
        <v>9.1999998092651403</v>
      </c>
      <c r="G1078" s="43"/>
      <c r="H1078" s="43"/>
      <c r="I1078" s="43"/>
      <c r="J1078" s="43"/>
      <c r="K1078" s="43">
        <v>8.8000001907348597</v>
      </c>
      <c r="L1078" s="43"/>
      <c r="M1078" s="43"/>
      <c r="N1078" s="43"/>
      <c r="O1078" s="43"/>
      <c r="P1078" s="43">
        <v>7.9000000953674299</v>
      </c>
      <c r="Q1078" s="43">
        <v>7.5</v>
      </c>
      <c r="R1078" s="43">
        <v>7.4000000953674299</v>
      </c>
      <c r="S1078" s="43">
        <v>7.1999998092651403</v>
      </c>
      <c r="T1078" s="43">
        <v>7.0999999046325701</v>
      </c>
      <c r="U1078" s="43">
        <v>6.8000001907348597</v>
      </c>
      <c r="V1078" s="43">
        <v>6.5999999046325701</v>
      </c>
      <c r="W1078" s="43">
        <v>6.4000000953674299</v>
      </c>
      <c r="X1078" s="43">
        <v>6.1999998092651403</v>
      </c>
      <c r="Y1078" s="43">
        <v>6.0999999046325701</v>
      </c>
      <c r="Z1078" s="43">
        <v>6</v>
      </c>
      <c r="AA1078" s="43">
        <v>5.9000000953674299</v>
      </c>
      <c r="AB1078" s="43">
        <v>5.9000000953674299</v>
      </c>
      <c r="AC1078" s="43">
        <v>5.8000001907348597</v>
      </c>
      <c r="AD1078" s="43">
        <v>5.6999998092651403</v>
      </c>
      <c r="AE1078" s="43">
        <v>5.5</v>
      </c>
      <c r="AF1078" s="43">
        <v>5.4000000953674299</v>
      </c>
      <c r="AG1078" s="43">
        <v>5.1999998092651403</v>
      </c>
      <c r="AH1078" s="43">
        <v>5.0999999046325701</v>
      </c>
      <c r="AI1078" s="43">
        <v>5</v>
      </c>
      <c r="AJ1078" s="43">
        <v>4.9000000954000003</v>
      </c>
      <c r="AK1078" s="43">
        <v>4.8000001906999996</v>
      </c>
      <c r="AL1078" s="43">
        <v>4.5999999045999997</v>
      </c>
      <c r="AM1078" s="43">
        <v>4.5</v>
      </c>
      <c r="AN1078" s="43">
        <v>4.3000001906999996</v>
      </c>
      <c r="AO1078" s="43">
        <v>4.0999999045999997</v>
      </c>
      <c r="AP1078" s="43">
        <v>3.9000000953999998</v>
      </c>
      <c r="AQ1078" s="43">
        <v>3.7999999522999999</v>
      </c>
      <c r="AR1078" s="43">
        <v>3.7000000477000001</v>
      </c>
      <c r="AS1078" s="43">
        <v>3.5999999046000002</v>
      </c>
      <c r="AT1078" s="43">
        <v>3.5</v>
      </c>
      <c r="AU1078" s="43">
        <v>3.5</v>
      </c>
      <c r="AV1078" s="43">
        <v>3.4000000953999998</v>
      </c>
      <c r="AW1078" s="43">
        <v>3.3</v>
      </c>
      <c r="AX1078" s="43"/>
      <c r="AY1078" s="43">
        <v>3.2</v>
      </c>
      <c r="AZ1078" s="43">
        <v>3.1</v>
      </c>
      <c r="BA1078" s="43">
        <v>3.1</v>
      </c>
      <c r="BB1078" s="43">
        <v>3.1</v>
      </c>
      <c r="BC1078" s="43">
        <v>3.1</v>
      </c>
      <c r="BD1078" s="43">
        <v>3</v>
      </c>
      <c r="BE1078" s="43">
        <v>2.9</v>
      </c>
      <c r="BF1078" s="43">
        <v>2.9</v>
      </c>
      <c r="BG1078" s="43">
        <v>2.9</v>
      </c>
      <c r="BH1078" s="43"/>
      <c r="BI1078" s="43"/>
      <c r="BJ1078" s="43"/>
      <c r="BK1078" s="43"/>
      <c r="BL1078" s="43"/>
      <c r="BM1078" s="43"/>
      <c r="BN1078" s="56">
        <f t="shared" si="28"/>
        <v>2.9</v>
      </c>
      <c r="BO1078" s="428">
        <f>IF(BN1078="No reported value",INDEX('WB HCW &amp; Beds'!$BU$831:$BU$835,MATCH($BP1078,'WB HCW &amp; Beds'!$BS$831:$BS$835,0)),$BN1078)</f>
        <v>2.9</v>
      </c>
      <c r="BP1078" s="132" t="str">
        <f>INDEX('HCW + Staff Summary'!$E$7:$E$270,MATCH($B1078,'HCW + Staff Summary'!$B$7:$B$270,0))</f>
        <v>High income</v>
      </c>
      <c r="BQ1078" s="429">
        <f>INDEX('WB HCW &amp; Beds'!$BU$838:$BU$842,MATCH($BP1078,'WB HCW &amp; Beds'!$BS$838:$BS$842,0))*100</f>
        <v>3.5700000000000003</v>
      </c>
    </row>
    <row r="1079" spans="2:69" x14ac:dyDescent="0.75">
      <c r="B1079" s="43" t="s">
        <v>562</v>
      </c>
      <c r="C1079" s="43" t="s">
        <v>150</v>
      </c>
      <c r="D1079" s="43" t="s">
        <v>632</v>
      </c>
      <c r="E1079" s="43" t="s">
        <v>633</v>
      </c>
      <c r="F1079" s="43"/>
      <c r="G1079" s="43"/>
      <c r="H1079" s="43"/>
      <c r="I1079" s="43"/>
      <c r="J1079" s="43"/>
      <c r="K1079" s="43"/>
      <c r="L1079" s="43"/>
      <c r="M1079" s="43"/>
      <c r="N1079" s="43"/>
      <c r="O1079" s="43"/>
      <c r="P1079" s="43"/>
      <c r="Q1079" s="43"/>
      <c r="R1079" s="43"/>
      <c r="S1079" s="43"/>
      <c r="T1079" s="43"/>
      <c r="U1079" s="43"/>
      <c r="V1079" s="43"/>
      <c r="W1079" s="43"/>
      <c r="X1079" s="43"/>
      <c r="Y1079" s="43"/>
      <c r="Z1079" s="43">
        <v>9.1763000488281303</v>
      </c>
      <c r="AA1079" s="43"/>
      <c r="AB1079" s="43"/>
      <c r="AC1079" s="43"/>
      <c r="AD1079" s="43"/>
      <c r="AE1079" s="43">
        <v>11.834199905395501</v>
      </c>
      <c r="AF1079" s="43">
        <v>11.9556999206543</v>
      </c>
      <c r="AG1079" s="43">
        <v>11.9456996917725</v>
      </c>
      <c r="AH1079" s="43">
        <v>12.216199874877899</v>
      </c>
      <c r="AI1079" s="43">
        <v>12.2850999832153</v>
      </c>
      <c r="AJ1079" s="43">
        <v>12.482799529999999</v>
      </c>
      <c r="AK1079" s="43">
        <v>10.9472999573</v>
      </c>
      <c r="AL1079" s="43">
        <v>10.754099845900001</v>
      </c>
      <c r="AM1079" s="43">
        <v>9.3942003249999999</v>
      </c>
      <c r="AN1079" s="43">
        <v>8.6632995605000005</v>
      </c>
      <c r="AO1079" s="43">
        <v>8.3000001907000005</v>
      </c>
      <c r="AP1079" s="43">
        <v>7.9299998282999997</v>
      </c>
      <c r="AQ1079" s="43">
        <v>6.4800000191000002</v>
      </c>
      <c r="AR1079" s="43">
        <v>5.5500001906999996</v>
      </c>
      <c r="AS1079" s="43">
        <v>5.3899998665000002</v>
      </c>
      <c r="AT1079" s="43">
        <v>5.3</v>
      </c>
      <c r="AU1079" s="43">
        <v>5.3</v>
      </c>
      <c r="AV1079" s="43">
        <v>5.5</v>
      </c>
      <c r="AW1079" s="43">
        <v>5.5</v>
      </c>
      <c r="AX1079" s="43">
        <v>5.3</v>
      </c>
      <c r="AY1079" s="43">
        <v>5.2</v>
      </c>
      <c r="AZ1079" s="43">
        <v>5.0999999999999996</v>
      </c>
      <c r="BA1079" s="43">
        <v>4.8</v>
      </c>
      <c r="BB1079" s="43">
        <v>4.7</v>
      </c>
      <c r="BC1079" s="43">
        <v>4.5999999999999996</v>
      </c>
      <c r="BD1079" s="43">
        <v>4.4000000000000004</v>
      </c>
      <c r="BE1079" s="43">
        <v>4.3</v>
      </c>
      <c r="BF1079" s="43">
        <v>4.2</v>
      </c>
      <c r="BG1079" s="43">
        <v>4</v>
      </c>
      <c r="BH1079" s="43"/>
      <c r="BI1079" s="43"/>
      <c r="BJ1079" s="43"/>
      <c r="BK1079" s="43"/>
      <c r="BL1079" s="43"/>
      <c r="BM1079" s="43"/>
      <c r="BN1079" s="56">
        <f t="shared" si="28"/>
        <v>4</v>
      </c>
      <c r="BO1079" s="428">
        <f>IF(BN1079="No reported value",INDEX('WB HCW &amp; Beds'!$BU$831:$BU$835,MATCH($BP1079,'WB HCW &amp; Beds'!$BS$831:$BS$835,0)),$BN1079)</f>
        <v>4</v>
      </c>
      <c r="BP1079" s="132" t="str">
        <f>INDEX('HCW + Staff Summary'!$E$7:$E$270,MATCH($B1079,'HCW + Staff Summary'!$B$7:$B$270,0))</f>
        <v>Lower middle income</v>
      </c>
      <c r="BQ1079" s="429">
        <f>INDEX('WB HCW &amp; Beds'!$BU$838:$BU$842,MATCH($BP1079,'WB HCW &amp; Beds'!$BS$838:$BS$842,0))*100</f>
        <v>2.3800000000000003</v>
      </c>
    </row>
    <row r="1080" spans="2:69" x14ac:dyDescent="0.75">
      <c r="B1080" s="43" t="s">
        <v>536</v>
      </c>
      <c r="C1080" s="43" t="s">
        <v>537</v>
      </c>
      <c r="D1080" s="43" t="s">
        <v>632</v>
      </c>
      <c r="E1080" s="43" t="s">
        <v>633</v>
      </c>
      <c r="F1080" s="43">
        <v>4.8249998092651403</v>
      </c>
      <c r="G1080" s="43"/>
      <c r="H1080" s="43"/>
      <c r="I1080" s="43"/>
      <c r="J1080" s="43"/>
      <c r="K1080" s="43"/>
      <c r="L1080" s="43"/>
      <c r="M1080" s="43"/>
      <c r="N1080" s="43"/>
      <c r="O1080" s="43"/>
      <c r="P1080" s="43">
        <v>4.9885997772216797</v>
      </c>
      <c r="Q1080" s="43"/>
      <c r="R1080" s="43"/>
      <c r="S1080" s="43"/>
      <c r="T1080" s="43"/>
      <c r="U1080" s="43"/>
      <c r="V1080" s="43"/>
      <c r="W1080" s="43"/>
      <c r="X1080" s="43"/>
      <c r="Y1080" s="43"/>
      <c r="Z1080" s="43"/>
      <c r="AA1080" s="43"/>
      <c r="AB1080" s="43"/>
      <c r="AC1080" s="43"/>
      <c r="AD1080" s="43"/>
      <c r="AE1080" s="43"/>
      <c r="AF1080" s="43"/>
      <c r="AG1080" s="43"/>
      <c r="AH1080" s="43"/>
      <c r="AI1080" s="43"/>
      <c r="AJ1080" s="43">
        <v>4.6999998093000004</v>
      </c>
      <c r="AK1080" s="43"/>
      <c r="AL1080" s="43"/>
      <c r="AM1080" s="43">
        <v>5.0152997971</v>
      </c>
      <c r="AN1080" s="43"/>
      <c r="AO1080" s="43"/>
      <c r="AP1080" s="43">
        <v>1.8500000238000001</v>
      </c>
      <c r="AQ1080" s="43"/>
      <c r="AR1080" s="43"/>
      <c r="AS1080" s="43"/>
      <c r="AT1080" s="43"/>
      <c r="AU1080" s="43">
        <v>4.7</v>
      </c>
      <c r="AV1080" s="43">
        <v>4.5</v>
      </c>
      <c r="AW1080" s="43">
        <v>4.5</v>
      </c>
      <c r="AX1080" s="43">
        <v>4.5</v>
      </c>
      <c r="AY1080" s="43">
        <v>4.5</v>
      </c>
      <c r="AZ1080" s="43"/>
      <c r="BA1080" s="43">
        <v>3</v>
      </c>
      <c r="BB1080" s="43"/>
      <c r="BC1080" s="43"/>
      <c r="BD1080" s="43">
        <v>2.6</v>
      </c>
      <c r="BE1080" s="43">
        <v>2.7</v>
      </c>
      <c r="BF1080" s="43">
        <v>5.2</v>
      </c>
      <c r="BG1080" s="43">
        <v>2.5</v>
      </c>
      <c r="BH1080" s="43">
        <v>2.6</v>
      </c>
      <c r="BI1080" s="43"/>
      <c r="BJ1080" s="43"/>
      <c r="BK1080" s="43"/>
      <c r="BL1080" s="43"/>
      <c r="BM1080" s="43"/>
      <c r="BN1080" s="56">
        <f t="shared" si="28"/>
        <v>2.6</v>
      </c>
      <c r="BO1080" s="428">
        <f>IF(BN1080="No reported value",INDEX('WB HCW &amp; Beds'!$BU$831:$BU$835,MATCH($BP1080,'WB HCW &amp; Beds'!$BS$831:$BS$835,0)),$BN1080)</f>
        <v>2.6</v>
      </c>
      <c r="BP1080" s="132" t="str">
        <f>INDEX('HCW + Staff Summary'!$E$7:$E$270,MATCH($B1080,'HCW + Staff Summary'!$B$7:$B$270,0))</f>
        <v>Upper middle income</v>
      </c>
      <c r="BQ1080" s="429">
        <f>INDEX('WB HCW &amp; Beds'!$BU$838:$BU$842,MATCH($BP1080,'WB HCW &amp; Beds'!$BS$838:$BS$842,0))*100</f>
        <v>3.32</v>
      </c>
    </row>
    <row r="1081" spans="2:69" x14ac:dyDescent="0.75">
      <c r="B1081" s="43" t="s">
        <v>563</v>
      </c>
      <c r="C1081" s="43" t="s">
        <v>564</v>
      </c>
      <c r="D1081" s="43" t="s">
        <v>632</v>
      </c>
      <c r="E1081" s="43" t="s">
        <v>633</v>
      </c>
      <c r="F1081" s="43"/>
      <c r="G1081" s="43"/>
      <c r="H1081" s="43"/>
      <c r="I1081" s="43"/>
      <c r="J1081" s="43"/>
      <c r="K1081" s="43"/>
      <c r="L1081" s="43"/>
      <c r="M1081" s="43"/>
      <c r="N1081" s="43"/>
      <c r="O1081" s="43"/>
      <c r="P1081" s="43"/>
      <c r="Q1081" s="43"/>
      <c r="R1081" s="43"/>
      <c r="S1081" s="43"/>
      <c r="T1081" s="43">
        <v>0.34299999475479098</v>
      </c>
      <c r="U1081" s="43">
        <v>0.331499993801117</v>
      </c>
      <c r="V1081" s="43">
        <v>0.34290000796318099</v>
      </c>
      <c r="W1081" s="43"/>
      <c r="X1081" s="43"/>
      <c r="Y1081" s="43"/>
      <c r="Z1081" s="43">
        <v>0.33190000057220498</v>
      </c>
      <c r="AA1081" s="43"/>
      <c r="AB1081" s="43">
        <v>0.37040001153945901</v>
      </c>
      <c r="AC1081" s="43">
        <v>0.358200013637543</v>
      </c>
      <c r="AD1081" s="43">
        <v>0.37279999256134</v>
      </c>
      <c r="AE1081" s="43">
        <v>2.6930999755859402</v>
      </c>
      <c r="AF1081" s="43">
        <v>2.7000999450683598</v>
      </c>
      <c r="AG1081" s="43">
        <v>2.5982999801635698</v>
      </c>
      <c r="AH1081" s="43">
        <v>2.4995999336242698</v>
      </c>
      <c r="AI1081" s="43"/>
      <c r="AJ1081" s="43">
        <v>2.6779000758999998</v>
      </c>
      <c r="AK1081" s="43">
        <v>2.6775999068999998</v>
      </c>
      <c r="AL1081" s="43">
        <v>2.5729999542000002</v>
      </c>
      <c r="AM1081" s="43">
        <v>2.5999999046000002</v>
      </c>
      <c r="AN1081" s="43"/>
      <c r="AO1081" s="43"/>
      <c r="AP1081" s="43">
        <v>1.4700000285999999</v>
      </c>
      <c r="AQ1081" s="43"/>
      <c r="AR1081" s="43"/>
      <c r="AS1081" s="43"/>
      <c r="AT1081" s="43"/>
      <c r="AU1081" s="43">
        <v>0.80000001190000003</v>
      </c>
      <c r="AV1081" s="43"/>
      <c r="AW1081" s="43">
        <v>0.9</v>
      </c>
      <c r="AX1081" s="43"/>
      <c r="AY1081" s="43"/>
      <c r="AZ1081" s="43"/>
      <c r="BA1081" s="43">
        <v>1.3</v>
      </c>
      <c r="BB1081" s="43"/>
      <c r="BC1081" s="43">
        <v>1.1000000000000001</v>
      </c>
      <c r="BD1081" s="43"/>
      <c r="BE1081" s="43">
        <v>0.9</v>
      </c>
      <c r="BF1081" s="43"/>
      <c r="BG1081" s="43"/>
      <c r="BH1081" s="43">
        <v>0.8</v>
      </c>
      <c r="BI1081" s="43"/>
      <c r="BJ1081" s="43"/>
      <c r="BK1081" s="43"/>
      <c r="BL1081" s="43"/>
      <c r="BM1081" s="43"/>
      <c r="BN1081" s="56">
        <f t="shared" si="28"/>
        <v>0.8</v>
      </c>
      <c r="BO1081" s="428">
        <f>IF(BN1081="No reported value",INDEX('WB HCW &amp; Beds'!$BU$831:$BU$835,MATCH($BP1081,'WB HCW &amp; Beds'!$BS$831:$BS$835,0)),$BN1081)</f>
        <v>0.8</v>
      </c>
      <c r="BP1081" s="132" t="str">
        <f>INDEX('HCW + Staff Summary'!$E$7:$E$270,MATCH($B1081,'HCW + Staff Summary'!$B$7:$B$270,0))</f>
        <v>Upper middle income</v>
      </c>
      <c r="BQ1081" s="429">
        <f>INDEX('WB HCW &amp; Beds'!$BU$838:$BU$842,MATCH($BP1081,'WB HCW &amp; Beds'!$BS$838:$BS$842,0))*100</f>
        <v>3.32</v>
      </c>
    </row>
    <row r="1082" spans="2:69" x14ac:dyDescent="0.75">
      <c r="B1082" s="43" t="s">
        <v>338</v>
      </c>
      <c r="C1082" s="43" t="s">
        <v>339</v>
      </c>
      <c r="D1082" s="43" t="s">
        <v>632</v>
      </c>
      <c r="E1082" s="43" t="s">
        <v>633</v>
      </c>
      <c r="F1082" s="43"/>
      <c r="G1082" s="43"/>
      <c r="H1082" s="43"/>
      <c r="I1082" s="43"/>
      <c r="J1082" s="43"/>
      <c r="K1082" s="43"/>
      <c r="L1082" s="43"/>
      <c r="M1082" s="43"/>
      <c r="N1082" s="43"/>
      <c r="O1082" s="43"/>
      <c r="P1082" s="43"/>
      <c r="Q1082" s="43"/>
      <c r="R1082" s="43"/>
      <c r="S1082" s="43"/>
      <c r="T1082" s="43"/>
      <c r="U1082" s="43"/>
      <c r="V1082" s="43"/>
      <c r="W1082" s="43"/>
      <c r="X1082" s="43"/>
      <c r="Y1082" s="43"/>
      <c r="Z1082" s="43"/>
      <c r="AA1082" s="43"/>
      <c r="AB1082" s="43"/>
      <c r="AC1082" s="43"/>
      <c r="AD1082" s="43"/>
      <c r="AE1082" s="43"/>
      <c r="AF1082" s="43"/>
      <c r="AG1082" s="43"/>
      <c r="AH1082" s="43"/>
      <c r="AI1082" s="43"/>
      <c r="AJ1082" s="43"/>
      <c r="AK1082" s="43"/>
      <c r="AL1082" s="43"/>
      <c r="AM1082" s="43"/>
      <c r="AN1082" s="43"/>
      <c r="AO1082" s="43"/>
      <c r="AP1082" s="43"/>
      <c r="AQ1082" s="43"/>
      <c r="AR1082" s="43"/>
      <c r="AS1082" s="43"/>
      <c r="AT1082" s="43"/>
      <c r="AU1082" s="43"/>
      <c r="AV1082" s="43"/>
      <c r="AW1082" s="43"/>
      <c r="AX1082" s="43"/>
      <c r="AY1082" s="43"/>
      <c r="AZ1082" s="43"/>
      <c r="BA1082" s="43"/>
      <c r="BB1082" s="43"/>
      <c r="BC1082" s="43"/>
      <c r="BD1082" s="43"/>
      <c r="BE1082" s="43"/>
      <c r="BF1082" s="43"/>
      <c r="BG1082" s="43"/>
      <c r="BH1082" s="43"/>
      <c r="BI1082" s="43"/>
      <c r="BJ1082" s="43"/>
      <c r="BK1082" s="43"/>
      <c r="BL1082" s="43"/>
      <c r="BM1082" s="43"/>
      <c r="BN1082" s="56" t="str">
        <f t="shared" si="28"/>
        <v>No reported value</v>
      </c>
      <c r="BO1082" s="428">
        <f>IF(BN1082="No reported value",INDEX('WB HCW &amp; Beds'!$BU$831:$BU$835,MATCH($BP1082,'WB HCW &amp; Beds'!$BS$831:$BS$835,0)),$BN1082)</f>
        <v>4.82</v>
      </c>
      <c r="BP1082" s="132" t="str">
        <f>INDEX('HCW + Staff Summary'!$E$7:$E$270,MATCH($B1082,'HCW + Staff Summary'!$B$7:$B$270,0))</f>
        <v>High income</v>
      </c>
      <c r="BQ1082" s="429">
        <f>INDEX('WB HCW &amp; Beds'!$BU$838:$BU$842,MATCH($BP1082,'WB HCW &amp; Beds'!$BS$838:$BS$842,0))*100</f>
        <v>3.5700000000000003</v>
      </c>
    </row>
    <row r="1083" spans="2:69" x14ac:dyDescent="0.75">
      <c r="B1083" s="43" t="s">
        <v>566</v>
      </c>
      <c r="C1083" s="43" t="s">
        <v>567</v>
      </c>
      <c r="D1083" s="43" t="s">
        <v>632</v>
      </c>
      <c r="E1083" s="43" t="s">
        <v>633</v>
      </c>
      <c r="F1083" s="43"/>
      <c r="G1083" s="43"/>
      <c r="H1083" s="43"/>
      <c r="I1083" s="43"/>
      <c r="J1083" s="43"/>
      <c r="K1083" s="43"/>
      <c r="L1083" s="43"/>
      <c r="M1083" s="43"/>
      <c r="N1083" s="43"/>
      <c r="O1083" s="43"/>
      <c r="P1083" s="43"/>
      <c r="Q1083" s="43"/>
      <c r="R1083" s="43"/>
      <c r="S1083" s="43"/>
      <c r="T1083" s="43"/>
      <c r="U1083" s="43"/>
      <c r="V1083" s="43"/>
      <c r="W1083" s="43"/>
      <c r="X1083" s="43"/>
      <c r="Y1083" s="43"/>
      <c r="Z1083" s="43"/>
      <c r="AA1083" s="43"/>
      <c r="AB1083" s="43"/>
      <c r="AC1083" s="43"/>
      <c r="AD1083" s="43"/>
      <c r="AE1083" s="43"/>
      <c r="AF1083" s="43"/>
      <c r="AG1083" s="43"/>
      <c r="AH1083" s="43"/>
      <c r="AI1083" s="43"/>
      <c r="AJ1083" s="43">
        <v>4.8000001906999996</v>
      </c>
      <c r="AK1083" s="43"/>
      <c r="AL1083" s="43"/>
      <c r="AM1083" s="43"/>
      <c r="AN1083" s="43"/>
      <c r="AO1083" s="43"/>
      <c r="AP1083" s="43">
        <v>18.6800003052</v>
      </c>
      <c r="AQ1083" s="43"/>
      <c r="AR1083" s="43"/>
      <c r="AS1083" s="43"/>
      <c r="AT1083" s="43"/>
      <c r="AU1083" s="43"/>
      <c r="AV1083" s="43"/>
      <c r="AW1083" s="43"/>
      <c r="AX1083" s="43"/>
      <c r="AY1083" s="43"/>
      <c r="AZ1083" s="43"/>
      <c r="BA1083" s="43"/>
      <c r="BB1083" s="43"/>
      <c r="BC1083" s="43"/>
      <c r="BD1083" s="43"/>
      <c r="BE1083" s="43"/>
      <c r="BF1083" s="43"/>
      <c r="BG1083" s="43"/>
      <c r="BH1083" s="43"/>
      <c r="BI1083" s="43"/>
      <c r="BJ1083" s="43"/>
      <c r="BK1083" s="43"/>
      <c r="BL1083" s="43"/>
      <c r="BM1083" s="43"/>
      <c r="BN1083" s="56">
        <f t="shared" si="28"/>
        <v>18.6800003052</v>
      </c>
      <c r="BO1083" s="428">
        <f>IF(BN1083="No reported value",INDEX('WB HCW &amp; Beds'!$BU$831:$BU$835,MATCH($BP1083,'WB HCW &amp; Beds'!$BS$831:$BS$835,0)),$BN1083)</f>
        <v>18.6800003052</v>
      </c>
      <c r="BP1083" s="132" t="str">
        <f>INDEX('HCW + Staff Summary'!$E$7:$E$270,MATCH($B1083,'HCW + Staff Summary'!$B$7:$B$270,0))</f>
        <v>High income</v>
      </c>
      <c r="BQ1083" s="429">
        <f>INDEX('WB HCW &amp; Beds'!$BU$838:$BU$842,MATCH($BP1083,'WB HCW &amp; Beds'!$BS$838:$BS$842,0))*100</f>
        <v>3.5700000000000003</v>
      </c>
    </row>
    <row r="1084" spans="2:69" x14ac:dyDescent="0.75">
      <c r="B1084" s="43" t="s">
        <v>565</v>
      </c>
      <c r="C1084" s="43" t="s">
        <v>160</v>
      </c>
      <c r="D1084" s="43" t="s">
        <v>632</v>
      </c>
      <c r="E1084" s="43" t="s">
        <v>633</v>
      </c>
      <c r="F1084" s="43"/>
      <c r="G1084" s="43"/>
      <c r="H1084" s="43"/>
      <c r="I1084" s="43"/>
      <c r="J1084" s="43"/>
      <c r="K1084" s="43"/>
      <c r="L1084" s="43"/>
      <c r="M1084" s="43"/>
      <c r="N1084" s="43"/>
      <c r="O1084" s="43"/>
      <c r="P1084" s="43"/>
      <c r="Q1084" s="43"/>
      <c r="R1084" s="43"/>
      <c r="S1084" s="43"/>
      <c r="T1084" s="43"/>
      <c r="U1084" s="43"/>
      <c r="V1084" s="43"/>
      <c r="W1084" s="43"/>
      <c r="X1084" s="43"/>
      <c r="Y1084" s="43"/>
      <c r="Z1084" s="43">
        <v>3.4972999095916699</v>
      </c>
      <c r="AA1084" s="43">
        <v>3.6960999965667698</v>
      </c>
      <c r="AB1084" s="43"/>
      <c r="AC1084" s="43"/>
      <c r="AD1084" s="43"/>
      <c r="AE1084" s="43"/>
      <c r="AF1084" s="43"/>
      <c r="AG1084" s="43"/>
      <c r="AH1084" s="43"/>
      <c r="AI1084" s="43">
        <v>3.3017001152038601</v>
      </c>
      <c r="AJ1084" s="43">
        <v>3.8329000472999999</v>
      </c>
      <c r="AK1084" s="43"/>
      <c r="AL1084" s="43"/>
      <c r="AM1084" s="43"/>
      <c r="AN1084" s="43"/>
      <c r="AO1084" s="43"/>
      <c r="AP1084" s="43"/>
      <c r="AQ1084" s="43">
        <v>1.6699999570999999</v>
      </c>
      <c r="AR1084" s="43"/>
      <c r="AS1084" s="43"/>
      <c r="AT1084" s="43"/>
      <c r="AU1084" s="43">
        <v>2.4000000953999998</v>
      </c>
      <c r="AV1084" s="43">
        <v>1.4</v>
      </c>
      <c r="AW1084" s="43"/>
      <c r="AX1084" s="43">
        <v>2.8</v>
      </c>
      <c r="AY1084" s="43">
        <v>2.6</v>
      </c>
      <c r="AZ1084" s="43">
        <v>2.66</v>
      </c>
      <c r="BA1084" s="43"/>
      <c r="BB1084" s="43">
        <v>2.9</v>
      </c>
      <c r="BC1084" s="43">
        <v>3.1</v>
      </c>
      <c r="BD1084" s="43">
        <v>2</v>
      </c>
      <c r="BE1084" s="43"/>
      <c r="BF1084" s="43">
        <v>2.5</v>
      </c>
      <c r="BG1084" s="43"/>
      <c r="BH1084" s="43">
        <v>2.6</v>
      </c>
      <c r="BI1084" s="43"/>
      <c r="BJ1084" s="43"/>
      <c r="BK1084" s="43"/>
      <c r="BL1084" s="43"/>
      <c r="BM1084" s="43"/>
      <c r="BN1084" s="56">
        <f t="shared" si="28"/>
        <v>2.6</v>
      </c>
      <c r="BO1084" s="428">
        <f>IF(BN1084="No reported value",INDEX('WB HCW &amp; Beds'!$BU$831:$BU$835,MATCH($BP1084,'WB HCW &amp; Beds'!$BS$831:$BS$835,0)),$BN1084)</f>
        <v>2.6</v>
      </c>
      <c r="BP1084" s="132" t="str">
        <f>INDEX('HCW + Staff Summary'!$E$7:$E$270,MATCH($B1084,'HCW + Staff Summary'!$B$7:$B$270,0))</f>
        <v>Lower middle income</v>
      </c>
      <c r="BQ1084" s="429">
        <f>INDEX('WB HCW &amp; Beds'!$BU$838:$BU$842,MATCH($BP1084,'WB HCW &amp; Beds'!$BS$838:$BS$842,0))*100</f>
        <v>2.3800000000000003</v>
      </c>
    </row>
    <row r="1085" spans="2:69" x14ac:dyDescent="0.75">
      <c r="B1085" s="43" t="s">
        <v>258</v>
      </c>
      <c r="C1085" s="43" t="s">
        <v>151</v>
      </c>
      <c r="D1085" s="43" t="s">
        <v>632</v>
      </c>
      <c r="E1085" s="43" t="s">
        <v>633</v>
      </c>
      <c r="F1085" s="43">
        <v>5.4307694435119602</v>
      </c>
      <c r="G1085" s="43"/>
      <c r="H1085" s="43"/>
      <c r="I1085" s="43"/>
      <c r="J1085" s="43"/>
      <c r="K1085" s="43"/>
      <c r="L1085" s="43"/>
      <c r="M1085" s="43"/>
      <c r="N1085" s="43"/>
      <c r="O1085" s="43"/>
      <c r="P1085" s="43">
        <v>10.734900474548301</v>
      </c>
      <c r="Q1085" s="43"/>
      <c r="R1085" s="43"/>
      <c r="S1085" s="43"/>
      <c r="T1085" s="43"/>
      <c r="U1085" s="43"/>
      <c r="V1085" s="43"/>
      <c r="W1085" s="43"/>
      <c r="X1085" s="43"/>
      <c r="Y1085" s="43"/>
      <c r="Z1085" s="43">
        <v>6.1793999671936</v>
      </c>
      <c r="AA1085" s="43"/>
      <c r="AB1085" s="43"/>
      <c r="AC1085" s="43"/>
      <c r="AD1085" s="43"/>
      <c r="AE1085" s="43"/>
      <c r="AF1085" s="43"/>
      <c r="AG1085" s="43"/>
      <c r="AH1085" s="43"/>
      <c r="AI1085" s="43"/>
      <c r="AJ1085" s="43"/>
      <c r="AK1085" s="43"/>
      <c r="AL1085" s="43"/>
      <c r="AM1085" s="43"/>
      <c r="AN1085" s="43"/>
      <c r="AO1085" s="43"/>
      <c r="AP1085" s="43"/>
      <c r="AQ1085" s="43"/>
      <c r="AR1085" s="43"/>
      <c r="AS1085" s="43"/>
      <c r="AT1085" s="43"/>
      <c r="AU1085" s="43">
        <v>3.0999999046000002</v>
      </c>
      <c r="AV1085" s="43"/>
      <c r="AW1085" s="43">
        <v>3.7</v>
      </c>
      <c r="AX1085" s="43"/>
      <c r="AY1085" s="43">
        <v>4.0999999999999996</v>
      </c>
      <c r="AZ1085" s="43"/>
      <c r="BA1085" s="43"/>
      <c r="BB1085" s="43">
        <v>1.7</v>
      </c>
      <c r="BC1085" s="43"/>
      <c r="BD1085" s="43"/>
      <c r="BE1085" s="43"/>
      <c r="BF1085" s="43"/>
      <c r="BG1085" s="43"/>
      <c r="BH1085" s="43"/>
      <c r="BI1085" s="43"/>
      <c r="BJ1085" s="43"/>
      <c r="BK1085" s="43"/>
      <c r="BL1085" s="43"/>
      <c r="BM1085" s="43"/>
      <c r="BN1085" s="56">
        <f t="shared" ref="BN1085:BN1092" si="29">IFERROR(LOOKUP(2,1/(ISNUMBER(F1085:BM1085)),F1085:BM1085),"No reported value")</f>
        <v>1.7</v>
      </c>
      <c r="BO1085" s="428">
        <f>IF(BN1085="No reported value",INDEX('WB HCW &amp; Beds'!$BU$831:$BU$835,MATCH($BP1085,'WB HCW &amp; Beds'!$BS$831:$BS$835,0)),$BN1085)</f>
        <v>1.7</v>
      </c>
      <c r="BP1085" s="132" t="str">
        <f>INDEX('HCW + Staff Summary'!$E$7:$E$270,MATCH($B1085,'HCW + Staff Summary'!$B$7:$B$270,0))</f>
        <v>Lower middle income</v>
      </c>
      <c r="BQ1085" s="429">
        <f>INDEX('WB HCW &amp; Beds'!$BU$838:$BU$842,MATCH($BP1085,'WB HCW &amp; Beds'!$BS$838:$BS$842,0))*100</f>
        <v>2.3800000000000003</v>
      </c>
    </row>
    <row r="1086" spans="2:69" x14ac:dyDescent="0.75">
      <c r="B1086" s="43" t="s">
        <v>570</v>
      </c>
      <c r="C1086" s="43" t="s">
        <v>571</v>
      </c>
      <c r="D1086" s="43" t="s">
        <v>632</v>
      </c>
      <c r="E1086" s="43" t="s">
        <v>633</v>
      </c>
      <c r="F1086" s="43"/>
      <c r="G1086" s="43"/>
      <c r="H1086" s="43"/>
      <c r="I1086" s="43"/>
      <c r="J1086" s="43"/>
      <c r="K1086" s="43"/>
      <c r="L1086" s="43"/>
      <c r="M1086" s="43"/>
      <c r="N1086" s="43"/>
      <c r="O1086" s="43"/>
      <c r="P1086" s="43">
        <v>3.0786857618760655</v>
      </c>
      <c r="Q1086" s="43"/>
      <c r="R1086" s="43"/>
      <c r="S1086" s="43"/>
      <c r="T1086" s="43"/>
      <c r="U1086" s="43">
        <v>2.3976383088529563</v>
      </c>
      <c r="V1086" s="43"/>
      <c r="W1086" s="43"/>
      <c r="X1086" s="43"/>
      <c r="Y1086" s="43"/>
      <c r="Z1086" s="43">
        <v>3.5952668129645122</v>
      </c>
      <c r="AA1086" s="43"/>
      <c r="AB1086" s="43"/>
      <c r="AC1086" s="43"/>
      <c r="AD1086" s="43"/>
      <c r="AE1086" s="43">
        <v>4.1255762508577174</v>
      </c>
      <c r="AF1086" s="43"/>
      <c r="AG1086" s="43"/>
      <c r="AH1086" s="43"/>
      <c r="AI1086" s="43"/>
      <c r="AJ1086" s="43">
        <v>3.6492762407434487</v>
      </c>
      <c r="AK1086" s="43">
        <v>3.4292390791487004</v>
      </c>
      <c r="AL1086" s="43"/>
      <c r="AM1086" s="43"/>
      <c r="AN1086" s="43"/>
      <c r="AO1086" s="43"/>
      <c r="AP1086" s="43"/>
      <c r="AQ1086" s="43"/>
      <c r="AR1086" s="43"/>
      <c r="AS1086" s="43"/>
      <c r="AT1086" s="43"/>
      <c r="AU1086" s="43"/>
      <c r="AV1086" s="43">
        <v>2.8759713672679572</v>
      </c>
      <c r="AW1086" s="43">
        <v>3.0584604523016719</v>
      </c>
      <c r="AX1086" s="43"/>
      <c r="AY1086" s="43">
        <v>2.8793498866461182</v>
      </c>
      <c r="AZ1086" s="43"/>
      <c r="BA1086" s="43"/>
      <c r="BB1086" s="43"/>
      <c r="BC1086" s="43"/>
      <c r="BD1086" s="43"/>
      <c r="BE1086" s="43">
        <v>2.7047692810942441</v>
      </c>
      <c r="BF1086" s="43"/>
      <c r="BG1086" s="43"/>
      <c r="BH1086" s="43"/>
      <c r="BI1086" s="43"/>
      <c r="BJ1086" s="43"/>
      <c r="BK1086" s="43"/>
      <c r="BL1086" s="43"/>
      <c r="BM1086" s="43"/>
      <c r="BN1086" s="56">
        <f t="shared" si="29"/>
        <v>2.7047692810942441</v>
      </c>
      <c r="BO1086" s="428">
        <f>IF(BN1086="No reported value",INDEX('WB HCW &amp; Beds'!$BU$831:$BU$835,MATCH($BP1086,'WB HCW &amp; Beds'!$BS$831:$BS$835,0)),$BN1086)</f>
        <v>2.7047692810942441</v>
      </c>
      <c r="BP1086" s="132" t="str">
        <f>INDEX('HCW + Staff Summary'!$E$7:$E$270,MATCH($B1086,'HCW + Staff Summary'!$B$7:$B$270,0))</f>
        <v>OUT</v>
      </c>
      <c r="BQ1086" s="429">
        <f>INDEX('WB HCW &amp; Beds'!$BU$838:$BU$842,MATCH($BP1086,'WB HCW &amp; Beds'!$BS$838:$BS$842,0))*100</f>
        <v>2.7250000000000001</v>
      </c>
    </row>
    <row r="1087" spans="2:69" x14ac:dyDescent="0.75">
      <c r="B1087" s="43" t="s">
        <v>254</v>
      </c>
      <c r="C1087" s="43" t="s">
        <v>152</v>
      </c>
      <c r="D1087" s="43" t="s">
        <v>632</v>
      </c>
      <c r="E1087" s="43" t="s">
        <v>633</v>
      </c>
      <c r="F1087" s="43">
        <v>5</v>
      </c>
      <c r="G1087" s="43"/>
      <c r="H1087" s="43"/>
      <c r="I1087" s="43"/>
      <c r="J1087" s="43"/>
      <c r="K1087" s="43"/>
      <c r="L1087" s="43"/>
      <c r="M1087" s="43"/>
      <c r="N1087" s="43"/>
      <c r="O1087" s="43"/>
      <c r="P1087" s="43">
        <v>4.5581998825073198</v>
      </c>
      <c r="Q1087" s="43"/>
      <c r="R1087" s="43"/>
      <c r="S1087" s="43"/>
      <c r="T1087" s="43"/>
      <c r="U1087" s="43"/>
      <c r="V1087" s="43"/>
      <c r="W1087" s="43"/>
      <c r="X1087" s="43"/>
      <c r="Y1087" s="43"/>
      <c r="Z1087" s="43">
        <v>4.4967999458312997</v>
      </c>
      <c r="AA1087" s="43">
        <v>4.3639998435974103</v>
      </c>
      <c r="AB1087" s="43"/>
      <c r="AC1087" s="43"/>
      <c r="AD1087" s="43"/>
      <c r="AE1087" s="43"/>
      <c r="AF1087" s="43"/>
      <c r="AG1087" s="43"/>
      <c r="AH1087" s="43"/>
      <c r="AI1087" s="43"/>
      <c r="AJ1087" s="43"/>
      <c r="AK1087" s="43"/>
      <c r="AL1087" s="43"/>
      <c r="AM1087" s="43"/>
      <c r="AN1087" s="43"/>
      <c r="AO1087" s="43"/>
      <c r="AP1087" s="43"/>
      <c r="AQ1087" s="43"/>
      <c r="AR1087" s="43"/>
      <c r="AS1087" s="43"/>
      <c r="AT1087" s="43">
        <v>3.2999999522999999</v>
      </c>
      <c r="AU1087" s="43"/>
      <c r="AV1087" s="43">
        <v>1.5</v>
      </c>
      <c r="AW1087" s="43">
        <v>2.04</v>
      </c>
      <c r="AX1087" s="43"/>
      <c r="AY1087" s="43">
        <v>1</v>
      </c>
      <c r="AZ1087" s="43"/>
      <c r="BA1087" s="43"/>
      <c r="BB1087" s="43"/>
      <c r="BC1087" s="43"/>
      <c r="BD1087" s="43"/>
      <c r="BE1087" s="43"/>
      <c r="BF1087" s="43"/>
      <c r="BG1087" s="43"/>
      <c r="BH1087" s="43"/>
      <c r="BI1087" s="43"/>
      <c r="BJ1087" s="43"/>
      <c r="BK1087" s="43"/>
      <c r="BL1087" s="43"/>
      <c r="BM1087" s="43"/>
      <c r="BN1087" s="56">
        <f t="shared" si="29"/>
        <v>1</v>
      </c>
      <c r="BO1087" s="428">
        <f>IF(BN1087="No reported value",INDEX('WB HCW &amp; Beds'!$BU$831:$BU$835,MATCH($BP1087,'WB HCW &amp; Beds'!$BS$831:$BS$835,0)),$BN1087)</f>
        <v>1</v>
      </c>
      <c r="BP1087" s="132" t="str">
        <f>INDEX('HCW + Staff Summary'!$E$7:$E$270,MATCH($B1087,'HCW + Staff Summary'!$B$7:$B$270,0))</f>
        <v>Upper middle income</v>
      </c>
      <c r="BQ1087" s="429">
        <f>INDEX('WB HCW &amp; Beds'!$BU$838:$BU$842,MATCH($BP1087,'WB HCW &amp; Beds'!$BS$838:$BS$842,0))*100</f>
        <v>3.32</v>
      </c>
    </row>
    <row r="1088" spans="2:69" x14ac:dyDescent="0.75">
      <c r="B1088" s="43" t="s">
        <v>237</v>
      </c>
      <c r="C1088" s="43" t="s">
        <v>431</v>
      </c>
      <c r="D1088" s="43" t="s">
        <v>632</v>
      </c>
      <c r="E1088" s="43" t="s">
        <v>633</v>
      </c>
      <c r="F1088" s="43"/>
      <c r="G1088" s="43"/>
      <c r="H1088" s="43"/>
      <c r="I1088" s="43"/>
      <c r="J1088" s="43"/>
      <c r="K1088" s="43"/>
      <c r="L1088" s="43"/>
      <c r="M1088" s="43"/>
      <c r="N1088" s="43"/>
      <c r="O1088" s="43"/>
      <c r="P1088" s="43"/>
      <c r="Q1088" s="43"/>
      <c r="R1088" s="43"/>
      <c r="S1088" s="43"/>
      <c r="T1088" s="43"/>
      <c r="U1088" s="43"/>
      <c r="V1088" s="43"/>
      <c r="W1088" s="43"/>
      <c r="X1088" s="43"/>
      <c r="Y1088" s="43"/>
      <c r="Z1088" s="43"/>
      <c r="AA1088" s="43"/>
      <c r="AB1088" s="43"/>
      <c r="AC1088" s="43"/>
      <c r="AD1088" s="43"/>
      <c r="AE1088" s="43"/>
      <c r="AF1088" s="43"/>
      <c r="AG1088" s="43"/>
      <c r="AH1088" s="43"/>
      <c r="AI1088" s="43"/>
      <c r="AJ1088" s="43"/>
      <c r="AK1088" s="43"/>
      <c r="AL1088" s="43"/>
      <c r="AM1088" s="43"/>
      <c r="AN1088" s="43"/>
      <c r="AO1088" s="43"/>
      <c r="AP1088" s="43"/>
      <c r="AQ1088" s="43"/>
      <c r="AR1088" s="43"/>
      <c r="AS1088" s="43"/>
      <c r="AT1088" s="43"/>
      <c r="AU1088" s="43"/>
      <c r="AV1088" s="43"/>
      <c r="AW1088" s="43"/>
      <c r="AX1088" s="43"/>
      <c r="AY1088" s="43"/>
      <c r="AZ1088" s="43"/>
      <c r="BA1088" s="43"/>
      <c r="BB1088" s="43"/>
      <c r="BC1088" s="43"/>
      <c r="BD1088" s="43"/>
      <c r="BE1088" s="43"/>
      <c r="BF1088" s="43"/>
      <c r="BG1088" s="43"/>
      <c r="BH1088" s="43"/>
      <c r="BI1088" s="43"/>
      <c r="BJ1088" s="43"/>
      <c r="BK1088" s="43"/>
      <c r="BL1088" s="43"/>
      <c r="BM1088" s="43"/>
      <c r="BN1088" s="56" t="str">
        <f t="shared" si="29"/>
        <v>No reported value</v>
      </c>
      <c r="BO1088" s="428">
        <f>IF(BN1088="No reported value",INDEX('WB HCW &amp; Beds'!$BU$831:$BU$835,MATCH($BP1088,'WB HCW &amp; Beds'!$BS$831:$BS$835,0)),$BN1088)</f>
        <v>3.41</v>
      </c>
      <c r="BP1088" s="132" t="str">
        <f>INDEX('HCW + Staff Summary'!$E$7:$E$270,MATCH($B1088,'HCW + Staff Summary'!$B$7:$B$270,0))</f>
        <v>Upper middle income</v>
      </c>
      <c r="BQ1088" s="429">
        <f>INDEX('WB HCW &amp; Beds'!$BU$838:$BU$842,MATCH($BP1088,'WB HCW &amp; Beds'!$BS$838:$BS$842,0))*100</f>
        <v>3.32</v>
      </c>
    </row>
    <row r="1089" spans="2:69" x14ac:dyDescent="0.75">
      <c r="B1089" s="43" t="s">
        <v>572</v>
      </c>
      <c r="C1089" s="43" t="s">
        <v>153</v>
      </c>
      <c r="D1089" s="43" t="s">
        <v>632</v>
      </c>
      <c r="E1089" s="43" t="s">
        <v>633</v>
      </c>
      <c r="F1089" s="43">
        <v>0.454545468091965</v>
      </c>
      <c r="G1089" s="43"/>
      <c r="H1089" s="43"/>
      <c r="I1089" s="43"/>
      <c r="J1089" s="43"/>
      <c r="K1089" s="43"/>
      <c r="L1089" s="43"/>
      <c r="M1089" s="43"/>
      <c r="N1089" s="43"/>
      <c r="O1089" s="43"/>
      <c r="P1089" s="43">
        <v>0.80970001220703103</v>
      </c>
      <c r="Q1089" s="43"/>
      <c r="R1089" s="43"/>
      <c r="S1089" s="43"/>
      <c r="T1089" s="43"/>
      <c r="U1089" s="43">
        <v>0.86549997329711903</v>
      </c>
      <c r="V1089" s="43"/>
      <c r="W1089" s="43"/>
      <c r="X1089" s="43"/>
      <c r="Y1089" s="43"/>
      <c r="Z1089" s="43"/>
      <c r="AA1089" s="43"/>
      <c r="AB1089" s="43"/>
      <c r="AC1089" s="43"/>
      <c r="AD1089" s="43"/>
      <c r="AE1089" s="43"/>
      <c r="AF1089" s="43"/>
      <c r="AG1089" s="43"/>
      <c r="AH1089" s="43"/>
      <c r="AI1089" s="43"/>
      <c r="AJ1089" s="43">
        <v>0.83619999889999996</v>
      </c>
      <c r="AK1089" s="43"/>
      <c r="AL1089" s="43"/>
      <c r="AM1089" s="43"/>
      <c r="AN1089" s="43"/>
      <c r="AO1089" s="43"/>
      <c r="AP1089" s="43">
        <v>0.68999999759999997</v>
      </c>
      <c r="AQ1089" s="43"/>
      <c r="AR1089" s="43">
        <v>0.60000002379999995</v>
      </c>
      <c r="AS1089" s="43"/>
      <c r="AT1089" s="43">
        <v>0.6</v>
      </c>
      <c r="AU1089" s="43">
        <v>0.6</v>
      </c>
      <c r="AV1089" s="43">
        <v>0.6</v>
      </c>
      <c r="AW1089" s="43">
        <v>0.6</v>
      </c>
      <c r="AX1089" s="43">
        <v>0.6</v>
      </c>
      <c r="AY1089" s="43">
        <v>0.6</v>
      </c>
      <c r="AZ1089" s="43">
        <v>0.7</v>
      </c>
      <c r="BA1089" s="43">
        <v>0.7</v>
      </c>
      <c r="BB1089" s="43">
        <v>0.7</v>
      </c>
      <c r="BC1089" s="43">
        <v>0.7</v>
      </c>
      <c r="BD1089" s="43">
        <v>0.7</v>
      </c>
      <c r="BE1089" s="43">
        <v>0.7</v>
      </c>
      <c r="BF1089" s="43">
        <v>0.7</v>
      </c>
      <c r="BG1089" s="43">
        <v>0.7</v>
      </c>
      <c r="BH1089" s="43">
        <v>0.7</v>
      </c>
      <c r="BI1089" s="43"/>
      <c r="BJ1089" s="43"/>
      <c r="BK1089" s="43"/>
      <c r="BL1089" s="43"/>
      <c r="BM1089" s="43"/>
      <c r="BN1089" s="56">
        <f t="shared" si="29"/>
        <v>0.7</v>
      </c>
      <c r="BO1089" s="428">
        <f>IF(BN1089="No reported value",INDEX('WB HCW &amp; Beds'!$BU$831:$BU$835,MATCH($BP1089,'WB HCW &amp; Beds'!$BS$831:$BS$835,0)),$BN1089)</f>
        <v>0.7</v>
      </c>
      <c r="BP1089" s="132" t="str">
        <f>INDEX('HCW + Staff Summary'!$E$7:$E$270,MATCH($B1089,'HCW + Staff Summary'!$B$7:$B$270,0))</f>
        <v>Low income</v>
      </c>
      <c r="BQ1089" s="429">
        <f>INDEX('WB HCW &amp; Beds'!$BU$838:$BU$842,MATCH($BP1089,'WB HCW &amp; Beds'!$BS$838:$BS$842,0))*100</f>
        <v>1.63</v>
      </c>
    </row>
    <row r="1090" spans="2:69" x14ac:dyDescent="0.75">
      <c r="B1090" s="43" t="s">
        <v>178</v>
      </c>
      <c r="C1090" s="43" t="s">
        <v>154</v>
      </c>
      <c r="D1090" s="43" t="s">
        <v>632</v>
      </c>
      <c r="E1090" s="43" t="s">
        <v>633</v>
      </c>
      <c r="F1090" s="43"/>
      <c r="G1090" s="43"/>
      <c r="H1090" s="43"/>
      <c r="I1090" s="43"/>
      <c r="J1090" s="43"/>
      <c r="K1090" s="43"/>
      <c r="L1090" s="43"/>
      <c r="M1090" s="43"/>
      <c r="N1090" s="43"/>
      <c r="O1090" s="43"/>
      <c r="P1090" s="43"/>
      <c r="Q1090" s="43"/>
      <c r="R1090" s="43"/>
      <c r="S1090" s="43"/>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c r="AW1090" s="43"/>
      <c r="AX1090" s="43"/>
      <c r="AY1090" s="43">
        <v>2.8</v>
      </c>
      <c r="AZ1090" s="43"/>
      <c r="BA1090" s="43"/>
      <c r="BB1090" s="43"/>
      <c r="BC1090" s="43"/>
      <c r="BD1090" s="43"/>
      <c r="BE1090" s="43"/>
      <c r="BF1090" s="43"/>
      <c r="BG1090" s="43"/>
      <c r="BH1090" s="43"/>
      <c r="BI1090" s="43"/>
      <c r="BJ1090" s="43"/>
      <c r="BK1090" s="43"/>
      <c r="BL1090" s="43"/>
      <c r="BM1090" s="43"/>
      <c r="BN1090" s="56">
        <f t="shared" si="29"/>
        <v>2.8</v>
      </c>
      <c r="BO1090" s="428">
        <f>IF(BN1090="No reported value",INDEX('WB HCW &amp; Beds'!$BU$831:$BU$835,MATCH($BP1090,'WB HCW &amp; Beds'!$BS$831:$BS$835,0)),$BN1090)</f>
        <v>2.8</v>
      </c>
      <c r="BP1090" s="132" t="str">
        <f>INDEX('HCW + Staff Summary'!$E$7:$E$270,MATCH($B1090,'HCW + Staff Summary'!$B$7:$B$270,0))</f>
        <v>Upper middle income</v>
      </c>
      <c r="BQ1090" s="429">
        <f>INDEX('WB HCW &amp; Beds'!$BU$838:$BU$842,MATCH($BP1090,'WB HCW &amp; Beds'!$BS$838:$BS$842,0))*100</f>
        <v>3.32</v>
      </c>
    </row>
    <row r="1091" spans="2:69" x14ac:dyDescent="0.75">
      <c r="B1091" s="43" t="s">
        <v>217</v>
      </c>
      <c r="C1091" s="43" t="s">
        <v>155</v>
      </c>
      <c r="D1091" s="43" t="s">
        <v>632</v>
      </c>
      <c r="E1091" s="43" t="s">
        <v>633</v>
      </c>
      <c r="F1091" s="43">
        <v>2.8016555309295699</v>
      </c>
      <c r="G1091" s="43"/>
      <c r="H1091" s="43"/>
      <c r="I1091" s="43"/>
      <c r="J1091" s="43"/>
      <c r="K1091" s="43"/>
      <c r="L1091" s="43"/>
      <c r="M1091" s="43"/>
      <c r="N1091" s="43"/>
      <c r="O1091" s="43"/>
      <c r="P1091" s="43">
        <v>3.16109991073608</v>
      </c>
      <c r="Q1091" s="43"/>
      <c r="R1091" s="43"/>
      <c r="S1091" s="43"/>
      <c r="T1091" s="43"/>
      <c r="U1091" s="43">
        <v>3.3368000984191899</v>
      </c>
      <c r="V1091" s="43"/>
      <c r="W1091" s="43"/>
      <c r="X1091" s="43"/>
      <c r="Y1091" s="43"/>
      <c r="Z1091" s="43"/>
      <c r="AA1091" s="43">
        <v>3.48219990730286</v>
      </c>
      <c r="AB1091" s="43"/>
      <c r="AC1091" s="43"/>
      <c r="AD1091" s="43"/>
      <c r="AE1091" s="43"/>
      <c r="AF1091" s="43"/>
      <c r="AG1091" s="43"/>
      <c r="AH1091" s="43"/>
      <c r="AI1091" s="43"/>
      <c r="AJ1091" s="43"/>
      <c r="AK1091" s="43"/>
      <c r="AL1091" s="43"/>
      <c r="AM1091" s="43"/>
      <c r="AN1091" s="43"/>
      <c r="AO1091" s="43"/>
      <c r="AP1091" s="43"/>
      <c r="AQ1091" s="43"/>
      <c r="AR1091" s="43"/>
      <c r="AS1091" s="43"/>
      <c r="AT1091" s="43"/>
      <c r="AU1091" s="43"/>
      <c r="AV1091" s="43"/>
      <c r="AW1091" s="43"/>
      <c r="AX1091" s="43">
        <v>2</v>
      </c>
      <c r="AY1091" s="43"/>
      <c r="AZ1091" s="43"/>
      <c r="BA1091" s="43"/>
      <c r="BB1091" s="43">
        <v>1.9</v>
      </c>
      <c r="BC1091" s="43"/>
      <c r="BD1091" s="43">
        <v>2</v>
      </c>
      <c r="BE1091" s="43"/>
      <c r="BF1091" s="43"/>
      <c r="BG1091" s="43"/>
      <c r="BH1091" s="43"/>
      <c r="BI1091" s="43"/>
      <c r="BJ1091" s="43"/>
      <c r="BK1091" s="43"/>
      <c r="BL1091" s="43"/>
      <c r="BM1091" s="43"/>
      <c r="BN1091" s="56">
        <f t="shared" si="29"/>
        <v>2</v>
      </c>
      <c r="BO1091" s="428">
        <f>IF(BN1091="No reported value",INDEX('WB HCW &amp; Beds'!$BU$831:$BU$835,MATCH($BP1091,'WB HCW &amp; Beds'!$BS$831:$BS$835,0)),$BN1091)</f>
        <v>2</v>
      </c>
      <c r="BP1091" s="132" t="str">
        <f>INDEX('HCW + Staff Summary'!$E$7:$E$270,MATCH($B1091,'HCW + Staff Summary'!$B$7:$B$270,0))</f>
        <v>Lower middle income</v>
      </c>
      <c r="BQ1091" s="429">
        <f>INDEX('WB HCW &amp; Beds'!$BU$838:$BU$842,MATCH($BP1091,'WB HCW &amp; Beds'!$BS$838:$BS$842,0))*100</f>
        <v>2.3800000000000003</v>
      </c>
    </row>
    <row r="1092" spans="2:69" x14ac:dyDescent="0.75">
      <c r="B1092" s="43" t="s">
        <v>218</v>
      </c>
      <c r="C1092" s="43" t="s">
        <v>156</v>
      </c>
      <c r="D1092" s="43" t="s">
        <v>632</v>
      </c>
      <c r="E1092" s="43" t="s">
        <v>633</v>
      </c>
      <c r="F1092" s="43">
        <v>3.8766460418701199</v>
      </c>
      <c r="G1092" s="43"/>
      <c r="H1092" s="43"/>
      <c r="I1092" s="43"/>
      <c r="J1092" s="43"/>
      <c r="K1092" s="43"/>
      <c r="L1092" s="43"/>
      <c r="M1092" s="43"/>
      <c r="N1092" s="43"/>
      <c r="O1092" s="43"/>
      <c r="P1092" s="43">
        <v>3.49539995193481</v>
      </c>
      <c r="Q1092" s="43"/>
      <c r="R1092" s="43"/>
      <c r="S1092" s="43"/>
      <c r="T1092" s="43"/>
      <c r="U1092" s="43">
        <v>3.3136999607086199</v>
      </c>
      <c r="V1092" s="43"/>
      <c r="W1092" s="43"/>
      <c r="X1092" s="43"/>
      <c r="Y1092" s="43"/>
      <c r="Z1092" s="43">
        <v>3.0027000904083301</v>
      </c>
      <c r="AA1092" s="43"/>
      <c r="AB1092" s="43"/>
      <c r="AC1092" s="43"/>
      <c r="AD1092" s="43"/>
      <c r="AE1092" s="43">
        <v>1.39359998703003</v>
      </c>
      <c r="AF1092" s="43"/>
      <c r="AG1092" s="43">
        <v>1.9407999515533401</v>
      </c>
      <c r="AH1092" s="43"/>
      <c r="AI1092" s="43"/>
      <c r="AJ1092" s="43">
        <v>0.51050001379999999</v>
      </c>
      <c r="AK1092" s="43"/>
      <c r="AL1092" s="43"/>
      <c r="AM1092" s="43"/>
      <c r="AN1092" s="43"/>
      <c r="AO1092" s="43"/>
      <c r="AP1092" s="43"/>
      <c r="AQ1092" s="43"/>
      <c r="AR1092" s="43"/>
      <c r="AS1092" s="43"/>
      <c r="AT1092" s="43"/>
      <c r="AU1092" s="43"/>
      <c r="AV1092" s="43"/>
      <c r="AW1092" s="43"/>
      <c r="AX1092" s="43"/>
      <c r="AY1092" s="43"/>
      <c r="AZ1092" s="43">
        <v>3</v>
      </c>
      <c r="BA1092" s="43"/>
      <c r="BB1092" s="43"/>
      <c r="BC1092" s="43"/>
      <c r="BD1092" s="43"/>
      <c r="BE1092" s="43">
        <v>1.7</v>
      </c>
      <c r="BF1092" s="43"/>
      <c r="BG1092" s="43"/>
      <c r="BH1092" s="43"/>
      <c r="BI1092" s="43"/>
      <c r="BJ1092" s="43"/>
      <c r="BK1092" s="43"/>
      <c r="BL1092" s="43"/>
      <c r="BM1092" s="43"/>
      <c r="BN1092" s="56">
        <f t="shared" si="29"/>
        <v>1.7</v>
      </c>
      <c r="BO1092" s="428">
        <f>IF(BN1092="No reported value",INDEX('WB HCW &amp; Beds'!$BU$831:$BU$835,MATCH($BP1092,'WB HCW &amp; Beds'!$BS$831:$BS$835,0)),$BN1092)</f>
        <v>1.7</v>
      </c>
      <c r="BP1092" s="132" t="str">
        <f>INDEX('HCW + Staff Summary'!$E$7:$E$270,MATCH($B1092,'HCW + Staff Summary'!$B$7:$B$270,0))</f>
        <v>Lower middle income</v>
      </c>
      <c r="BQ1092" s="429">
        <f>INDEX('WB HCW &amp; Beds'!$BU$838:$BU$842,MATCH($BP1092,'WB HCW &amp; Beds'!$BS$838:$BS$842,0))*100</f>
        <v>2.3800000000000003</v>
      </c>
    </row>
  </sheetData>
  <sheetProtection algorithmName="SHA-512" hashValue="H1+fzBe7Pc8cfv/0+giGF3nT+4B2AH3fQcWCg4zofKzl4AEEGH/d2GRYnddwiDVabns2evXeGepWa1vUfKrhdw==" saltValue="u3eVk3XhToXkZJTHUHZLEg==" spinCount="100000" sheet="1" objects="1" scenarios="1"/>
  <mergeCells count="1">
    <mergeCell ref="B4:B8"/>
  </mergeCells>
  <hyperlinks>
    <hyperlink ref="D5" location="'WB HCW &amp; Beds'!B552" display="Physicians" xr:uid="{00000000-0004-0000-1100-000000000000}"/>
    <hyperlink ref="D6" location="'WB HCW &amp; Beds'!B823" display="Hospital Beds" xr:uid="{00000000-0004-0000-1100-000001000000}"/>
    <hyperlink ref="B826" location="'WB HCW &amp; Beds'!A1" display="Back to Top" xr:uid="{00000000-0004-0000-1100-000002000000}"/>
    <hyperlink ref="B555" location="'WB HCW &amp; Beds'!A1" display="Back to Top" xr:uid="{00000000-0004-0000-1100-000003000000}"/>
    <hyperlink ref="B284" location="'WB HCW and Hospital Bed Data'!A1" display="Back to Top" xr:uid="{00000000-0004-0000-1100-000004000000}"/>
  </hyperlink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theme="2" tint="-0.499984740745262"/>
  </sheetPr>
  <dimension ref="A2:D269"/>
  <sheetViews>
    <sheetView showGridLines="0" zoomScale="80" zoomScaleNormal="80" workbookViewId="0"/>
  </sheetViews>
  <sheetFormatPr defaultColWidth="8.40625" defaultRowHeight="14.75" x14ac:dyDescent="0.75"/>
  <cols>
    <col min="1" max="1" width="4.40625" customWidth="1"/>
    <col min="2" max="2" width="23.40625" customWidth="1"/>
    <col min="3" max="3" width="12.40625" customWidth="1"/>
    <col min="4" max="4" width="16" bestFit="1" customWidth="1"/>
  </cols>
  <sheetData>
    <row r="2" spans="1:4" s="24" customFormat="1" ht="18.5" x14ac:dyDescent="0.9">
      <c r="B2" s="24" t="s">
        <v>891</v>
      </c>
    </row>
    <row r="3" spans="1:4" s="14" customFormat="1" x14ac:dyDescent="0.75">
      <c r="B3" s="14" t="s">
        <v>997</v>
      </c>
    </row>
    <row r="5" spans="1:4" s="28" customFormat="1" x14ac:dyDescent="0.75">
      <c r="B5" s="197" t="s">
        <v>260</v>
      </c>
      <c r="C5" s="197" t="s">
        <v>180</v>
      </c>
      <c r="D5" s="197" t="s">
        <v>311</v>
      </c>
    </row>
    <row r="6" spans="1:4" x14ac:dyDescent="0.75">
      <c r="A6" t="s">
        <v>761</v>
      </c>
      <c r="B6" t="s">
        <v>230</v>
      </c>
      <c r="C6" t="s">
        <v>0</v>
      </c>
      <c r="D6" s="29">
        <v>38928000</v>
      </c>
    </row>
    <row r="7" spans="1:4" x14ac:dyDescent="0.75">
      <c r="A7" s="43" t="s">
        <v>761</v>
      </c>
      <c r="B7" t="s">
        <v>312</v>
      </c>
      <c r="C7" t="s">
        <v>313</v>
      </c>
      <c r="D7" s="29">
        <v>2867000</v>
      </c>
    </row>
    <row r="8" spans="1:4" x14ac:dyDescent="0.75">
      <c r="A8" s="43" t="s">
        <v>761</v>
      </c>
      <c r="B8" t="s">
        <v>314</v>
      </c>
      <c r="C8" t="s">
        <v>37</v>
      </c>
      <c r="D8" s="29">
        <v>43851000</v>
      </c>
    </row>
    <row r="9" spans="1:4" x14ac:dyDescent="0.75">
      <c r="A9" s="43" t="s">
        <v>761</v>
      </c>
      <c r="B9" t="s">
        <v>315</v>
      </c>
      <c r="C9" t="s">
        <v>193</v>
      </c>
      <c r="D9" s="29">
        <v>55000</v>
      </c>
    </row>
    <row r="10" spans="1:4" x14ac:dyDescent="0.75">
      <c r="A10" s="43" t="s">
        <v>761</v>
      </c>
      <c r="B10" t="s">
        <v>316</v>
      </c>
      <c r="C10" t="s">
        <v>1</v>
      </c>
      <c r="D10" s="29">
        <v>77000</v>
      </c>
    </row>
    <row r="11" spans="1:4" x14ac:dyDescent="0.75">
      <c r="A11" s="43" t="s">
        <v>761</v>
      </c>
      <c r="B11" t="s">
        <v>182</v>
      </c>
      <c r="C11" t="s">
        <v>165</v>
      </c>
      <c r="D11" s="29">
        <v>32866000</v>
      </c>
    </row>
    <row r="12" spans="1:4" x14ac:dyDescent="0.75">
      <c r="A12" s="43" t="s">
        <v>761</v>
      </c>
      <c r="B12" t="s">
        <v>317</v>
      </c>
      <c r="C12" t="s">
        <v>318</v>
      </c>
      <c r="D12" s="29">
        <v>98000</v>
      </c>
    </row>
    <row r="13" spans="1:4" x14ac:dyDescent="0.75">
      <c r="A13" s="43" t="s">
        <v>761</v>
      </c>
      <c r="B13" t="s">
        <v>321</v>
      </c>
      <c r="C13" t="s">
        <v>322</v>
      </c>
      <c r="D13" s="29">
        <v>45303000</v>
      </c>
    </row>
    <row r="14" spans="1:4" x14ac:dyDescent="0.75">
      <c r="A14" s="43" t="s">
        <v>761</v>
      </c>
      <c r="B14" t="s">
        <v>234</v>
      </c>
      <c r="C14" t="s">
        <v>3</v>
      </c>
      <c r="D14" s="29">
        <v>2963000</v>
      </c>
    </row>
    <row r="15" spans="1:4" x14ac:dyDescent="0.75">
      <c r="A15" s="43" t="s">
        <v>761</v>
      </c>
      <c r="B15" t="s">
        <v>323</v>
      </c>
      <c r="C15" t="s">
        <v>324</v>
      </c>
      <c r="D15" s="29">
        <v>107000</v>
      </c>
    </row>
    <row r="16" spans="1:4" x14ac:dyDescent="0.75">
      <c r="A16" s="43" t="s">
        <v>761</v>
      </c>
      <c r="B16" t="s">
        <v>325</v>
      </c>
      <c r="C16" t="s">
        <v>4</v>
      </c>
      <c r="D16" s="29">
        <v>25608000</v>
      </c>
    </row>
    <row r="17" spans="1:4" x14ac:dyDescent="0.75">
      <c r="A17" s="43" t="s">
        <v>761</v>
      </c>
      <c r="B17" t="s">
        <v>326</v>
      </c>
      <c r="C17" t="s">
        <v>5</v>
      </c>
      <c r="D17" s="29">
        <v>8883000</v>
      </c>
    </row>
    <row r="18" spans="1:4" x14ac:dyDescent="0.75">
      <c r="A18" s="43" t="s">
        <v>761</v>
      </c>
      <c r="B18" t="s">
        <v>235</v>
      </c>
      <c r="C18" t="s">
        <v>6</v>
      </c>
      <c r="D18" s="29">
        <v>10115000</v>
      </c>
    </row>
    <row r="19" spans="1:4" x14ac:dyDescent="0.75">
      <c r="A19" s="43" t="s">
        <v>761</v>
      </c>
      <c r="B19" t="s">
        <v>327</v>
      </c>
      <c r="C19" t="s">
        <v>14</v>
      </c>
      <c r="D19" s="29">
        <v>393000</v>
      </c>
    </row>
    <row r="20" spans="1:4" x14ac:dyDescent="0.75">
      <c r="A20" s="43" t="s">
        <v>761</v>
      </c>
      <c r="B20" t="s">
        <v>328</v>
      </c>
      <c r="C20" t="s">
        <v>13</v>
      </c>
      <c r="D20" s="29">
        <v>1702000</v>
      </c>
    </row>
    <row r="21" spans="1:4" x14ac:dyDescent="0.75">
      <c r="A21" s="43" t="s">
        <v>761</v>
      </c>
      <c r="B21" t="s">
        <v>240</v>
      </c>
      <c r="C21" t="s">
        <v>11</v>
      </c>
      <c r="D21" s="29">
        <v>164689000</v>
      </c>
    </row>
    <row r="22" spans="1:4" x14ac:dyDescent="0.75">
      <c r="A22" s="43" t="s">
        <v>761</v>
      </c>
      <c r="B22" t="s">
        <v>329</v>
      </c>
      <c r="C22" t="s">
        <v>330</v>
      </c>
      <c r="D22" s="29">
        <v>287000</v>
      </c>
    </row>
    <row r="23" spans="1:4" x14ac:dyDescent="0.75">
      <c r="A23" s="43" t="s">
        <v>761</v>
      </c>
      <c r="B23" t="s">
        <v>331</v>
      </c>
      <c r="C23" t="s">
        <v>16</v>
      </c>
      <c r="D23" s="29">
        <v>9448000</v>
      </c>
    </row>
    <row r="24" spans="1:4" x14ac:dyDescent="0.75">
      <c r="A24" s="43" t="s">
        <v>761</v>
      </c>
      <c r="B24" t="s">
        <v>332</v>
      </c>
      <c r="C24" t="s">
        <v>8</v>
      </c>
      <c r="D24" s="29">
        <v>11538000</v>
      </c>
    </row>
    <row r="25" spans="1:4" x14ac:dyDescent="0.75">
      <c r="A25" s="43" t="s">
        <v>761</v>
      </c>
      <c r="B25" t="s">
        <v>333</v>
      </c>
      <c r="C25" t="s">
        <v>17</v>
      </c>
      <c r="D25" s="29">
        <v>398000</v>
      </c>
    </row>
    <row r="26" spans="1:4" x14ac:dyDescent="0.75">
      <c r="A26" s="43" t="s">
        <v>761</v>
      </c>
      <c r="B26" t="s">
        <v>183</v>
      </c>
      <c r="C26" t="s">
        <v>9</v>
      </c>
      <c r="D26" s="29">
        <v>12123000</v>
      </c>
    </row>
    <row r="27" spans="1:4" x14ac:dyDescent="0.75">
      <c r="A27" s="43" t="s">
        <v>761</v>
      </c>
      <c r="B27" t="s">
        <v>334</v>
      </c>
      <c r="C27" t="s">
        <v>335</v>
      </c>
      <c r="D27" s="31">
        <v>71750</v>
      </c>
    </row>
    <row r="28" spans="1:4" x14ac:dyDescent="0.75">
      <c r="A28" s="43" t="s">
        <v>761</v>
      </c>
      <c r="B28" t="s">
        <v>241</v>
      </c>
      <c r="C28" t="s">
        <v>21</v>
      </c>
      <c r="D28" s="29">
        <v>772000</v>
      </c>
    </row>
    <row r="29" spans="1:4" x14ac:dyDescent="0.75">
      <c r="A29" s="43" t="s">
        <v>761</v>
      </c>
      <c r="B29" t="s">
        <v>219</v>
      </c>
      <c r="C29" t="s">
        <v>18</v>
      </c>
      <c r="D29" s="29">
        <v>11673000</v>
      </c>
    </row>
    <row r="30" spans="1:4" x14ac:dyDescent="0.75">
      <c r="A30" s="43" t="s">
        <v>761</v>
      </c>
      <c r="B30" t="s">
        <v>336</v>
      </c>
      <c r="C30" t="s">
        <v>15</v>
      </c>
      <c r="D30" s="29">
        <v>3281000</v>
      </c>
    </row>
    <row r="31" spans="1:4" x14ac:dyDescent="0.75">
      <c r="A31" s="43" t="s">
        <v>761</v>
      </c>
      <c r="B31" t="s">
        <v>184</v>
      </c>
      <c r="C31" t="s">
        <v>22</v>
      </c>
      <c r="D31" s="29">
        <v>2352000</v>
      </c>
    </row>
    <row r="32" spans="1:4" x14ac:dyDescent="0.75">
      <c r="A32" s="43" t="s">
        <v>761</v>
      </c>
      <c r="B32" t="s">
        <v>337</v>
      </c>
      <c r="C32" t="s">
        <v>19</v>
      </c>
      <c r="D32" s="29">
        <v>212559000</v>
      </c>
    </row>
    <row r="33" spans="1:4" x14ac:dyDescent="0.75">
      <c r="A33" s="43" t="s">
        <v>761</v>
      </c>
      <c r="B33" t="s">
        <v>338</v>
      </c>
      <c r="C33" t="s">
        <v>339</v>
      </c>
      <c r="D33" s="29">
        <v>30000</v>
      </c>
    </row>
    <row r="34" spans="1:4" x14ac:dyDescent="0.75">
      <c r="A34" s="43" t="s">
        <v>761</v>
      </c>
      <c r="B34" t="s">
        <v>340</v>
      </c>
      <c r="C34" t="s">
        <v>20</v>
      </c>
      <c r="D34" s="29">
        <v>437000</v>
      </c>
    </row>
    <row r="35" spans="1:4" x14ac:dyDescent="0.75">
      <c r="A35" s="43" t="s">
        <v>761</v>
      </c>
      <c r="B35" t="s">
        <v>341</v>
      </c>
      <c r="C35" t="s">
        <v>12</v>
      </c>
      <c r="D35" s="29">
        <v>6916000</v>
      </c>
    </row>
    <row r="36" spans="1:4" x14ac:dyDescent="0.75">
      <c r="A36" s="43" t="s">
        <v>761</v>
      </c>
      <c r="B36" t="s">
        <v>185</v>
      </c>
      <c r="C36" t="s">
        <v>10</v>
      </c>
      <c r="D36" s="29">
        <v>20903000</v>
      </c>
    </row>
    <row r="37" spans="1:4" x14ac:dyDescent="0.75">
      <c r="A37" s="43" t="s">
        <v>761</v>
      </c>
      <c r="B37" t="s">
        <v>186</v>
      </c>
      <c r="C37" t="s">
        <v>7</v>
      </c>
      <c r="D37" s="29">
        <v>11891000</v>
      </c>
    </row>
    <row r="38" spans="1:4" x14ac:dyDescent="0.75">
      <c r="A38" s="43" t="s">
        <v>761</v>
      </c>
      <c r="B38" t="s">
        <v>342</v>
      </c>
      <c r="C38" t="s">
        <v>30</v>
      </c>
      <c r="D38" s="29">
        <v>556000</v>
      </c>
    </row>
    <row r="39" spans="1:4" x14ac:dyDescent="0.75">
      <c r="A39" s="43" t="s">
        <v>761</v>
      </c>
      <c r="B39" t="s">
        <v>247</v>
      </c>
      <c r="C39" t="s">
        <v>72</v>
      </c>
      <c r="D39" s="29">
        <v>16719000</v>
      </c>
    </row>
    <row r="40" spans="1:4" x14ac:dyDescent="0.75">
      <c r="A40" s="43" t="s">
        <v>761</v>
      </c>
      <c r="B40" t="s">
        <v>187</v>
      </c>
      <c r="C40" t="s">
        <v>27</v>
      </c>
      <c r="D40" s="29">
        <v>26546000</v>
      </c>
    </row>
    <row r="41" spans="1:4" x14ac:dyDescent="0.75">
      <c r="A41" s="43" t="s">
        <v>761</v>
      </c>
      <c r="B41" t="s">
        <v>343</v>
      </c>
      <c r="C41" t="s">
        <v>159</v>
      </c>
      <c r="D41" s="29">
        <v>37684000</v>
      </c>
    </row>
    <row r="42" spans="1:4" x14ac:dyDescent="0.75">
      <c r="A42" s="43" t="s">
        <v>761</v>
      </c>
      <c r="B42" t="s">
        <v>346</v>
      </c>
      <c r="C42" t="s">
        <v>347</v>
      </c>
      <c r="D42" s="29">
        <v>66000</v>
      </c>
    </row>
    <row r="43" spans="1:4" x14ac:dyDescent="0.75">
      <c r="A43" s="43" t="s">
        <v>761</v>
      </c>
      <c r="B43" t="s">
        <v>188</v>
      </c>
      <c r="C43" t="s">
        <v>173</v>
      </c>
      <c r="D43" s="29">
        <v>4830000</v>
      </c>
    </row>
    <row r="44" spans="1:4" x14ac:dyDescent="0.75">
      <c r="A44" s="43" t="s">
        <v>761</v>
      </c>
      <c r="B44" t="s">
        <v>189</v>
      </c>
      <c r="C44" t="s">
        <v>169</v>
      </c>
      <c r="D44" s="29">
        <v>16426000</v>
      </c>
    </row>
    <row r="45" spans="1:4" x14ac:dyDescent="0.75">
      <c r="A45" s="43" t="s">
        <v>761</v>
      </c>
      <c r="B45" t="s">
        <v>350</v>
      </c>
      <c r="C45" t="s">
        <v>351</v>
      </c>
      <c r="D45" s="29">
        <v>174000</v>
      </c>
    </row>
    <row r="46" spans="1:4" x14ac:dyDescent="0.75">
      <c r="A46" s="43" t="s">
        <v>761</v>
      </c>
      <c r="B46" t="s">
        <v>220</v>
      </c>
      <c r="C46" t="s">
        <v>24</v>
      </c>
      <c r="D46" s="29">
        <v>19116000</v>
      </c>
    </row>
    <row r="47" spans="1:4" x14ac:dyDescent="0.75">
      <c r="A47" s="43" t="s">
        <v>761</v>
      </c>
      <c r="B47" t="s">
        <v>352</v>
      </c>
      <c r="C47" t="s">
        <v>25</v>
      </c>
      <c r="D47" s="29">
        <v>1401379000</v>
      </c>
    </row>
    <row r="48" spans="1:4" x14ac:dyDescent="0.75">
      <c r="A48" s="43" t="s">
        <v>761</v>
      </c>
      <c r="B48" t="s">
        <v>353</v>
      </c>
      <c r="C48" t="s">
        <v>354</v>
      </c>
      <c r="D48" s="29">
        <v>50883000</v>
      </c>
    </row>
    <row r="49" spans="1:4" x14ac:dyDescent="0.75">
      <c r="A49" s="43" t="s">
        <v>761</v>
      </c>
      <c r="B49" t="s">
        <v>190</v>
      </c>
      <c r="C49" t="s">
        <v>157</v>
      </c>
      <c r="D49" s="29">
        <v>870000</v>
      </c>
    </row>
    <row r="50" spans="1:4" x14ac:dyDescent="0.75">
      <c r="A50" s="43" t="s">
        <v>761</v>
      </c>
      <c r="B50" t="s">
        <v>355</v>
      </c>
      <c r="C50" t="s">
        <v>1130</v>
      </c>
      <c r="D50" s="29">
        <v>89561000</v>
      </c>
    </row>
    <row r="51" spans="1:4" x14ac:dyDescent="0.75">
      <c r="A51" s="43" t="s">
        <v>761</v>
      </c>
      <c r="B51" t="s">
        <v>356</v>
      </c>
      <c r="C51" t="s">
        <v>29</v>
      </c>
      <c r="D51" s="29">
        <v>5518000</v>
      </c>
    </row>
    <row r="52" spans="1:4" x14ac:dyDescent="0.75">
      <c r="A52" s="43" t="s">
        <v>761</v>
      </c>
      <c r="B52" t="s">
        <v>357</v>
      </c>
      <c r="C52" t="s">
        <v>31</v>
      </c>
      <c r="D52" s="29">
        <v>5094000</v>
      </c>
    </row>
    <row r="53" spans="1:4" x14ac:dyDescent="0.75">
      <c r="A53" s="43" t="s">
        <v>761</v>
      </c>
      <c r="B53" t="s">
        <v>358</v>
      </c>
      <c r="C53" t="s">
        <v>26</v>
      </c>
      <c r="D53" s="29">
        <v>26378000</v>
      </c>
    </row>
    <row r="54" spans="1:4" x14ac:dyDescent="0.75">
      <c r="A54" s="43" t="s">
        <v>761</v>
      </c>
      <c r="B54" t="s">
        <v>359</v>
      </c>
      <c r="C54" t="s">
        <v>55</v>
      </c>
      <c r="D54" s="29">
        <v>4052000</v>
      </c>
    </row>
    <row r="55" spans="1:4" x14ac:dyDescent="0.75">
      <c r="A55" s="43" t="s">
        <v>761</v>
      </c>
      <c r="B55" t="s">
        <v>221</v>
      </c>
      <c r="C55" t="s">
        <v>161</v>
      </c>
      <c r="D55" s="29">
        <v>11327000</v>
      </c>
    </row>
    <row r="56" spans="1:4" x14ac:dyDescent="0.75">
      <c r="A56" s="43" t="s">
        <v>761</v>
      </c>
      <c r="B56" t="s">
        <v>360</v>
      </c>
      <c r="C56" t="s">
        <v>361</v>
      </c>
      <c r="D56" s="29">
        <v>162000</v>
      </c>
    </row>
    <row r="57" spans="1:4" x14ac:dyDescent="0.75">
      <c r="A57" s="43" t="s">
        <v>761</v>
      </c>
      <c r="B57" t="s">
        <v>362</v>
      </c>
      <c r="C57" t="s">
        <v>32</v>
      </c>
      <c r="D57" s="29">
        <v>1207000</v>
      </c>
    </row>
    <row r="58" spans="1:4" x14ac:dyDescent="0.75">
      <c r="A58" s="43" t="s">
        <v>761</v>
      </c>
      <c r="B58" t="s">
        <v>363</v>
      </c>
      <c r="C58" t="s">
        <v>33</v>
      </c>
      <c r="D58" s="29">
        <v>10631000</v>
      </c>
    </row>
    <row r="59" spans="1:4" x14ac:dyDescent="0.75">
      <c r="A59" s="43" t="s">
        <v>761</v>
      </c>
      <c r="B59" t="s">
        <v>364</v>
      </c>
      <c r="C59" t="s">
        <v>36</v>
      </c>
      <c r="D59" s="29">
        <v>5840000</v>
      </c>
    </row>
    <row r="60" spans="1:4" x14ac:dyDescent="0.75">
      <c r="A60" s="43" t="s">
        <v>761</v>
      </c>
      <c r="B60" t="s">
        <v>231</v>
      </c>
      <c r="C60" t="s">
        <v>35</v>
      </c>
      <c r="D60" s="29">
        <v>988000</v>
      </c>
    </row>
    <row r="61" spans="1:4" x14ac:dyDescent="0.75">
      <c r="A61" s="43" t="s">
        <v>761</v>
      </c>
      <c r="B61" t="s">
        <v>365</v>
      </c>
      <c r="C61" t="s">
        <v>366</v>
      </c>
      <c r="D61" s="29">
        <v>72000</v>
      </c>
    </row>
    <row r="62" spans="1:4" x14ac:dyDescent="0.75">
      <c r="A62" s="43" t="s">
        <v>761</v>
      </c>
      <c r="B62" t="s">
        <v>367</v>
      </c>
      <c r="C62" t="s">
        <v>368</v>
      </c>
      <c r="D62" s="29">
        <v>10848000</v>
      </c>
    </row>
    <row r="63" spans="1:4" x14ac:dyDescent="0.75">
      <c r="A63" s="43" t="s">
        <v>761</v>
      </c>
      <c r="B63" t="s">
        <v>377</v>
      </c>
      <c r="C63" t="s">
        <v>38</v>
      </c>
      <c r="D63" s="29">
        <v>17643000</v>
      </c>
    </row>
    <row r="64" spans="1:4" x14ac:dyDescent="0.75">
      <c r="A64" s="43" t="s">
        <v>761</v>
      </c>
      <c r="B64" t="s">
        <v>378</v>
      </c>
      <c r="C64" t="s">
        <v>39</v>
      </c>
      <c r="D64" s="29">
        <v>102334000</v>
      </c>
    </row>
    <row r="65" spans="1:4" x14ac:dyDescent="0.75">
      <c r="A65" s="43" t="s">
        <v>761</v>
      </c>
      <c r="B65" t="s">
        <v>222</v>
      </c>
      <c r="C65" t="s">
        <v>164</v>
      </c>
      <c r="D65" s="29">
        <v>6486000</v>
      </c>
    </row>
    <row r="66" spans="1:4" x14ac:dyDescent="0.75">
      <c r="A66" s="43" t="s">
        <v>761</v>
      </c>
      <c r="B66" t="s">
        <v>191</v>
      </c>
      <c r="C66" t="s">
        <v>174</v>
      </c>
      <c r="D66" s="29">
        <v>1403000</v>
      </c>
    </row>
    <row r="67" spans="1:4" x14ac:dyDescent="0.75">
      <c r="A67" s="43" t="s">
        <v>761</v>
      </c>
      <c r="B67" t="s">
        <v>192</v>
      </c>
      <c r="C67" t="s">
        <v>168</v>
      </c>
      <c r="D67" s="31">
        <v>6081196</v>
      </c>
    </row>
    <row r="68" spans="1:4" x14ac:dyDescent="0.75">
      <c r="A68" s="43" t="s">
        <v>761</v>
      </c>
      <c r="B68" t="s">
        <v>379</v>
      </c>
      <c r="C68" t="s">
        <v>41</v>
      </c>
      <c r="D68" s="29">
        <v>1313000</v>
      </c>
    </row>
    <row r="69" spans="1:4" x14ac:dyDescent="0.75">
      <c r="A69" s="43" t="s">
        <v>761</v>
      </c>
      <c r="B69" t="s">
        <v>380</v>
      </c>
      <c r="C69" t="s">
        <v>134</v>
      </c>
      <c r="D69" s="29">
        <v>1160000</v>
      </c>
    </row>
    <row r="70" spans="1:4" x14ac:dyDescent="0.75">
      <c r="A70" s="43" t="s">
        <v>761</v>
      </c>
      <c r="B70" t="s">
        <v>194</v>
      </c>
      <c r="C70" t="s">
        <v>42</v>
      </c>
      <c r="D70" s="29">
        <v>114964000</v>
      </c>
    </row>
    <row r="71" spans="1:4" x14ac:dyDescent="0.75">
      <c r="A71" s="43" t="s">
        <v>761</v>
      </c>
      <c r="B71" t="s">
        <v>391</v>
      </c>
      <c r="C71" t="s">
        <v>392</v>
      </c>
      <c r="D71" s="29">
        <v>49000</v>
      </c>
    </row>
    <row r="72" spans="1:4" x14ac:dyDescent="0.75">
      <c r="A72" s="43" t="s">
        <v>761</v>
      </c>
      <c r="B72" t="s">
        <v>248</v>
      </c>
      <c r="C72" t="s">
        <v>44</v>
      </c>
      <c r="D72" s="29">
        <v>896000</v>
      </c>
    </row>
    <row r="73" spans="1:4" x14ac:dyDescent="0.75">
      <c r="A73" s="43" t="s">
        <v>761</v>
      </c>
      <c r="B73" t="s">
        <v>393</v>
      </c>
      <c r="C73" t="s">
        <v>43</v>
      </c>
      <c r="D73" s="29">
        <v>5548000</v>
      </c>
    </row>
    <row r="74" spans="1:4" x14ac:dyDescent="0.75">
      <c r="A74" s="43" t="s">
        <v>761</v>
      </c>
      <c r="B74" t="s">
        <v>396</v>
      </c>
      <c r="C74" t="s">
        <v>45</v>
      </c>
      <c r="D74" s="29">
        <v>67443000</v>
      </c>
    </row>
    <row r="75" spans="1:4" x14ac:dyDescent="0.75">
      <c r="A75" s="43" t="s">
        <v>761</v>
      </c>
      <c r="B75" t="s">
        <v>397</v>
      </c>
      <c r="C75" t="s">
        <v>398</v>
      </c>
      <c r="D75" s="29">
        <v>281000</v>
      </c>
    </row>
    <row r="76" spans="1:4" x14ac:dyDescent="0.75">
      <c r="A76" s="43" t="s">
        <v>761</v>
      </c>
      <c r="B76" t="s">
        <v>195</v>
      </c>
      <c r="C76" t="s">
        <v>46</v>
      </c>
      <c r="D76" s="29">
        <v>2226000</v>
      </c>
    </row>
    <row r="77" spans="1:4" x14ac:dyDescent="0.75">
      <c r="A77" s="43" t="s">
        <v>761</v>
      </c>
      <c r="B77" t="s">
        <v>399</v>
      </c>
      <c r="C77" t="s">
        <v>50</v>
      </c>
      <c r="D77" s="29">
        <v>2417000</v>
      </c>
    </row>
    <row r="78" spans="1:4" x14ac:dyDescent="0.75">
      <c r="A78" s="43" t="s">
        <v>761</v>
      </c>
      <c r="B78" t="s">
        <v>236</v>
      </c>
      <c r="C78" t="s">
        <v>48</v>
      </c>
      <c r="D78" s="29">
        <v>3711000</v>
      </c>
    </row>
    <row r="79" spans="1:4" x14ac:dyDescent="0.75">
      <c r="A79" s="43" t="s">
        <v>761</v>
      </c>
      <c r="B79" t="s">
        <v>400</v>
      </c>
      <c r="C79" t="s">
        <v>34</v>
      </c>
      <c r="D79" s="29">
        <v>82678000</v>
      </c>
    </row>
    <row r="80" spans="1:4" x14ac:dyDescent="0.75">
      <c r="A80" s="43" t="s">
        <v>761</v>
      </c>
      <c r="B80" t="s">
        <v>196</v>
      </c>
      <c r="C80" t="s">
        <v>162</v>
      </c>
      <c r="D80" s="29">
        <v>31073000</v>
      </c>
    </row>
    <row r="81" spans="1:4" x14ac:dyDescent="0.75">
      <c r="A81" s="43" t="s">
        <v>761</v>
      </c>
      <c r="B81" t="s">
        <v>401</v>
      </c>
      <c r="C81" t="s">
        <v>402</v>
      </c>
      <c r="D81" s="29">
        <v>34000</v>
      </c>
    </row>
    <row r="82" spans="1:4" x14ac:dyDescent="0.75">
      <c r="A82" s="43" t="s">
        <v>761</v>
      </c>
      <c r="B82" t="s">
        <v>403</v>
      </c>
      <c r="C82" t="s">
        <v>51</v>
      </c>
      <c r="D82" s="29">
        <v>10665000</v>
      </c>
    </row>
    <row r="83" spans="1:4" x14ac:dyDescent="0.75">
      <c r="A83" s="43" t="s">
        <v>761</v>
      </c>
      <c r="B83" t="s">
        <v>404</v>
      </c>
      <c r="C83" t="s">
        <v>405</v>
      </c>
      <c r="D83" s="31">
        <v>57616</v>
      </c>
    </row>
    <row r="84" spans="1:4" x14ac:dyDescent="0.75">
      <c r="A84" s="43" t="s">
        <v>761</v>
      </c>
      <c r="B84" t="s">
        <v>406</v>
      </c>
      <c r="C84" t="s">
        <v>52</v>
      </c>
      <c r="D84" s="29">
        <v>113000</v>
      </c>
    </row>
    <row r="85" spans="1:4" x14ac:dyDescent="0.75">
      <c r="A85" s="43" t="s">
        <v>761</v>
      </c>
      <c r="B85" t="s">
        <v>407</v>
      </c>
      <c r="C85" t="s">
        <v>408</v>
      </c>
      <c r="D85" s="29">
        <v>169000</v>
      </c>
    </row>
    <row r="86" spans="1:4" x14ac:dyDescent="0.75">
      <c r="A86" s="43" t="s">
        <v>761</v>
      </c>
      <c r="B86" t="s">
        <v>223</v>
      </c>
      <c r="C86" t="s">
        <v>53</v>
      </c>
      <c r="D86" s="29">
        <v>17916000</v>
      </c>
    </row>
    <row r="87" spans="1:4" x14ac:dyDescent="0.75">
      <c r="A87" s="43" t="s">
        <v>761</v>
      </c>
      <c r="B87" t="s">
        <v>197</v>
      </c>
      <c r="C87" t="s">
        <v>49</v>
      </c>
      <c r="D87" s="29">
        <v>13133000</v>
      </c>
    </row>
    <row r="88" spans="1:4" x14ac:dyDescent="0.75">
      <c r="A88" s="43" t="s">
        <v>761</v>
      </c>
      <c r="B88" t="s">
        <v>198</v>
      </c>
      <c r="C88" t="s">
        <v>172</v>
      </c>
      <c r="D88" s="29">
        <v>1968000</v>
      </c>
    </row>
    <row r="89" spans="1:4" x14ac:dyDescent="0.75">
      <c r="A89" s="43" t="s">
        <v>761</v>
      </c>
      <c r="B89" t="s">
        <v>224</v>
      </c>
      <c r="C89" t="s">
        <v>54</v>
      </c>
      <c r="D89" s="29">
        <v>787000</v>
      </c>
    </row>
    <row r="90" spans="1:4" x14ac:dyDescent="0.75">
      <c r="A90" s="43" t="s">
        <v>761</v>
      </c>
      <c r="B90" t="s">
        <v>225</v>
      </c>
      <c r="C90" t="s">
        <v>56</v>
      </c>
      <c r="D90" s="29">
        <v>11403000</v>
      </c>
    </row>
    <row r="91" spans="1:4" x14ac:dyDescent="0.75">
      <c r="A91" s="43" t="s">
        <v>761</v>
      </c>
      <c r="B91" t="s">
        <v>226</v>
      </c>
      <c r="C91" t="s">
        <v>166</v>
      </c>
      <c r="D91" s="29">
        <v>9905000</v>
      </c>
    </row>
    <row r="92" spans="1:4" x14ac:dyDescent="0.75">
      <c r="A92" s="43" t="s">
        <v>761</v>
      </c>
      <c r="B92" t="s">
        <v>413</v>
      </c>
      <c r="C92" t="s">
        <v>414</v>
      </c>
      <c r="D92" s="29">
        <v>7564000</v>
      </c>
    </row>
    <row r="93" spans="1:4" x14ac:dyDescent="0.75">
      <c r="A93" s="43" t="s">
        <v>761</v>
      </c>
      <c r="B93" t="s">
        <v>415</v>
      </c>
      <c r="C93" t="s">
        <v>57</v>
      </c>
      <c r="D93" s="29">
        <v>9695000</v>
      </c>
    </row>
    <row r="94" spans="1:4" x14ac:dyDescent="0.75">
      <c r="A94" s="43" t="s">
        <v>761</v>
      </c>
      <c r="B94" t="s">
        <v>416</v>
      </c>
      <c r="C94" t="s">
        <v>63</v>
      </c>
      <c r="D94" s="29">
        <v>359000</v>
      </c>
    </row>
    <row r="95" spans="1:4" x14ac:dyDescent="0.75">
      <c r="A95" s="43" t="s">
        <v>761</v>
      </c>
      <c r="B95" t="s">
        <v>417</v>
      </c>
      <c r="C95" t="s">
        <v>59</v>
      </c>
      <c r="D95" s="29">
        <v>1380004000</v>
      </c>
    </row>
    <row r="96" spans="1:4" x14ac:dyDescent="0.75">
      <c r="A96" s="43" t="s">
        <v>761</v>
      </c>
      <c r="B96" t="s">
        <v>242</v>
      </c>
      <c r="C96" t="s">
        <v>58</v>
      </c>
      <c r="D96" s="29">
        <v>273524000</v>
      </c>
    </row>
    <row r="97" spans="1:4" x14ac:dyDescent="0.75">
      <c r="A97" s="43" t="s">
        <v>761</v>
      </c>
      <c r="B97" t="s">
        <v>418</v>
      </c>
      <c r="C97" t="s">
        <v>61</v>
      </c>
      <c r="D97" s="29">
        <v>83993000</v>
      </c>
    </row>
    <row r="98" spans="1:4" x14ac:dyDescent="0.75">
      <c r="A98" s="43" t="s">
        <v>761</v>
      </c>
      <c r="B98" t="s">
        <v>419</v>
      </c>
      <c r="C98" t="s">
        <v>62</v>
      </c>
      <c r="D98" s="29">
        <v>40222000</v>
      </c>
    </row>
    <row r="99" spans="1:4" x14ac:dyDescent="0.75">
      <c r="A99" s="43" t="s">
        <v>761</v>
      </c>
      <c r="B99" t="s">
        <v>420</v>
      </c>
      <c r="C99" t="s">
        <v>60</v>
      </c>
      <c r="D99" s="29">
        <v>4933000</v>
      </c>
    </row>
    <row r="100" spans="1:4" x14ac:dyDescent="0.75">
      <c r="A100" s="43" t="s">
        <v>761</v>
      </c>
      <c r="B100" t="s">
        <v>421</v>
      </c>
      <c r="C100" t="s">
        <v>422</v>
      </c>
      <c r="D100" s="29">
        <v>85000</v>
      </c>
    </row>
    <row r="101" spans="1:4" x14ac:dyDescent="0.75">
      <c r="A101" s="43" t="s">
        <v>761</v>
      </c>
      <c r="B101" t="s">
        <v>423</v>
      </c>
      <c r="C101" t="s">
        <v>64</v>
      </c>
      <c r="D101" s="29">
        <v>9152000</v>
      </c>
    </row>
    <row r="102" spans="1:4" x14ac:dyDescent="0.75">
      <c r="A102" s="43" t="s">
        <v>761</v>
      </c>
      <c r="B102" t="s">
        <v>424</v>
      </c>
      <c r="C102" t="s">
        <v>65</v>
      </c>
      <c r="D102" s="29">
        <v>60250000</v>
      </c>
    </row>
    <row r="103" spans="1:4" x14ac:dyDescent="0.75">
      <c r="A103" s="43" t="s">
        <v>761</v>
      </c>
      <c r="B103" t="s">
        <v>425</v>
      </c>
      <c r="C103" t="s">
        <v>66</v>
      </c>
      <c r="D103" s="29">
        <v>2961000</v>
      </c>
    </row>
    <row r="104" spans="1:4" x14ac:dyDescent="0.75">
      <c r="A104" s="43" t="s">
        <v>761</v>
      </c>
      <c r="B104" t="s">
        <v>426</v>
      </c>
      <c r="C104" t="s">
        <v>68</v>
      </c>
      <c r="D104" s="29">
        <v>125661000</v>
      </c>
    </row>
    <row r="105" spans="1:4" x14ac:dyDescent="0.75">
      <c r="A105" s="43" t="s">
        <v>761</v>
      </c>
      <c r="B105" t="s">
        <v>427</v>
      </c>
      <c r="C105" t="s">
        <v>67</v>
      </c>
      <c r="D105" s="29">
        <v>10203000</v>
      </c>
    </row>
    <row r="106" spans="1:4" x14ac:dyDescent="0.75">
      <c r="A106" s="43" t="s">
        <v>761</v>
      </c>
      <c r="B106" t="s">
        <v>428</v>
      </c>
      <c r="C106" t="s">
        <v>69</v>
      </c>
      <c r="D106" s="29">
        <v>18654000</v>
      </c>
    </row>
    <row r="107" spans="1:4" x14ac:dyDescent="0.75">
      <c r="A107" s="43" t="s">
        <v>761</v>
      </c>
      <c r="B107" t="s">
        <v>199</v>
      </c>
      <c r="C107" t="s">
        <v>70</v>
      </c>
      <c r="D107" s="29">
        <v>53771000</v>
      </c>
    </row>
    <row r="108" spans="1:4" x14ac:dyDescent="0.75">
      <c r="A108" s="43" t="s">
        <v>761</v>
      </c>
      <c r="B108" t="s">
        <v>249</v>
      </c>
      <c r="C108" t="s">
        <v>73</v>
      </c>
      <c r="D108" s="29">
        <v>119000</v>
      </c>
    </row>
    <row r="109" spans="1:4" x14ac:dyDescent="0.75">
      <c r="A109" s="43" t="s">
        <v>761</v>
      </c>
      <c r="B109" t="s">
        <v>429</v>
      </c>
      <c r="C109" t="s">
        <v>158</v>
      </c>
      <c r="D109" s="29">
        <v>25779000</v>
      </c>
    </row>
    <row r="110" spans="1:4" x14ac:dyDescent="0.75">
      <c r="A110" s="43" t="s">
        <v>761</v>
      </c>
      <c r="B110" t="s">
        <v>430</v>
      </c>
      <c r="C110" t="s">
        <v>74</v>
      </c>
      <c r="D110" s="29">
        <v>51922000</v>
      </c>
    </row>
    <row r="111" spans="1:4" x14ac:dyDescent="0.75">
      <c r="A111" s="43" t="s">
        <v>761</v>
      </c>
      <c r="B111" t="s">
        <v>237</v>
      </c>
      <c r="C111" t="s">
        <v>431</v>
      </c>
      <c r="D111" s="29">
        <v>1870000</v>
      </c>
    </row>
    <row r="112" spans="1:4" x14ac:dyDescent="0.75">
      <c r="A112" s="43" t="s">
        <v>761</v>
      </c>
      <c r="B112" t="s">
        <v>432</v>
      </c>
      <c r="C112" t="s">
        <v>75</v>
      </c>
      <c r="D112" s="29">
        <v>4271000</v>
      </c>
    </row>
    <row r="113" spans="1:4" x14ac:dyDescent="0.75">
      <c r="A113" s="43" t="s">
        <v>761</v>
      </c>
      <c r="B113" t="s">
        <v>433</v>
      </c>
      <c r="C113" t="s">
        <v>71</v>
      </c>
      <c r="D113" s="29">
        <v>6489000</v>
      </c>
    </row>
    <row r="114" spans="1:4" ht="21.75" customHeight="1" x14ac:dyDescent="0.75">
      <c r="A114" s="43" t="s">
        <v>761</v>
      </c>
      <c r="B114" t="s">
        <v>434</v>
      </c>
      <c r="C114" t="s">
        <v>76</v>
      </c>
      <c r="D114" s="29">
        <v>7276000</v>
      </c>
    </row>
    <row r="115" spans="1:4" x14ac:dyDescent="0.75">
      <c r="A115" s="43" t="s">
        <v>761</v>
      </c>
      <c r="B115" t="s">
        <v>443</v>
      </c>
      <c r="C115" t="s">
        <v>84</v>
      </c>
      <c r="D115" s="29">
        <v>1905000</v>
      </c>
    </row>
    <row r="116" spans="1:4" x14ac:dyDescent="0.75">
      <c r="A116" s="43" t="s">
        <v>761</v>
      </c>
      <c r="B116" t="s">
        <v>446</v>
      </c>
      <c r="C116" t="s">
        <v>77</v>
      </c>
      <c r="D116" s="29">
        <v>6825000</v>
      </c>
    </row>
    <row r="117" spans="1:4" x14ac:dyDescent="0.75">
      <c r="A117" s="43" t="s">
        <v>761</v>
      </c>
      <c r="B117" t="s">
        <v>200</v>
      </c>
      <c r="C117" t="s">
        <v>167</v>
      </c>
      <c r="D117" s="29">
        <v>2142000</v>
      </c>
    </row>
    <row r="118" spans="1:4" x14ac:dyDescent="0.75">
      <c r="A118" s="43" t="s">
        <v>761</v>
      </c>
      <c r="B118" t="s">
        <v>201</v>
      </c>
      <c r="C118" t="s">
        <v>78</v>
      </c>
      <c r="D118" s="29">
        <v>5058000</v>
      </c>
    </row>
    <row r="119" spans="1:4" x14ac:dyDescent="0.75">
      <c r="A119" s="43" t="s">
        <v>761</v>
      </c>
      <c r="B119" t="s">
        <v>447</v>
      </c>
      <c r="C119" t="s">
        <v>79</v>
      </c>
      <c r="D119" s="29">
        <v>6871000</v>
      </c>
    </row>
    <row r="120" spans="1:4" x14ac:dyDescent="0.75">
      <c r="A120" s="43" t="s">
        <v>761</v>
      </c>
      <c r="B120" t="s">
        <v>448</v>
      </c>
      <c r="C120" t="s">
        <v>449</v>
      </c>
      <c r="D120" s="29">
        <v>38000</v>
      </c>
    </row>
    <row r="121" spans="1:4" x14ac:dyDescent="0.75">
      <c r="A121" s="43" t="s">
        <v>761</v>
      </c>
      <c r="B121" t="s">
        <v>450</v>
      </c>
      <c r="C121" t="s">
        <v>82</v>
      </c>
      <c r="D121" s="29">
        <v>2767000</v>
      </c>
    </row>
    <row r="122" spans="1:4" x14ac:dyDescent="0.75">
      <c r="A122" s="43" t="s">
        <v>761</v>
      </c>
      <c r="B122" t="s">
        <v>457</v>
      </c>
      <c r="C122" t="s">
        <v>83</v>
      </c>
      <c r="D122" s="29">
        <v>622000</v>
      </c>
    </row>
    <row r="123" spans="1:4" x14ac:dyDescent="0.75">
      <c r="A123" s="43" t="s">
        <v>761</v>
      </c>
      <c r="B123" t="s">
        <v>458</v>
      </c>
      <c r="C123" t="s">
        <v>459</v>
      </c>
      <c r="D123" s="29">
        <v>649000</v>
      </c>
    </row>
    <row r="124" spans="1:4" x14ac:dyDescent="0.75">
      <c r="A124" s="43" t="s">
        <v>761</v>
      </c>
      <c r="B124" t="s">
        <v>202</v>
      </c>
      <c r="C124" t="s">
        <v>88</v>
      </c>
      <c r="D124" s="29">
        <v>27691000</v>
      </c>
    </row>
    <row r="125" spans="1:4" x14ac:dyDescent="0.75">
      <c r="A125" s="43" t="s">
        <v>761</v>
      </c>
      <c r="B125" t="s">
        <v>203</v>
      </c>
      <c r="C125" t="s">
        <v>100</v>
      </c>
      <c r="D125" s="29">
        <v>19130000</v>
      </c>
    </row>
    <row r="126" spans="1:4" x14ac:dyDescent="0.75">
      <c r="A126" s="43" t="s">
        <v>761</v>
      </c>
      <c r="B126" t="s">
        <v>460</v>
      </c>
      <c r="C126" t="s">
        <v>101</v>
      </c>
      <c r="D126" s="29">
        <v>32366000</v>
      </c>
    </row>
    <row r="127" spans="1:4" x14ac:dyDescent="0.75">
      <c r="A127" s="43" t="s">
        <v>761</v>
      </c>
      <c r="B127" t="s">
        <v>243</v>
      </c>
      <c r="C127" t="s">
        <v>89</v>
      </c>
      <c r="D127" s="29">
        <v>541000</v>
      </c>
    </row>
    <row r="128" spans="1:4" x14ac:dyDescent="0.75">
      <c r="A128" s="43" t="s">
        <v>761</v>
      </c>
      <c r="B128" t="s">
        <v>204</v>
      </c>
      <c r="C128" t="s">
        <v>92</v>
      </c>
      <c r="D128" s="29">
        <v>20251000</v>
      </c>
    </row>
    <row r="129" spans="1:4" x14ac:dyDescent="0.75">
      <c r="A129" s="43" t="s">
        <v>761</v>
      </c>
      <c r="B129" t="s">
        <v>461</v>
      </c>
      <c r="C129" t="s">
        <v>93</v>
      </c>
      <c r="D129" s="29">
        <v>486000</v>
      </c>
    </row>
    <row r="130" spans="1:4" x14ac:dyDescent="0.75">
      <c r="A130" s="43" t="s">
        <v>761</v>
      </c>
      <c r="B130" t="s">
        <v>462</v>
      </c>
      <c r="C130" t="s">
        <v>91</v>
      </c>
      <c r="D130" s="29">
        <v>59000</v>
      </c>
    </row>
    <row r="131" spans="1:4" x14ac:dyDescent="0.75">
      <c r="A131" s="43" t="s">
        <v>761</v>
      </c>
      <c r="B131" t="s">
        <v>205</v>
      </c>
      <c r="C131" t="s">
        <v>98</v>
      </c>
      <c r="D131" s="29">
        <v>4650000</v>
      </c>
    </row>
    <row r="132" spans="1:4" x14ac:dyDescent="0.75">
      <c r="A132" s="43" t="s">
        <v>761</v>
      </c>
      <c r="B132" t="s">
        <v>206</v>
      </c>
      <c r="C132" t="s">
        <v>99</v>
      </c>
      <c r="D132" s="29">
        <v>1270000</v>
      </c>
    </row>
    <row r="133" spans="1:4" x14ac:dyDescent="0.75">
      <c r="A133" s="43" t="s">
        <v>761</v>
      </c>
      <c r="B133" t="s">
        <v>463</v>
      </c>
      <c r="C133" t="s">
        <v>90</v>
      </c>
      <c r="D133" s="29">
        <v>128933000</v>
      </c>
    </row>
    <row r="134" spans="1:4" x14ac:dyDescent="0.75">
      <c r="A134" s="43" t="s">
        <v>761</v>
      </c>
      <c r="B134" t="s">
        <v>464</v>
      </c>
      <c r="C134" t="s">
        <v>465</v>
      </c>
      <c r="D134" s="29">
        <v>115000</v>
      </c>
    </row>
    <row r="135" spans="1:4" x14ac:dyDescent="0.75">
      <c r="A135" s="43" t="s">
        <v>761</v>
      </c>
      <c r="B135" t="s">
        <v>474</v>
      </c>
      <c r="C135" t="s">
        <v>87</v>
      </c>
      <c r="D135" s="29">
        <v>3525000</v>
      </c>
    </row>
    <row r="136" spans="1:4" x14ac:dyDescent="0.75">
      <c r="A136" s="43" t="s">
        <v>761</v>
      </c>
      <c r="B136" t="s">
        <v>475</v>
      </c>
      <c r="C136" t="s">
        <v>86</v>
      </c>
      <c r="D136" s="29">
        <v>39000</v>
      </c>
    </row>
    <row r="137" spans="1:4" x14ac:dyDescent="0.75">
      <c r="A137" s="43" t="s">
        <v>761</v>
      </c>
      <c r="B137" t="s">
        <v>250</v>
      </c>
      <c r="C137" t="s">
        <v>96</v>
      </c>
      <c r="D137" s="29">
        <v>3278000</v>
      </c>
    </row>
    <row r="138" spans="1:4" x14ac:dyDescent="0.75">
      <c r="A138" s="43" t="s">
        <v>761</v>
      </c>
      <c r="B138" t="s">
        <v>476</v>
      </c>
      <c r="C138" t="s">
        <v>95</v>
      </c>
      <c r="D138" s="29">
        <v>622000</v>
      </c>
    </row>
    <row r="139" spans="1:4" x14ac:dyDescent="0.75">
      <c r="A139" s="43" t="s">
        <v>761</v>
      </c>
      <c r="B139" t="s">
        <v>477</v>
      </c>
      <c r="C139" t="s">
        <v>85</v>
      </c>
      <c r="D139" s="29">
        <v>36911000</v>
      </c>
    </row>
    <row r="140" spans="1:4" x14ac:dyDescent="0.75">
      <c r="A140" s="43" t="s">
        <v>761</v>
      </c>
      <c r="B140" t="s">
        <v>207</v>
      </c>
      <c r="C140" t="s">
        <v>97</v>
      </c>
      <c r="D140" s="29">
        <v>31255000</v>
      </c>
    </row>
    <row r="141" spans="1:4" x14ac:dyDescent="0.75">
      <c r="A141" s="43" t="s">
        <v>761</v>
      </c>
      <c r="B141" t="s">
        <v>244</v>
      </c>
      <c r="C141" t="s">
        <v>94</v>
      </c>
      <c r="D141" s="29">
        <v>54410000</v>
      </c>
    </row>
    <row r="142" spans="1:4" x14ac:dyDescent="0.75">
      <c r="A142" s="43" t="s">
        <v>761</v>
      </c>
      <c r="B142" t="s">
        <v>208</v>
      </c>
      <c r="C142" t="s">
        <v>102</v>
      </c>
      <c r="D142" s="29">
        <v>2541000</v>
      </c>
    </row>
    <row r="143" spans="1:4" x14ac:dyDescent="0.75">
      <c r="A143" s="43" t="s">
        <v>761</v>
      </c>
      <c r="B143" t="s">
        <v>251</v>
      </c>
      <c r="C143" t="s">
        <v>109</v>
      </c>
      <c r="D143" s="29">
        <v>13000</v>
      </c>
    </row>
    <row r="144" spans="1:4" x14ac:dyDescent="0.75">
      <c r="A144" s="43" t="s">
        <v>761</v>
      </c>
      <c r="B144" t="s">
        <v>179</v>
      </c>
      <c r="C144" t="s">
        <v>108</v>
      </c>
      <c r="D144" s="29">
        <v>29137000</v>
      </c>
    </row>
    <row r="145" spans="1:4" x14ac:dyDescent="0.75">
      <c r="A145" s="43" t="s">
        <v>761</v>
      </c>
      <c r="B145" t="s">
        <v>478</v>
      </c>
      <c r="C145" t="s">
        <v>106</v>
      </c>
      <c r="D145" s="29">
        <v>17330000</v>
      </c>
    </row>
    <row r="146" spans="1:4" x14ac:dyDescent="0.75">
      <c r="A146" s="43" t="s">
        <v>761</v>
      </c>
      <c r="B146" t="s">
        <v>479</v>
      </c>
      <c r="C146" t="s">
        <v>480</v>
      </c>
      <c r="D146" s="29">
        <v>291000</v>
      </c>
    </row>
    <row r="147" spans="1:4" x14ac:dyDescent="0.75">
      <c r="A147" s="43" t="s">
        <v>761</v>
      </c>
      <c r="B147" t="s">
        <v>481</v>
      </c>
      <c r="C147" t="s">
        <v>110</v>
      </c>
      <c r="D147" s="29">
        <v>4971000</v>
      </c>
    </row>
    <row r="148" spans="1:4" x14ac:dyDescent="0.75">
      <c r="A148" s="43" t="s">
        <v>761</v>
      </c>
      <c r="B148" t="s">
        <v>227</v>
      </c>
      <c r="C148" t="s">
        <v>105</v>
      </c>
      <c r="D148" s="29">
        <v>6625000</v>
      </c>
    </row>
    <row r="149" spans="1:4" x14ac:dyDescent="0.75">
      <c r="A149" s="43" t="s">
        <v>761</v>
      </c>
      <c r="B149" t="s">
        <v>209</v>
      </c>
      <c r="C149" t="s">
        <v>103</v>
      </c>
      <c r="D149" s="29">
        <v>24207000</v>
      </c>
    </row>
    <row r="150" spans="1:4" x14ac:dyDescent="0.75">
      <c r="A150" s="43" t="s">
        <v>761</v>
      </c>
      <c r="B150" t="s">
        <v>177</v>
      </c>
      <c r="C150" t="s">
        <v>104</v>
      </c>
      <c r="D150" s="29">
        <v>206140000</v>
      </c>
    </row>
    <row r="151" spans="1:4" x14ac:dyDescent="0.75">
      <c r="A151" s="43" t="s">
        <v>761</v>
      </c>
      <c r="B151" t="s">
        <v>484</v>
      </c>
      <c r="C151" t="s">
        <v>485</v>
      </c>
      <c r="D151" s="29">
        <v>2083000</v>
      </c>
    </row>
    <row r="152" spans="1:4" x14ac:dyDescent="0.75">
      <c r="A152" s="43" t="s">
        <v>761</v>
      </c>
      <c r="B152" t="s">
        <v>486</v>
      </c>
      <c r="C152" t="s">
        <v>487</v>
      </c>
      <c r="D152" s="29">
        <v>58000</v>
      </c>
    </row>
    <row r="153" spans="1:4" x14ac:dyDescent="0.75">
      <c r="A153" s="43" t="s">
        <v>761</v>
      </c>
      <c r="B153" t="s">
        <v>488</v>
      </c>
      <c r="C153" t="s">
        <v>107</v>
      </c>
      <c r="D153" s="29">
        <v>5422000</v>
      </c>
    </row>
    <row r="154" spans="1:4" x14ac:dyDescent="0.75">
      <c r="A154" s="43" t="s">
        <v>761</v>
      </c>
      <c r="B154" t="s">
        <v>493</v>
      </c>
      <c r="C154" t="s">
        <v>111</v>
      </c>
      <c r="D154" s="29">
        <v>5107000</v>
      </c>
    </row>
    <row r="155" spans="1:4" x14ac:dyDescent="0.75">
      <c r="A155" s="43" t="s">
        <v>761</v>
      </c>
      <c r="B155" t="s">
        <v>176</v>
      </c>
      <c r="C155" t="s">
        <v>112</v>
      </c>
      <c r="D155" s="29">
        <v>220892000</v>
      </c>
    </row>
    <row r="156" spans="1:4" x14ac:dyDescent="0.75">
      <c r="A156" s="43" t="s">
        <v>761</v>
      </c>
      <c r="B156" t="s">
        <v>498</v>
      </c>
      <c r="C156" t="s">
        <v>499</v>
      </c>
      <c r="D156" s="29">
        <v>18000</v>
      </c>
    </row>
    <row r="157" spans="1:4" x14ac:dyDescent="0.75">
      <c r="A157" s="43" t="s">
        <v>761</v>
      </c>
      <c r="B157" t="s">
        <v>500</v>
      </c>
      <c r="C157" t="s">
        <v>113</v>
      </c>
      <c r="D157" s="29">
        <v>4315000</v>
      </c>
    </row>
    <row r="158" spans="1:4" x14ac:dyDescent="0.75">
      <c r="A158" s="43" t="s">
        <v>761</v>
      </c>
      <c r="B158" t="s">
        <v>252</v>
      </c>
      <c r="C158" t="s">
        <v>116</v>
      </c>
      <c r="D158" s="29">
        <v>8947000</v>
      </c>
    </row>
    <row r="159" spans="1:4" x14ac:dyDescent="0.75">
      <c r="A159" s="43" t="s">
        <v>761</v>
      </c>
      <c r="B159" t="s">
        <v>228</v>
      </c>
      <c r="C159" t="s">
        <v>119</v>
      </c>
      <c r="D159" s="29">
        <v>7133000</v>
      </c>
    </row>
    <row r="160" spans="1:4" x14ac:dyDescent="0.75">
      <c r="A160" s="43" t="s">
        <v>761</v>
      </c>
      <c r="B160" t="s">
        <v>501</v>
      </c>
      <c r="C160" t="s">
        <v>114</v>
      </c>
      <c r="D160" s="29">
        <v>32972000</v>
      </c>
    </row>
    <row r="161" spans="1:4" x14ac:dyDescent="0.75">
      <c r="A161" s="43" t="s">
        <v>761</v>
      </c>
      <c r="B161" t="s">
        <v>253</v>
      </c>
      <c r="C161" t="s">
        <v>115</v>
      </c>
      <c r="D161" s="29">
        <v>109581000</v>
      </c>
    </row>
    <row r="162" spans="1:4" x14ac:dyDescent="0.75">
      <c r="A162" s="43" t="s">
        <v>761</v>
      </c>
      <c r="B162" t="s">
        <v>502</v>
      </c>
      <c r="C162" t="s">
        <v>117</v>
      </c>
      <c r="D162" s="29">
        <v>37806000</v>
      </c>
    </row>
    <row r="163" spans="1:4" x14ac:dyDescent="0.75">
      <c r="A163" s="43" t="s">
        <v>761</v>
      </c>
      <c r="B163" t="s">
        <v>503</v>
      </c>
      <c r="C163" t="s">
        <v>118</v>
      </c>
      <c r="D163" s="29">
        <v>10195000</v>
      </c>
    </row>
    <row r="164" spans="1:4" x14ac:dyDescent="0.75">
      <c r="A164" s="43" t="s">
        <v>761</v>
      </c>
      <c r="B164" t="s">
        <v>508</v>
      </c>
      <c r="C164" t="s">
        <v>509</v>
      </c>
      <c r="D164" s="29">
        <v>3184000</v>
      </c>
    </row>
    <row r="165" spans="1:4" x14ac:dyDescent="0.75">
      <c r="A165" s="43" t="s">
        <v>761</v>
      </c>
      <c r="B165" t="s">
        <v>510</v>
      </c>
      <c r="C165" t="s">
        <v>120</v>
      </c>
      <c r="D165" s="29">
        <v>2881000</v>
      </c>
    </row>
    <row r="166" spans="1:4" x14ac:dyDescent="0.75">
      <c r="A166" s="43" t="s">
        <v>761</v>
      </c>
      <c r="B166" t="s">
        <v>511</v>
      </c>
      <c r="C166" t="s">
        <v>121</v>
      </c>
      <c r="D166" s="29">
        <v>19247000</v>
      </c>
    </row>
    <row r="167" spans="1:4" x14ac:dyDescent="0.75">
      <c r="A167" s="43" t="s">
        <v>761</v>
      </c>
      <c r="B167" t="s">
        <v>512</v>
      </c>
      <c r="C167" t="s">
        <v>122</v>
      </c>
      <c r="D167" s="29">
        <v>144222000</v>
      </c>
    </row>
    <row r="168" spans="1:4" x14ac:dyDescent="0.75">
      <c r="A168" s="43" t="s">
        <v>761</v>
      </c>
      <c r="B168" t="s">
        <v>210</v>
      </c>
      <c r="C168" t="s">
        <v>123</v>
      </c>
      <c r="D168" s="29">
        <v>12952000</v>
      </c>
    </row>
    <row r="169" spans="1:4" x14ac:dyDescent="0.75">
      <c r="A169" s="43" t="s">
        <v>761</v>
      </c>
      <c r="B169" t="s">
        <v>254</v>
      </c>
      <c r="C169" t="s">
        <v>152</v>
      </c>
      <c r="D169" s="29">
        <v>198000</v>
      </c>
    </row>
    <row r="170" spans="1:4" x14ac:dyDescent="0.75">
      <c r="A170" s="43" t="s">
        <v>761</v>
      </c>
      <c r="B170" t="s">
        <v>513</v>
      </c>
      <c r="C170" t="s">
        <v>130</v>
      </c>
      <c r="D170" s="29">
        <v>34000</v>
      </c>
    </row>
    <row r="171" spans="1:4" x14ac:dyDescent="0.75">
      <c r="A171" s="43" t="s">
        <v>761</v>
      </c>
      <c r="B171" t="s">
        <v>211</v>
      </c>
      <c r="C171" t="s">
        <v>175</v>
      </c>
      <c r="D171" s="29">
        <v>219000</v>
      </c>
    </row>
    <row r="172" spans="1:4" x14ac:dyDescent="0.75">
      <c r="A172" s="43" t="s">
        <v>761</v>
      </c>
      <c r="B172" t="s">
        <v>514</v>
      </c>
      <c r="C172" t="s">
        <v>124</v>
      </c>
      <c r="D172" s="29">
        <v>34814000</v>
      </c>
    </row>
    <row r="173" spans="1:4" x14ac:dyDescent="0.75">
      <c r="A173" s="43" t="s">
        <v>761</v>
      </c>
      <c r="B173" t="s">
        <v>212</v>
      </c>
      <c r="C173" t="s">
        <v>126</v>
      </c>
      <c r="D173" s="29">
        <v>16744000</v>
      </c>
    </row>
    <row r="174" spans="1:4" x14ac:dyDescent="0.75">
      <c r="A174" s="43" t="s">
        <v>761</v>
      </c>
      <c r="B174" t="s">
        <v>515</v>
      </c>
      <c r="C174" t="s">
        <v>131</v>
      </c>
      <c r="D174" s="29">
        <v>6929000</v>
      </c>
    </row>
    <row r="175" spans="1:4" x14ac:dyDescent="0.75">
      <c r="A175" s="43" t="s">
        <v>761</v>
      </c>
      <c r="B175" t="s">
        <v>213</v>
      </c>
      <c r="C175" t="s">
        <v>135</v>
      </c>
      <c r="D175" s="29">
        <v>98000</v>
      </c>
    </row>
    <row r="176" spans="1:4" x14ac:dyDescent="0.75">
      <c r="A176" s="43" t="s">
        <v>761</v>
      </c>
      <c r="B176" t="s">
        <v>214</v>
      </c>
      <c r="C176" t="s">
        <v>129</v>
      </c>
      <c r="D176" s="29">
        <v>7977000</v>
      </c>
    </row>
    <row r="177" spans="1:4" x14ac:dyDescent="0.75">
      <c r="A177" s="43" t="s">
        <v>761</v>
      </c>
      <c r="B177" t="s">
        <v>516</v>
      </c>
      <c r="C177" t="s">
        <v>127</v>
      </c>
      <c r="D177" s="29">
        <v>5772000</v>
      </c>
    </row>
    <row r="178" spans="1:4" x14ac:dyDescent="0.75">
      <c r="A178" s="43" t="s">
        <v>761</v>
      </c>
      <c r="B178" t="s">
        <v>517</v>
      </c>
      <c r="C178" t="s">
        <v>518</v>
      </c>
      <c r="D178" s="31">
        <v>43847</v>
      </c>
    </row>
    <row r="179" spans="1:4" x14ac:dyDescent="0.75">
      <c r="A179" s="43" t="s">
        <v>761</v>
      </c>
      <c r="B179" t="s">
        <v>519</v>
      </c>
      <c r="C179" t="s">
        <v>520</v>
      </c>
      <c r="D179" s="29">
        <v>5448000</v>
      </c>
    </row>
    <row r="180" spans="1:4" x14ac:dyDescent="0.75">
      <c r="A180" s="43" t="s">
        <v>761</v>
      </c>
      <c r="B180" t="s">
        <v>521</v>
      </c>
      <c r="C180" t="s">
        <v>132</v>
      </c>
      <c r="D180" s="29">
        <v>2067000</v>
      </c>
    </row>
    <row r="181" spans="1:4" x14ac:dyDescent="0.75">
      <c r="A181" s="43" t="s">
        <v>761</v>
      </c>
      <c r="B181" t="s">
        <v>255</v>
      </c>
      <c r="C181" t="s">
        <v>128</v>
      </c>
      <c r="D181" s="29">
        <v>687000</v>
      </c>
    </row>
    <row r="182" spans="1:4" x14ac:dyDescent="0.75">
      <c r="A182" s="43" t="s">
        <v>761</v>
      </c>
      <c r="B182" t="s">
        <v>232</v>
      </c>
      <c r="C182" t="s">
        <v>171</v>
      </c>
      <c r="D182" s="29">
        <v>15893000</v>
      </c>
    </row>
    <row r="183" spans="1:4" x14ac:dyDescent="0.75">
      <c r="A183" s="43" t="s">
        <v>761</v>
      </c>
      <c r="B183" t="s">
        <v>178</v>
      </c>
      <c r="C183" t="s">
        <v>154</v>
      </c>
      <c r="D183" s="29">
        <v>59309000</v>
      </c>
    </row>
    <row r="184" spans="1:4" x14ac:dyDescent="0.75">
      <c r="A184" s="43" t="s">
        <v>761</v>
      </c>
      <c r="B184" t="s">
        <v>528</v>
      </c>
      <c r="C184" t="s">
        <v>529</v>
      </c>
      <c r="D184" s="29">
        <v>11194000</v>
      </c>
    </row>
    <row r="185" spans="1:4" x14ac:dyDescent="0.75">
      <c r="A185" s="43" t="s">
        <v>761</v>
      </c>
      <c r="B185" t="s">
        <v>530</v>
      </c>
      <c r="C185" t="s">
        <v>40</v>
      </c>
      <c r="D185" s="29">
        <v>46711000</v>
      </c>
    </row>
    <row r="186" spans="1:4" x14ac:dyDescent="0.75">
      <c r="A186" s="43" t="s">
        <v>761</v>
      </c>
      <c r="B186" t="s">
        <v>245</v>
      </c>
      <c r="C186" t="s">
        <v>81</v>
      </c>
      <c r="D186" s="29">
        <v>21837000</v>
      </c>
    </row>
    <row r="187" spans="1:4" x14ac:dyDescent="0.75">
      <c r="A187" s="43" t="s">
        <v>761</v>
      </c>
      <c r="B187" t="s">
        <v>531</v>
      </c>
      <c r="C187" t="s">
        <v>532</v>
      </c>
      <c r="D187" s="29">
        <v>53000</v>
      </c>
    </row>
    <row r="188" spans="1:4" x14ac:dyDescent="0.75">
      <c r="A188" s="43" t="s">
        <v>761</v>
      </c>
      <c r="B188" t="s">
        <v>533</v>
      </c>
      <c r="C188" t="s">
        <v>80</v>
      </c>
      <c r="D188" s="29">
        <v>184000</v>
      </c>
    </row>
    <row r="189" spans="1:4" x14ac:dyDescent="0.75">
      <c r="A189" s="43" t="s">
        <v>761</v>
      </c>
      <c r="B189" t="s">
        <v>534</v>
      </c>
      <c r="C189" t="s">
        <v>535</v>
      </c>
      <c r="D189" s="31">
        <v>32556</v>
      </c>
    </row>
    <row r="190" spans="1:4" x14ac:dyDescent="0.75">
      <c r="A190" s="43" t="s">
        <v>761</v>
      </c>
      <c r="B190" t="s">
        <v>536</v>
      </c>
      <c r="C190" t="s">
        <v>537</v>
      </c>
      <c r="D190" s="29">
        <v>111000</v>
      </c>
    </row>
    <row r="191" spans="1:4" x14ac:dyDescent="0.75">
      <c r="A191" s="43" t="s">
        <v>761</v>
      </c>
      <c r="B191" t="s">
        <v>233</v>
      </c>
      <c r="C191" t="s">
        <v>125</v>
      </c>
      <c r="D191" s="29">
        <v>43849000</v>
      </c>
    </row>
    <row r="192" spans="1:4" x14ac:dyDescent="0.75">
      <c r="A192" s="43" t="s">
        <v>761</v>
      </c>
      <c r="B192" t="s">
        <v>229</v>
      </c>
      <c r="C192" t="s">
        <v>170</v>
      </c>
      <c r="D192" s="29">
        <v>587000</v>
      </c>
    </row>
    <row r="193" spans="1:4" x14ac:dyDescent="0.75">
      <c r="A193" s="43" t="s">
        <v>761</v>
      </c>
      <c r="B193" t="s">
        <v>544</v>
      </c>
      <c r="C193" t="s">
        <v>133</v>
      </c>
      <c r="D193" s="29">
        <v>10319000</v>
      </c>
    </row>
    <row r="194" spans="1:4" x14ac:dyDescent="0.75">
      <c r="A194" s="43" t="s">
        <v>761</v>
      </c>
      <c r="B194" t="s">
        <v>545</v>
      </c>
      <c r="C194" t="s">
        <v>23</v>
      </c>
      <c r="D194" s="29">
        <v>8641000</v>
      </c>
    </row>
    <row r="195" spans="1:4" x14ac:dyDescent="0.75">
      <c r="A195" s="43" t="s">
        <v>761</v>
      </c>
      <c r="B195" t="s">
        <v>546</v>
      </c>
      <c r="C195" t="s">
        <v>136</v>
      </c>
      <c r="D195" s="29">
        <v>17501000</v>
      </c>
    </row>
    <row r="196" spans="1:4" x14ac:dyDescent="0.75">
      <c r="A196" s="43" t="s">
        <v>761</v>
      </c>
      <c r="B196" t="s">
        <v>238</v>
      </c>
      <c r="C196" t="s">
        <v>163</v>
      </c>
      <c r="D196" s="29">
        <v>9538000</v>
      </c>
    </row>
    <row r="197" spans="1:4" x14ac:dyDescent="0.75">
      <c r="A197" s="43" t="s">
        <v>761</v>
      </c>
      <c r="B197" t="s">
        <v>547</v>
      </c>
      <c r="C197" t="s">
        <v>146</v>
      </c>
      <c r="D197" s="29">
        <v>59734000</v>
      </c>
    </row>
    <row r="198" spans="1:4" x14ac:dyDescent="0.75">
      <c r="A198" s="43" t="s">
        <v>761</v>
      </c>
      <c r="B198" t="s">
        <v>548</v>
      </c>
      <c r="C198" t="s">
        <v>138</v>
      </c>
      <c r="D198" s="29">
        <v>69800000</v>
      </c>
    </row>
    <row r="199" spans="1:4" x14ac:dyDescent="0.75">
      <c r="A199" s="43" t="s">
        <v>761</v>
      </c>
      <c r="B199" t="s">
        <v>246</v>
      </c>
      <c r="C199" t="s">
        <v>140</v>
      </c>
      <c r="D199" s="29">
        <v>1318000</v>
      </c>
    </row>
    <row r="200" spans="1:4" x14ac:dyDescent="0.75">
      <c r="A200" s="43" t="s">
        <v>761</v>
      </c>
      <c r="B200" t="s">
        <v>215</v>
      </c>
      <c r="C200" t="s">
        <v>137</v>
      </c>
      <c r="D200" s="29">
        <v>8279000</v>
      </c>
    </row>
    <row r="201" spans="1:4" x14ac:dyDescent="0.75">
      <c r="A201" s="43" t="s">
        <v>761</v>
      </c>
      <c r="B201" t="s">
        <v>256</v>
      </c>
      <c r="C201" t="s">
        <v>141</v>
      </c>
      <c r="D201" s="29">
        <v>106000</v>
      </c>
    </row>
    <row r="202" spans="1:4" x14ac:dyDescent="0.75">
      <c r="A202" s="43" t="s">
        <v>761</v>
      </c>
      <c r="B202" t="s">
        <v>549</v>
      </c>
      <c r="C202" t="s">
        <v>142</v>
      </c>
      <c r="D202" s="29">
        <v>1399000</v>
      </c>
    </row>
    <row r="203" spans="1:4" x14ac:dyDescent="0.75">
      <c r="A203" s="43" t="s">
        <v>761</v>
      </c>
      <c r="B203" t="s">
        <v>550</v>
      </c>
      <c r="C203" t="s">
        <v>143</v>
      </c>
      <c r="D203" s="29">
        <v>11819000</v>
      </c>
    </row>
    <row r="204" spans="1:4" x14ac:dyDescent="0.75">
      <c r="A204" s="43" t="s">
        <v>761</v>
      </c>
      <c r="B204" t="s">
        <v>551</v>
      </c>
      <c r="C204" t="s">
        <v>144</v>
      </c>
      <c r="D204" s="29">
        <v>84339000</v>
      </c>
    </row>
    <row r="205" spans="1:4" x14ac:dyDescent="0.75">
      <c r="A205" s="43" t="s">
        <v>761</v>
      </c>
      <c r="B205" t="s">
        <v>552</v>
      </c>
      <c r="C205" t="s">
        <v>139</v>
      </c>
      <c r="D205" s="29">
        <v>6031000</v>
      </c>
    </row>
    <row r="206" spans="1:4" x14ac:dyDescent="0.75">
      <c r="A206" s="43" t="s">
        <v>761</v>
      </c>
      <c r="B206" t="s">
        <v>553</v>
      </c>
      <c r="C206" t="s">
        <v>554</v>
      </c>
      <c r="D206" s="29">
        <v>39000</v>
      </c>
    </row>
    <row r="207" spans="1:4" x14ac:dyDescent="0.75">
      <c r="A207" s="43" t="s">
        <v>761</v>
      </c>
      <c r="B207" t="s">
        <v>257</v>
      </c>
      <c r="C207" t="s">
        <v>145</v>
      </c>
      <c r="D207" s="29">
        <v>12000</v>
      </c>
    </row>
    <row r="208" spans="1:4" x14ac:dyDescent="0.75">
      <c r="A208" s="43" t="s">
        <v>761</v>
      </c>
      <c r="B208" t="s">
        <v>216</v>
      </c>
      <c r="C208" t="s">
        <v>147</v>
      </c>
      <c r="D208" s="29">
        <v>45741000</v>
      </c>
    </row>
    <row r="209" spans="1:4" x14ac:dyDescent="0.75">
      <c r="A209" s="43" t="s">
        <v>761</v>
      </c>
      <c r="B209" t="s">
        <v>239</v>
      </c>
      <c r="C209" t="s">
        <v>148</v>
      </c>
      <c r="D209" s="29">
        <v>44158000</v>
      </c>
    </row>
    <row r="210" spans="1:4" x14ac:dyDescent="0.75">
      <c r="A210" s="43" t="s">
        <v>761</v>
      </c>
      <c r="B210" t="s">
        <v>555</v>
      </c>
      <c r="C210" t="s">
        <v>2</v>
      </c>
      <c r="D210" s="29">
        <v>9890000</v>
      </c>
    </row>
    <row r="211" spans="1:4" x14ac:dyDescent="0.75">
      <c r="A211" s="43" t="s">
        <v>761</v>
      </c>
      <c r="B211" t="s">
        <v>556</v>
      </c>
      <c r="C211" t="s">
        <v>47</v>
      </c>
      <c r="D211" s="29">
        <v>67224000</v>
      </c>
    </row>
    <row r="212" spans="1:4" x14ac:dyDescent="0.75">
      <c r="A212" s="43" t="s">
        <v>761</v>
      </c>
      <c r="B212" t="s">
        <v>557</v>
      </c>
      <c r="C212" t="s">
        <v>149</v>
      </c>
      <c r="D212" s="29">
        <v>331915000</v>
      </c>
    </row>
    <row r="213" spans="1:4" x14ac:dyDescent="0.75">
      <c r="A213" s="43" t="s">
        <v>761</v>
      </c>
      <c r="B213" t="s">
        <v>560</v>
      </c>
      <c r="C213" t="s">
        <v>561</v>
      </c>
      <c r="D213" s="29">
        <v>3474000</v>
      </c>
    </row>
    <row r="214" spans="1:4" x14ac:dyDescent="0.75">
      <c r="A214" s="43" t="s">
        <v>761</v>
      </c>
      <c r="B214" t="s">
        <v>562</v>
      </c>
      <c r="C214" t="s">
        <v>150</v>
      </c>
      <c r="D214" s="29">
        <v>33749000</v>
      </c>
    </row>
    <row r="215" spans="1:4" x14ac:dyDescent="0.75">
      <c r="A215" s="43" t="s">
        <v>761</v>
      </c>
      <c r="B215" t="s">
        <v>258</v>
      </c>
      <c r="C215" t="s">
        <v>151</v>
      </c>
      <c r="D215" s="29">
        <v>307000</v>
      </c>
    </row>
    <row r="216" spans="1:4" x14ac:dyDescent="0.75">
      <c r="A216" s="43" t="s">
        <v>761</v>
      </c>
      <c r="B216" t="s">
        <v>563</v>
      </c>
      <c r="C216" t="s">
        <v>564</v>
      </c>
      <c r="D216" s="29">
        <v>28436000</v>
      </c>
    </row>
    <row r="217" spans="1:4" x14ac:dyDescent="0.75">
      <c r="A217" s="43" t="s">
        <v>761</v>
      </c>
      <c r="B217" t="s">
        <v>565</v>
      </c>
      <c r="C217" t="s">
        <v>160</v>
      </c>
      <c r="D217" s="29">
        <v>97339000</v>
      </c>
    </row>
    <row r="218" spans="1:4" x14ac:dyDescent="0.75">
      <c r="A218" s="43" t="s">
        <v>761</v>
      </c>
      <c r="B218" t="s">
        <v>566</v>
      </c>
      <c r="C218" t="s">
        <v>567</v>
      </c>
      <c r="D218" s="29">
        <v>107000</v>
      </c>
    </row>
    <row r="219" spans="1:4" x14ac:dyDescent="0.75">
      <c r="A219" s="43" t="s">
        <v>761</v>
      </c>
      <c r="B219" t="s">
        <v>568</v>
      </c>
      <c r="C219" t="s">
        <v>569</v>
      </c>
      <c r="D219" s="29">
        <v>4813000</v>
      </c>
    </row>
    <row r="220" spans="1:4" x14ac:dyDescent="0.75">
      <c r="A220" s="43" t="s">
        <v>761</v>
      </c>
      <c r="B220" t="s">
        <v>572</v>
      </c>
      <c r="C220" t="s">
        <v>153</v>
      </c>
      <c r="D220" s="29">
        <v>29826000</v>
      </c>
    </row>
    <row r="221" spans="1:4" x14ac:dyDescent="0.75">
      <c r="A221" s="43" t="s">
        <v>761</v>
      </c>
      <c r="B221" t="s">
        <v>217</v>
      </c>
      <c r="C221" t="s">
        <v>155</v>
      </c>
      <c r="D221" s="29">
        <v>18384000</v>
      </c>
    </row>
    <row r="222" spans="1:4" x14ac:dyDescent="0.75">
      <c r="A222" s="43"/>
      <c r="B222" t="s">
        <v>218</v>
      </c>
      <c r="C222" t="s">
        <v>156</v>
      </c>
      <c r="D222" s="29">
        <v>14863000</v>
      </c>
    </row>
    <row r="223" spans="1:4" x14ac:dyDescent="0.75">
      <c r="A223" s="43"/>
      <c r="B223" t="s">
        <v>695</v>
      </c>
    </row>
    <row r="224" spans="1:4" s="43" customFormat="1" x14ac:dyDescent="0.75">
      <c r="B224" s="29">
        <v>100</v>
      </c>
      <c r="D224" s="29">
        <v>100</v>
      </c>
    </row>
    <row r="225" spans="1:4" s="43" customFormat="1" x14ac:dyDescent="0.75">
      <c r="B225" s="29">
        <v>1000</v>
      </c>
      <c r="D225" s="29">
        <v>1000</v>
      </c>
    </row>
    <row r="226" spans="1:4" s="43" customFormat="1" x14ac:dyDescent="0.75">
      <c r="B226" s="29">
        <v>10000</v>
      </c>
      <c r="D226" s="29">
        <v>10000</v>
      </c>
    </row>
    <row r="227" spans="1:4" s="43" customFormat="1" x14ac:dyDescent="0.75">
      <c r="B227" s="29">
        <v>100000</v>
      </c>
      <c r="D227" s="29">
        <v>100000</v>
      </c>
    </row>
    <row r="228" spans="1:4" x14ac:dyDescent="0.75">
      <c r="A228" s="43" t="s">
        <v>750</v>
      </c>
      <c r="B228" t="s">
        <v>570</v>
      </c>
      <c r="C228" t="s">
        <v>571</v>
      </c>
      <c r="D228" s="29">
        <v>7754179000</v>
      </c>
    </row>
    <row r="229" spans="1:4" x14ac:dyDescent="0.75">
      <c r="A229" s="43" t="s">
        <v>750</v>
      </c>
      <c r="B229" t="s">
        <v>558</v>
      </c>
      <c r="C229" t="s">
        <v>559</v>
      </c>
      <c r="D229" s="29">
        <v>2685886000</v>
      </c>
    </row>
    <row r="230" spans="1:4" x14ac:dyDescent="0.75">
      <c r="A230" s="43" t="s">
        <v>750</v>
      </c>
      <c r="B230" t="s">
        <v>538</v>
      </c>
      <c r="C230" t="s">
        <v>539</v>
      </c>
      <c r="D230" s="29">
        <v>1136052000</v>
      </c>
    </row>
    <row r="231" spans="1:4" x14ac:dyDescent="0.75">
      <c r="A231" s="43" t="s">
        <v>750</v>
      </c>
      <c r="B231" t="s">
        <v>540</v>
      </c>
      <c r="C231" t="s">
        <v>541</v>
      </c>
      <c r="D231" s="29">
        <v>1135954000</v>
      </c>
    </row>
    <row r="232" spans="1:4" x14ac:dyDescent="0.75">
      <c r="A232" s="43" t="s">
        <v>750</v>
      </c>
      <c r="B232" t="s">
        <v>542</v>
      </c>
      <c r="C232" t="s">
        <v>543</v>
      </c>
      <c r="D232" s="29">
        <v>1136052000</v>
      </c>
    </row>
    <row r="233" spans="1:4" x14ac:dyDescent="0.75">
      <c r="A233" s="43" t="s">
        <v>750</v>
      </c>
      <c r="B233" t="s">
        <v>524</v>
      </c>
      <c r="C233" t="s">
        <v>525</v>
      </c>
      <c r="D233" s="29">
        <v>1856800000</v>
      </c>
    </row>
    <row r="234" spans="1:4" x14ac:dyDescent="0.75">
      <c r="A234" s="43" t="s">
        <v>750</v>
      </c>
      <c r="B234" t="s">
        <v>526</v>
      </c>
      <c r="C234" t="s">
        <v>527</v>
      </c>
      <c r="D234" s="29">
        <v>1856800000</v>
      </c>
    </row>
    <row r="235" spans="1:4" x14ac:dyDescent="0.75">
      <c r="A235" s="43" t="s">
        <v>750</v>
      </c>
      <c r="B235" t="s">
        <v>522</v>
      </c>
      <c r="C235" t="s">
        <v>523</v>
      </c>
      <c r="D235" s="29">
        <v>41855000</v>
      </c>
    </row>
    <row r="236" spans="1:4" x14ac:dyDescent="0.75">
      <c r="A236" s="43" t="s">
        <v>750</v>
      </c>
      <c r="B236" t="s">
        <v>504</v>
      </c>
      <c r="C236" t="s">
        <v>505</v>
      </c>
      <c r="D236" s="29">
        <v>1116268000</v>
      </c>
    </row>
    <row r="237" spans="1:4" x14ac:dyDescent="0.75">
      <c r="A237" s="43" t="s">
        <v>750</v>
      </c>
      <c r="B237" t="s">
        <v>506</v>
      </c>
      <c r="C237" t="s">
        <v>507</v>
      </c>
      <c r="D237" s="29">
        <v>970795000</v>
      </c>
    </row>
    <row r="238" spans="1:4" x14ac:dyDescent="0.75">
      <c r="A238" s="43" t="s">
        <v>750</v>
      </c>
      <c r="B238" t="s">
        <v>494</v>
      </c>
      <c r="C238" t="s">
        <v>495</v>
      </c>
      <c r="D238" s="29">
        <v>31882000</v>
      </c>
    </row>
    <row r="239" spans="1:4" x14ac:dyDescent="0.75">
      <c r="A239" s="43" t="s">
        <v>750</v>
      </c>
      <c r="B239" t="s">
        <v>496</v>
      </c>
      <c r="C239" t="s">
        <v>497</v>
      </c>
      <c r="D239" s="29">
        <v>2530000</v>
      </c>
    </row>
    <row r="240" spans="1:4" x14ac:dyDescent="0.75">
      <c r="A240" s="43" t="s">
        <v>750</v>
      </c>
      <c r="B240" t="s">
        <v>489</v>
      </c>
      <c r="C240" t="s">
        <v>490</v>
      </c>
      <c r="D240" s="29">
        <v>0</v>
      </c>
    </row>
    <row r="241" spans="1:4" x14ac:dyDescent="0.75">
      <c r="A241" s="43" t="s">
        <v>750</v>
      </c>
      <c r="B241" t="s">
        <v>491</v>
      </c>
      <c r="C241" t="s">
        <v>492</v>
      </c>
      <c r="D241" s="29">
        <v>1315534000</v>
      </c>
    </row>
    <row r="242" spans="1:4" x14ac:dyDescent="0.75">
      <c r="A242" s="43" t="s">
        <v>750</v>
      </c>
      <c r="B242" t="s">
        <v>482</v>
      </c>
      <c r="C242" t="s">
        <v>483</v>
      </c>
      <c r="D242" s="29">
        <v>369599000</v>
      </c>
    </row>
    <row r="243" spans="1:4" x14ac:dyDescent="0.75">
      <c r="A243" s="43" t="s">
        <v>750</v>
      </c>
      <c r="B243" t="s">
        <v>466</v>
      </c>
      <c r="C243" t="s">
        <v>467</v>
      </c>
      <c r="D243" s="29">
        <v>464460000</v>
      </c>
    </row>
    <row r="244" spans="1:4" x14ac:dyDescent="0.75">
      <c r="A244" s="43" t="s">
        <v>750</v>
      </c>
      <c r="B244" t="s">
        <v>468</v>
      </c>
      <c r="C244" t="s">
        <v>469</v>
      </c>
      <c r="D244" s="29">
        <v>396157000</v>
      </c>
    </row>
    <row r="245" spans="1:4" x14ac:dyDescent="0.75">
      <c r="A245" s="43" t="s">
        <v>750</v>
      </c>
      <c r="B245" t="s">
        <v>470</v>
      </c>
      <c r="C245" t="s">
        <v>471</v>
      </c>
      <c r="D245" s="29">
        <v>391344000</v>
      </c>
    </row>
    <row r="246" spans="1:4" x14ac:dyDescent="0.75">
      <c r="A246" s="43" t="s">
        <v>750</v>
      </c>
      <c r="B246" t="s">
        <v>472</v>
      </c>
      <c r="C246" t="s">
        <v>473</v>
      </c>
      <c r="D246" s="29">
        <v>5791067000</v>
      </c>
    </row>
    <row r="247" spans="1:4" x14ac:dyDescent="0.75">
      <c r="A247" s="43" t="s">
        <v>750</v>
      </c>
      <c r="B247" t="s">
        <v>319</v>
      </c>
      <c r="C247" t="s">
        <v>320</v>
      </c>
      <c r="D247" s="29">
        <v>436091000</v>
      </c>
    </row>
    <row r="248" spans="1:4" x14ac:dyDescent="0.75">
      <c r="A248" s="43" t="s">
        <v>750</v>
      </c>
      <c r="B248" t="s">
        <v>344</v>
      </c>
      <c r="C248" t="s">
        <v>345</v>
      </c>
      <c r="D248" s="29">
        <v>7443000</v>
      </c>
    </row>
    <row r="249" spans="1:4" x14ac:dyDescent="0.75">
      <c r="A249" s="43" t="s">
        <v>750</v>
      </c>
      <c r="B249" t="s">
        <v>348</v>
      </c>
      <c r="C249" t="s">
        <v>349</v>
      </c>
      <c r="D249" s="29">
        <v>101847000</v>
      </c>
    </row>
    <row r="250" spans="1:4" x14ac:dyDescent="0.75">
      <c r="A250" s="43" t="s">
        <v>750</v>
      </c>
      <c r="B250" t="s">
        <v>369</v>
      </c>
      <c r="C250" t="s">
        <v>370</v>
      </c>
      <c r="D250" s="29">
        <v>3332556000</v>
      </c>
    </row>
    <row r="251" spans="1:4" x14ac:dyDescent="0.75">
      <c r="A251" s="43" t="s">
        <v>750</v>
      </c>
      <c r="B251" t="s">
        <v>371</v>
      </c>
      <c r="C251" t="s">
        <v>372</v>
      </c>
      <c r="D251" s="29">
        <v>2351307000</v>
      </c>
    </row>
    <row r="252" spans="1:4" x14ac:dyDescent="0.75">
      <c r="A252" s="43" t="s">
        <v>750</v>
      </c>
      <c r="B252" t="s">
        <v>373</v>
      </c>
      <c r="C252" t="s">
        <v>374</v>
      </c>
      <c r="D252" s="29">
        <v>2104283000</v>
      </c>
    </row>
    <row r="253" spans="1:4" x14ac:dyDescent="0.75">
      <c r="A253" s="43" t="s">
        <v>750</v>
      </c>
      <c r="B253" t="s">
        <v>375</v>
      </c>
      <c r="C253" t="s">
        <v>376</v>
      </c>
      <c r="D253" s="29">
        <v>2078467000</v>
      </c>
    </row>
    <row r="254" spans="1:4" x14ac:dyDescent="0.75">
      <c r="A254" s="43" t="s">
        <v>750</v>
      </c>
      <c r="B254" t="s">
        <v>381</v>
      </c>
      <c r="C254" t="s">
        <v>382</v>
      </c>
      <c r="D254" s="29">
        <v>341989000</v>
      </c>
    </row>
    <row r="255" spans="1:4" x14ac:dyDescent="0.75">
      <c r="A255" s="43" t="s">
        <v>750</v>
      </c>
      <c r="B255" t="s">
        <v>383</v>
      </c>
      <c r="C255" t="s">
        <v>384</v>
      </c>
      <c r="D255" s="29">
        <v>922779000</v>
      </c>
    </row>
    <row r="256" spans="1:4" x14ac:dyDescent="0.75">
      <c r="A256" s="43" t="s">
        <v>750</v>
      </c>
      <c r="B256" t="s">
        <v>385</v>
      </c>
      <c r="C256" t="s">
        <v>386</v>
      </c>
      <c r="D256" s="29">
        <v>420757000</v>
      </c>
    </row>
    <row r="257" spans="1:4" x14ac:dyDescent="0.75">
      <c r="A257" s="43" t="s">
        <v>750</v>
      </c>
      <c r="B257" t="s">
        <v>387</v>
      </c>
      <c r="C257" t="s">
        <v>388</v>
      </c>
      <c r="D257" s="29">
        <v>462615000</v>
      </c>
    </row>
    <row r="258" spans="1:4" x14ac:dyDescent="0.75">
      <c r="A258" s="43" t="s">
        <v>750</v>
      </c>
      <c r="B258" t="s">
        <v>389</v>
      </c>
      <c r="C258" t="s">
        <v>390</v>
      </c>
      <c r="D258" s="29">
        <v>513719000</v>
      </c>
    </row>
    <row r="259" spans="1:4" x14ac:dyDescent="0.75">
      <c r="A259" s="43" t="s">
        <v>750</v>
      </c>
      <c r="B259" t="s">
        <v>394</v>
      </c>
      <c r="C259" t="s">
        <v>395</v>
      </c>
      <c r="D259" s="29">
        <v>538961000</v>
      </c>
    </row>
    <row r="260" spans="1:4" x14ac:dyDescent="0.75">
      <c r="A260" s="43" t="s">
        <v>750</v>
      </c>
      <c r="B260" t="s">
        <v>409</v>
      </c>
      <c r="C260" t="s">
        <v>410</v>
      </c>
      <c r="D260" s="29">
        <v>823482000</v>
      </c>
    </row>
    <row r="261" spans="1:4" x14ac:dyDescent="0.75">
      <c r="A261" s="43" t="s">
        <v>750</v>
      </c>
      <c r="B261" t="s">
        <v>411</v>
      </c>
      <c r="C261" t="s">
        <v>412</v>
      </c>
      <c r="D261" s="29">
        <v>1219876000</v>
      </c>
    </row>
    <row r="262" spans="1:4" x14ac:dyDescent="0.75">
      <c r="A262" s="43" t="s">
        <v>750</v>
      </c>
      <c r="B262" t="s">
        <v>451</v>
      </c>
      <c r="C262" t="s">
        <v>452</v>
      </c>
      <c r="D262" s="29">
        <v>6534303000</v>
      </c>
    </row>
    <row r="263" spans="1:4" x14ac:dyDescent="0.75">
      <c r="A263" s="43" t="s">
        <v>750</v>
      </c>
      <c r="B263" t="s">
        <v>453</v>
      </c>
      <c r="C263" t="s">
        <v>454</v>
      </c>
      <c r="D263" s="29">
        <v>743236000</v>
      </c>
    </row>
    <row r="264" spans="1:4" x14ac:dyDescent="0.75">
      <c r="A264" s="43" t="s">
        <v>750</v>
      </c>
      <c r="B264" t="s">
        <v>455</v>
      </c>
      <c r="C264" t="s">
        <v>456</v>
      </c>
      <c r="D264" s="29">
        <v>3105181000</v>
      </c>
    </row>
    <row r="265" spans="1:4" x14ac:dyDescent="0.75">
      <c r="A265" s="43" t="s">
        <v>750</v>
      </c>
      <c r="B265" t="s">
        <v>435</v>
      </c>
      <c r="C265" t="s">
        <v>436</v>
      </c>
      <c r="D265" s="29">
        <v>2307681000</v>
      </c>
    </row>
    <row r="266" spans="1:4" x14ac:dyDescent="0.75">
      <c r="A266" s="43" t="s">
        <v>750</v>
      </c>
      <c r="B266" t="s">
        <v>437</v>
      </c>
      <c r="C266" t="s">
        <v>438</v>
      </c>
      <c r="D266" s="29">
        <v>653182000</v>
      </c>
    </row>
    <row r="267" spans="1:4" x14ac:dyDescent="0.75">
      <c r="A267" s="43" t="s">
        <v>750</v>
      </c>
      <c r="B267" t="s">
        <v>439</v>
      </c>
      <c r="C267" t="s">
        <v>440</v>
      </c>
      <c r="D267" s="29">
        <v>620352000</v>
      </c>
    </row>
    <row r="268" spans="1:4" x14ac:dyDescent="0.75">
      <c r="A268" s="43" t="s">
        <v>750</v>
      </c>
      <c r="B268" t="s">
        <v>441</v>
      </c>
      <c r="C268" t="s">
        <v>442</v>
      </c>
      <c r="D268" s="29">
        <v>637480000</v>
      </c>
    </row>
    <row r="269" spans="1:4" x14ac:dyDescent="0.75">
      <c r="A269" s="43" t="s">
        <v>750</v>
      </c>
      <c r="B269" t="s">
        <v>444</v>
      </c>
      <c r="C269" t="s">
        <v>445</v>
      </c>
      <c r="D269" s="29">
        <v>1057439000</v>
      </c>
    </row>
  </sheetData>
  <sheetProtection algorithmName="SHA-512" hashValue="LFjEEIi6dmOFI77YUdYnAZGPg691TSs5jHSQGDW4sygU5dvFbQsdBRGbPg6J5U7qM1U+KftRHOElGcJ10CnbXg==" saltValue="4TwrfftRSMqcDIt9CT6IrA=="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E7FB8"/>
    <pageSetUpPr autoPageBreaks="0"/>
  </sheetPr>
  <dimension ref="A1:H83"/>
  <sheetViews>
    <sheetView showGridLines="0" zoomScale="90" zoomScaleNormal="90" workbookViewId="0"/>
  </sheetViews>
  <sheetFormatPr defaultColWidth="8.40625" defaultRowHeight="14.75" x14ac:dyDescent="0.75"/>
  <cols>
    <col min="1" max="1" width="2.40625" style="132" customWidth="1"/>
    <col min="2" max="2" width="3.40625" style="132" customWidth="1"/>
    <col min="3" max="3" width="25.40625" style="132" customWidth="1"/>
    <col min="4" max="4" width="4.40625" style="132" customWidth="1"/>
    <col min="5" max="6" width="3.40625" style="132" customWidth="1"/>
    <col min="7" max="7" width="136" style="132" customWidth="1"/>
    <col min="8" max="16384" width="8.40625" style="132"/>
  </cols>
  <sheetData>
    <row r="1" spans="1:8" ht="8.15" customHeight="1" x14ac:dyDescent="0.75">
      <c r="B1" s="4"/>
      <c r="C1" s="4"/>
    </row>
    <row r="2" spans="1:8" s="45" customFormat="1" ht="39" customHeight="1" x14ac:dyDescent="0.9">
      <c r="C2" s="1155" t="s">
        <v>905</v>
      </c>
      <c r="D2" s="86"/>
      <c r="E2" s="46"/>
    </row>
    <row r="3" spans="1:8" x14ac:dyDescent="0.75">
      <c r="A3" s="53"/>
      <c r="B3" s="53" t="str">
        <f>DISCLAIMER!B3</f>
        <v>v2.0 as of: April 29, 2020</v>
      </c>
    </row>
    <row r="4" spans="1:8" ht="15.5" thickBot="1" x14ac:dyDescent="0.9">
      <c r="B4" s="53"/>
    </row>
    <row r="5" spans="1:8" ht="23.15" customHeight="1" thickBot="1" x14ac:dyDescent="0.9">
      <c r="B5" s="1355" t="s">
        <v>1811</v>
      </c>
      <c r="C5" s="1356"/>
      <c r="D5" s="1356"/>
      <c r="E5" s="1356"/>
      <c r="F5" s="1356"/>
      <c r="G5" s="1356"/>
      <c r="H5" s="1357"/>
    </row>
    <row r="6" spans="1:8" ht="135" customHeight="1" thickBot="1" x14ac:dyDescent="0.9">
      <c r="B6" s="1361" t="s">
        <v>1812</v>
      </c>
      <c r="C6" s="1362"/>
      <c r="D6" s="1362"/>
      <c r="E6" s="1362"/>
      <c r="F6" s="1362"/>
      <c r="G6" s="1362"/>
      <c r="H6" s="1363"/>
    </row>
    <row r="8" spans="1:8" ht="16" x14ac:dyDescent="0.8">
      <c r="B8" s="1353" t="s">
        <v>1448</v>
      </c>
      <c r="C8" s="1360"/>
      <c r="D8" s="1360"/>
      <c r="E8" s="1360"/>
      <c r="F8" s="1360"/>
      <c r="G8" s="1360"/>
      <c r="H8" s="1360"/>
    </row>
    <row r="9" spans="1:8" ht="5.9" customHeight="1" x14ac:dyDescent="0.75"/>
    <row r="10" spans="1:8" x14ac:dyDescent="0.75">
      <c r="B10" s="132" t="s">
        <v>1449</v>
      </c>
    </row>
    <row r="11" spans="1:8" ht="9" customHeight="1" x14ac:dyDescent="0.75"/>
    <row r="12" spans="1:8" x14ac:dyDescent="0.75">
      <c r="B12" s="1358" t="s">
        <v>1450</v>
      </c>
      <c r="C12" s="1358"/>
      <c r="D12" s="1358"/>
      <c r="F12" s="1358" t="s">
        <v>1451</v>
      </c>
      <c r="G12" s="1358"/>
      <c r="H12" s="984"/>
    </row>
    <row r="14" spans="1:8" ht="16" x14ac:dyDescent="0.75">
      <c r="B14" s="47">
        <v>1</v>
      </c>
      <c r="C14" s="4" t="s">
        <v>842</v>
      </c>
      <c r="F14" s="47">
        <v>1</v>
      </c>
      <c r="G14" s="70" t="s">
        <v>1452</v>
      </c>
    </row>
    <row r="15" spans="1:8" customFormat="1" x14ac:dyDescent="0.75">
      <c r="F15" s="804"/>
    </row>
    <row r="16" spans="1:8" ht="16" x14ac:dyDescent="0.75">
      <c r="B16" s="47">
        <v>2</v>
      </c>
      <c r="C16" s="4" t="s">
        <v>855</v>
      </c>
      <c r="F16" s="47">
        <v>2</v>
      </c>
      <c r="G16" s="132" t="s">
        <v>1813</v>
      </c>
    </row>
    <row r="17" spans="2:8" customFormat="1" x14ac:dyDescent="0.75">
      <c r="F17" s="804"/>
    </row>
    <row r="18" spans="2:8" ht="16" x14ac:dyDescent="0.75">
      <c r="B18" s="47">
        <v>3</v>
      </c>
      <c r="C18" s="4" t="s">
        <v>849</v>
      </c>
      <c r="F18" s="47">
        <v>3</v>
      </c>
      <c r="G18" s="132" t="s">
        <v>1814</v>
      </c>
    </row>
    <row r="19" spans="2:8" customFormat="1" x14ac:dyDescent="0.75"/>
    <row r="20" spans="2:8" ht="16" x14ac:dyDescent="0.75">
      <c r="B20" s="47">
        <v>4</v>
      </c>
      <c r="C20" s="4" t="s">
        <v>1471</v>
      </c>
      <c r="F20" s="47">
        <v>4</v>
      </c>
      <c r="G20" s="132" t="s">
        <v>1473</v>
      </c>
    </row>
    <row r="21" spans="2:8" customFormat="1" x14ac:dyDescent="0.75">
      <c r="F21" s="804"/>
    </row>
    <row r="22" spans="2:8" ht="16" x14ac:dyDescent="0.75">
      <c r="B22" s="47">
        <v>5</v>
      </c>
      <c r="C22" s="4" t="s">
        <v>1317</v>
      </c>
      <c r="F22" s="47">
        <v>5</v>
      </c>
      <c r="G22" s="132" t="s">
        <v>1472</v>
      </c>
    </row>
    <row r="23" spans="2:8" customFormat="1" x14ac:dyDescent="0.75">
      <c r="F23" s="804"/>
    </row>
    <row r="24" spans="2:8" ht="16" x14ac:dyDescent="0.75">
      <c r="B24" s="47">
        <v>6</v>
      </c>
      <c r="C24" s="4" t="s">
        <v>1141</v>
      </c>
      <c r="F24" s="47">
        <v>6</v>
      </c>
      <c r="G24" s="132" t="s">
        <v>1815</v>
      </c>
    </row>
    <row r="25" spans="2:8" customFormat="1" x14ac:dyDescent="0.75">
      <c r="F25" s="804"/>
    </row>
    <row r="26" spans="2:8" ht="16" x14ac:dyDescent="0.75">
      <c r="B26" s="47">
        <v>7</v>
      </c>
      <c r="C26" s="4" t="s">
        <v>857</v>
      </c>
      <c r="F26" s="47">
        <v>7</v>
      </c>
      <c r="G26" s="132" t="s">
        <v>1816</v>
      </c>
    </row>
    <row r="27" spans="2:8" customFormat="1" x14ac:dyDescent="0.75">
      <c r="F27" s="804"/>
    </row>
    <row r="28" spans="2:8" ht="16" x14ac:dyDescent="0.75">
      <c r="B28" s="47">
        <v>8</v>
      </c>
      <c r="C28" s="4" t="s">
        <v>864</v>
      </c>
      <c r="F28" s="47">
        <v>8</v>
      </c>
      <c r="G28" s="132" t="s">
        <v>1817</v>
      </c>
    </row>
    <row r="30" spans="2:8" ht="16" x14ac:dyDescent="0.8">
      <c r="B30" s="1353" t="s">
        <v>1453</v>
      </c>
      <c r="C30" s="1360"/>
      <c r="D30" s="1360"/>
      <c r="E30" s="1360"/>
      <c r="F30" s="1360"/>
      <c r="G30" s="1360"/>
      <c r="H30" s="1360"/>
    </row>
    <row r="31" spans="2:8" ht="6.65" customHeight="1" x14ac:dyDescent="0.75"/>
    <row r="32" spans="2:8" x14ac:dyDescent="0.75">
      <c r="B32" s="132" t="s">
        <v>1454</v>
      </c>
    </row>
    <row r="33" spans="2:8" ht="6" customHeight="1" x14ac:dyDescent="0.75"/>
    <row r="34" spans="2:8" x14ac:dyDescent="0.75">
      <c r="B34" s="1358" t="s">
        <v>628</v>
      </c>
      <c r="C34" s="1358"/>
      <c r="D34" s="1358"/>
      <c r="F34" s="1358" t="s">
        <v>1451</v>
      </c>
      <c r="G34" s="1358"/>
      <c r="H34" s="984"/>
    </row>
    <row r="35" spans="2:8" ht="10.4" customHeight="1" x14ac:dyDescent="0.75">
      <c r="G35" s="84"/>
    </row>
    <row r="36" spans="2:8" ht="20.149999999999999" customHeight="1" x14ac:dyDescent="0.75">
      <c r="B36" s="47">
        <v>1</v>
      </c>
      <c r="C36" s="71" t="s">
        <v>1455</v>
      </c>
      <c r="D36" s="70"/>
      <c r="F36" s="47">
        <v>1</v>
      </c>
      <c r="G36" s="70" t="s">
        <v>1456</v>
      </c>
    </row>
    <row r="37" spans="2:8" ht="90" customHeight="1" x14ac:dyDescent="0.75">
      <c r="B37" s="48"/>
      <c r="C37" s="70"/>
      <c r="D37" s="70"/>
      <c r="F37" s="54"/>
      <c r="G37" s="55" t="s">
        <v>1818</v>
      </c>
    </row>
    <row r="38" spans="2:8" x14ac:dyDescent="0.75">
      <c r="C38" s="49"/>
      <c r="D38" s="70"/>
      <c r="E38" s="50"/>
      <c r="G38" s="794" t="s">
        <v>1457</v>
      </c>
    </row>
    <row r="39" spans="2:8" ht="29.5" x14ac:dyDescent="0.75">
      <c r="C39" s="49"/>
      <c r="D39" s="70"/>
      <c r="E39" s="50"/>
      <c r="G39" s="794" t="s">
        <v>1458</v>
      </c>
    </row>
    <row r="40" spans="2:8" x14ac:dyDescent="0.75">
      <c r="C40" s="49"/>
      <c r="D40" s="70"/>
      <c r="E40" s="50"/>
      <c r="G40" s="794"/>
    </row>
    <row r="41" spans="2:8" ht="16" x14ac:dyDescent="0.75">
      <c r="B41" s="47">
        <v>2</v>
      </c>
      <c r="C41" s="49" t="s">
        <v>708</v>
      </c>
      <c r="D41" s="70"/>
      <c r="F41" s="47">
        <v>2</v>
      </c>
      <c r="G41" s="72" t="s">
        <v>1819</v>
      </c>
    </row>
    <row r="42" spans="2:8" ht="45.65" customHeight="1" x14ac:dyDescent="0.75">
      <c r="B42" s="48"/>
      <c r="C42" s="70"/>
      <c r="D42" s="70"/>
      <c r="F42" s="54"/>
      <c r="G42" s="73" t="s">
        <v>1820</v>
      </c>
    </row>
    <row r="43" spans="2:8" ht="29.5" x14ac:dyDescent="0.75">
      <c r="B43" s="50"/>
      <c r="C43" s="70"/>
      <c r="D43" s="70"/>
      <c r="E43" s="50"/>
      <c r="F43" s="50"/>
      <c r="G43" s="73" t="s">
        <v>1821</v>
      </c>
    </row>
    <row r="44" spans="2:8" x14ac:dyDescent="0.75">
      <c r="B44" s="50"/>
      <c r="C44" s="70"/>
      <c r="D44" s="70"/>
      <c r="E44" s="50"/>
      <c r="F44" s="50"/>
      <c r="G44" s="73"/>
    </row>
    <row r="45" spans="2:8" ht="16" x14ac:dyDescent="0.75">
      <c r="B45" s="47">
        <v>3</v>
      </c>
      <c r="C45" s="49" t="s">
        <v>1459</v>
      </c>
      <c r="D45" s="70"/>
      <c r="E45" s="50"/>
      <c r="F45" s="47">
        <v>3</v>
      </c>
      <c r="G45" s="795" t="s">
        <v>1460</v>
      </c>
    </row>
    <row r="46" spans="2:8" ht="33" customHeight="1" x14ac:dyDescent="0.75">
      <c r="B46" s="50"/>
      <c r="C46" s="70"/>
      <c r="D46" s="70"/>
      <c r="E46" s="50"/>
      <c r="F46" s="50"/>
      <c r="G46" s="73" t="s">
        <v>1822</v>
      </c>
    </row>
    <row r="47" spans="2:8" ht="33.65" customHeight="1" x14ac:dyDescent="0.75">
      <c r="B47" s="50"/>
      <c r="C47" s="70"/>
      <c r="D47" s="70"/>
      <c r="E47" s="50"/>
      <c r="F47" s="50"/>
      <c r="G47" s="73" t="s">
        <v>1823</v>
      </c>
    </row>
    <row r="48" spans="2:8" ht="31.9" customHeight="1" x14ac:dyDescent="0.75">
      <c r="B48" s="50"/>
      <c r="C48" s="70"/>
      <c r="D48" s="70"/>
      <c r="E48" s="50"/>
      <c r="F48" s="50"/>
      <c r="G48" s="796" t="s">
        <v>1825</v>
      </c>
    </row>
    <row r="49" spans="2:8" ht="29.5" x14ac:dyDescent="0.75">
      <c r="B49" s="50"/>
      <c r="C49" s="70"/>
      <c r="D49" s="70"/>
      <c r="E49" s="50"/>
      <c r="F49" s="50"/>
      <c r="G49" s="73" t="s">
        <v>1824</v>
      </c>
    </row>
    <row r="50" spans="2:8" x14ac:dyDescent="0.75">
      <c r="B50" s="50"/>
      <c r="C50" s="70"/>
      <c r="D50" s="70"/>
      <c r="E50" s="50"/>
      <c r="F50" s="50"/>
      <c r="G50" s="72"/>
    </row>
    <row r="51" spans="2:8" s="995" customFormat="1" ht="16" x14ac:dyDescent="0.8">
      <c r="B51" s="1353" t="s">
        <v>1461</v>
      </c>
      <c r="C51" s="1354"/>
      <c r="D51" s="1354"/>
      <c r="E51" s="1354"/>
      <c r="F51" s="1354"/>
      <c r="G51" s="1354"/>
      <c r="H51" s="1354"/>
    </row>
    <row r="52" spans="2:8" s="5" customFormat="1" ht="58.5" customHeight="1" x14ac:dyDescent="0.75">
      <c r="B52" s="1359" t="s">
        <v>1829</v>
      </c>
      <c r="C52" s="1359"/>
      <c r="D52" s="1359"/>
      <c r="E52" s="1359"/>
      <c r="F52" s="1359"/>
      <c r="G52" s="1359"/>
    </row>
    <row r="53" spans="2:8" s="995" customFormat="1" ht="14.9" customHeight="1" x14ac:dyDescent="0.75">
      <c r="B53" s="1082"/>
      <c r="C53" s="1082"/>
      <c r="D53" s="1082"/>
      <c r="E53" s="1082"/>
      <c r="F53" s="1082"/>
      <c r="G53" s="1082"/>
    </row>
    <row r="54" spans="2:8" s="995" customFormat="1" x14ac:dyDescent="0.75">
      <c r="B54" s="786" t="s">
        <v>1462</v>
      </c>
      <c r="D54" s="785"/>
      <c r="E54" s="785"/>
      <c r="F54" s="785"/>
      <c r="G54" s="785"/>
    </row>
    <row r="55" spans="2:8" s="6" customFormat="1" ht="14.9" customHeight="1" x14ac:dyDescent="0.75">
      <c r="B55" s="1098" t="s">
        <v>1770</v>
      </c>
      <c r="D55" s="1099"/>
      <c r="E55" s="1099"/>
      <c r="F55" s="1099"/>
      <c r="G55" s="1099"/>
    </row>
    <row r="56" spans="2:8" s="6" customFormat="1" ht="14.9" customHeight="1" x14ac:dyDescent="0.75">
      <c r="B56" s="1100" t="s">
        <v>1771</v>
      </c>
      <c r="D56" s="1099"/>
      <c r="E56" s="1099"/>
      <c r="F56" s="1099"/>
      <c r="G56" s="1099"/>
    </row>
    <row r="57" spans="2:8" s="6" customFormat="1" ht="14.9" customHeight="1" x14ac:dyDescent="0.75">
      <c r="B57" s="1098" t="s">
        <v>1826</v>
      </c>
      <c r="D57" s="1099"/>
      <c r="E57" s="1099"/>
      <c r="F57" s="1099"/>
      <c r="G57" s="1099"/>
    </row>
    <row r="58" spans="2:8" s="6" customFormat="1" ht="14.9" customHeight="1" x14ac:dyDescent="0.75">
      <c r="B58" s="1100" t="s">
        <v>1772</v>
      </c>
      <c r="D58" s="1099"/>
      <c r="E58" s="1099"/>
      <c r="F58" s="1099"/>
      <c r="G58" s="1099"/>
    </row>
    <row r="59" spans="2:8" s="6" customFormat="1" ht="14.9" customHeight="1" x14ac:dyDescent="0.75">
      <c r="B59" s="1098"/>
      <c r="D59" s="1099"/>
      <c r="E59" s="1099"/>
      <c r="F59" s="1099"/>
      <c r="G59" s="1099"/>
    </row>
    <row r="60" spans="2:8" s="6" customFormat="1" x14ac:dyDescent="0.75">
      <c r="B60" s="1101" t="s">
        <v>820</v>
      </c>
      <c r="D60" s="1099"/>
      <c r="E60" s="1099"/>
      <c r="F60" s="1099"/>
      <c r="G60" s="1099"/>
    </row>
    <row r="61" spans="2:8" s="6" customFormat="1" x14ac:dyDescent="0.75">
      <c r="B61" s="1098" t="s">
        <v>1463</v>
      </c>
      <c r="D61" s="1099"/>
      <c r="E61" s="1099"/>
      <c r="F61" s="1099"/>
      <c r="G61" s="1099"/>
    </row>
    <row r="62" spans="2:8" s="6" customFormat="1" x14ac:dyDescent="0.75">
      <c r="B62" s="1098" t="s">
        <v>1464</v>
      </c>
      <c r="D62" s="1099"/>
      <c r="E62" s="1099"/>
      <c r="F62" s="1099"/>
      <c r="G62" s="1099"/>
    </row>
    <row r="63" spans="2:8" s="6" customFormat="1" x14ac:dyDescent="0.75">
      <c r="B63" s="1098" t="s">
        <v>1773</v>
      </c>
      <c r="D63" s="1099"/>
      <c r="E63" s="1099"/>
      <c r="F63" s="1099"/>
      <c r="G63" s="1099"/>
    </row>
    <row r="64" spans="2:8" s="6" customFormat="1" x14ac:dyDescent="0.75">
      <c r="B64" s="1098" t="s">
        <v>1465</v>
      </c>
      <c r="D64" s="1099"/>
      <c r="E64" s="1099"/>
      <c r="F64" s="1099"/>
      <c r="G64" s="1099"/>
    </row>
    <row r="65" spans="2:8" s="995" customFormat="1" x14ac:dyDescent="0.75">
      <c r="B65" s="74" t="s">
        <v>1466</v>
      </c>
      <c r="D65" s="785"/>
      <c r="E65" s="785"/>
      <c r="F65" s="785"/>
      <c r="G65" s="785"/>
    </row>
    <row r="66" spans="2:8" s="995" customFormat="1" x14ac:dyDescent="0.75">
      <c r="B66" s="74" t="s">
        <v>1467</v>
      </c>
      <c r="D66" s="785"/>
      <c r="E66" s="785"/>
      <c r="F66" s="785"/>
      <c r="G66" s="785"/>
    </row>
    <row r="67" spans="2:8" s="995" customFormat="1" x14ac:dyDescent="0.75"/>
    <row r="68" spans="2:8" s="995" customFormat="1" ht="16" x14ac:dyDescent="0.8">
      <c r="B68" s="1353" t="s">
        <v>709</v>
      </c>
      <c r="C68" s="1354"/>
      <c r="D68" s="1354"/>
      <c r="E68" s="1354"/>
      <c r="F68" s="1354"/>
      <c r="G68" s="1354"/>
      <c r="H68" s="1354"/>
    </row>
    <row r="69" spans="2:8" s="995" customFormat="1" x14ac:dyDescent="0.75">
      <c r="B69" s="995" t="s">
        <v>1468</v>
      </c>
    </row>
    <row r="70" spans="2:8" s="995" customFormat="1" x14ac:dyDescent="0.75"/>
    <row r="71" spans="2:8" s="995" customFormat="1" x14ac:dyDescent="0.75">
      <c r="B71" s="4" t="s">
        <v>788</v>
      </c>
    </row>
    <row r="72" spans="2:8" s="6" customFormat="1" x14ac:dyDescent="0.75">
      <c r="B72" s="308" t="s">
        <v>1830</v>
      </c>
    </row>
    <row r="73" spans="2:8" s="6" customFormat="1" x14ac:dyDescent="0.75">
      <c r="B73" s="6" t="s">
        <v>1774</v>
      </c>
    </row>
    <row r="74" spans="2:8" s="6" customFormat="1" x14ac:dyDescent="0.75"/>
    <row r="75" spans="2:8" s="6" customFormat="1" x14ac:dyDescent="0.75">
      <c r="B75" s="36" t="s">
        <v>789</v>
      </c>
    </row>
    <row r="76" spans="2:8" s="6" customFormat="1" x14ac:dyDescent="0.75">
      <c r="B76" s="6" t="s">
        <v>1827</v>
      </c>
    </row>
    <row r="77" spans="2:8" s="6" customFormat="1" x14ac:dyDescent="0.75">
      <c r="B77" s="308" t="s">
        <v>1775</v>
      </c>
    </row>
    <row r="78" spans="2:8" s="6" customFormat="1" x14ac:dyDescent="0.75">
      <c r="B78" s="308"/>
    </row>
    <row r="79" spans="2:8" s="6" customFormat="1" x14ac:dyDescent="0.75">
      <c r="B79" s="36" t="s">
        <v>790</v>
      </c>
    </row>
    <row r="80" spans="2:8" s="6" customFormat="1" x14ac:dyDescent="0.75">
      <c r="B80" s="308" t="s">
        <v>1828</v>
      </c>
    </row>
    <row r="81" spans="2:2" s="6" customFormat="1" x14ac:dyDescent="0.75">
      <c r="B81" s="308" t="s">
        <v>1776</v>
      </c>
    </row>
    <row r="82" spans="2:2" s="6" customFormat="1" x14ac:dyDescent="0.75">
      <c r="B82" s="308" t="s">
        <v>1777</v>
      </c>
    </row>
    <row r="83" spans="2:2" s="995" customFormat="1" x14ac:dyDescent="0.75">
      <c r="B83" s="75" t="s">
        <v>1778</v>
      </c>
    </row>
  </sheetData>
  <sheetProtection algorithmName="SHA-512" hashValue="u9eEn5EUYdtN0GRK01RmQHwYG1NDs8ZSvbCJbJDF2SYc600/knLi8Q056Ltgn5aIMS1vica//MiQGxw9LURdlg==" saltValue="XWbONujWgk4xuZFW4UeWzQ==" spinCount="100000" sheet="1" objects="1" scenarios="1"/>
  <mergeCells count="11">
    <mergeCell ref="B68:H68"/>
    <mergeCell ref="B5:H5"/>
    <mergeCell ref="B34:D34"/>
    <mergeCell ref="F34:G34"/>
    <mergeCell ref="B51:H51"/>
    <mergeCell ref="B52:G52"/>
    <mergeCell ref="B30:H30"/>
    <mergeCell ref="B8:H8"/>
    <mergeCell ref="B12:D12"/>
    <mergeCell ref="F12:G12"/>
    <mergeCell ref="B6:H6"/>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autoPageBreaks="0"/>
  </sheetPr>
  <dimension ref="B1:R167"/>
  <sheetViews>
    <sheetView showGridLines="0" showRuler="0" zoomScale="80" zoomScaleNormal="80" workbookViewId="0"/>
  </sheetViews>
  <sheetFormatPr defaultColWidth="8.86328125" defaultRowHeight="14.75" x14ac:dyDescent="0.75"/>
  <cols>
    <col min="1" max="1" width="3.40625" style="997" customWidth="1"/>
    <col min="2" max="2" width="47.40625" style="997" customWidth="1"/>
    <col min="3" max="3" width="23.40625" style="997" customWidth="1"/>
    <col min="4" max="4" width="13.40625" style="997" customWidth="1"/>
    <col min="5" max="5" width="8.86328125" style="997"/>
    <col min="6" max="6" width="12" style="997" customWidth="1"/>
    <col min="7" max="7" width="13.40625" style="997" bestFit="1" customWidth="1"/>
    <col min="8" max="8" width="11.40625" style="997" bestFit="1" customWidth="1"/>
    <col min="9" max="9" width="10.40625" style="997" bestFit="1" customWidth="1"/>
    <col min="10" max="10" width="13.40625" style="997" bestFit="1" customWidth="1"/>
    <col min="11" max="11" width="8.86328125" style="997"/>
    <col min="12" max="12" width="12.40625" style="997" bestFit="1" customWidth="1"/>
    <col min="13" max="16384" width="8.86328125" style="997"/>
  </cols>
  <sheetData>
    <row r="1" spans="2:18" s="1197" customFormat="1" ht="19.25" thickBot="1" x14ac:dyDescent="1.05"/>
    <row r="2" spans="2:18" x14ac:dyDescent="0.75">
      <c r="C2" s="1198" t="s">
        <v>1559</v>
      </c>
      <c r="D2" s="1199" t="s">
        <v>1560</v>
      </c>
      <c r="E2" s="1200"/>
      <c r="F2" s="1201"/>
      <c r="J2" s="96"/>
    </row>
    <row r="3" spans="2:18" x14ac:dyDescent="0.75">
      <c r="C3" s="1202"/>
      <c r="D3" s="1203" t="s">
        <v>262</v>
      </c>
      <c r="E3" s="96"/>
      <c r="F3" s="724"/>
      <c r="J3" s="96"/>
    </row>
    <row r="4" spans="2:18" x14ac:dyDescent="0.75">
      <c r="C4" s="1202"/>
      <c r="D4" s="1203" t="s">
        <v>1561</v>
      </c>
      <c r="E4" s="96"/>
      <c r="F4" s="724"/>
      <c r="J4" s="96"/>
    </row>
    <row r="5" spans="2:18" x14ac:dyDescent="0.75">
      <c r="C5" s="1202"/>
      <c r="D5" s="1203" t="s">
        <v>1562</v>
      </c>
      <c r="E5" s="96"/>
      <c r="F5" s="724"/>
      <c r="J5" s="96"/>
    </row>
    <row r="6" spans="2:18" ht="15.5" thickBot="1" x14ac:dyDescent="0.9">
      <c r="C6" s="1204"/>
      <c r="D6" s="1205" t="s">
        <v>1563</v>
      </c>
      <c r="E6" s="124"/>
      <c r="F6" s="726"/>
      <c r="J6" s="96"/>
    </row>
    <row r="7" spans="2:18" s="1197" customFormat="1" ht="18.5" x14ac:dyDescent="0.9">
      <c r="B7" s="1197" t="s">
        <v>749</v>
      </c>
    </row>
    <row r="8" spans="2:18" x14ac:dyDescent="0.75">
      <c r="M8" s="93"/>
    </row>
    <row r="9" spans="2:18" s="1207" customFormat="1" x14ac:dyDescent="0.75">
      <c r="B9" s="1206" t="s">
        <v>1037</v>
      </c>
      <c r="M9" s="1208"/>
      <c r="N9" s="1209"/>
      <c r="O9" s="1209"/>
      <c r="P9" s="1209"/>
      <c r="Q9" s="1209"/>
      <c r="R9" s="1209"/>
    </row>
    <row r="10" spans="2:18" x14ac:dyDescent="0.75">
      <c r="D10" s="1210"/>
      <c r="E10" s="88"/>
      <c r="F10" s="88"/>
      <c r="G10" s="88"/>
      <c r="H10" s="88"/>
      <c r="I10" s="88"/>
      <c r="M10" s="1211"/>
      <c r="N10" s="1212"/>
      <c r="O10" s="1212"/>
      <c r="P10" s="1212"/>
      <c r="Q10" s="1212"/>
      <c r="R10" s="1212"/>
    </row>
    <row r="11" spans="2:18" x14ac:dyDescent="0.75">
      <c r="B11" s="1213" t="s">
        <v>1039</v>
      </c>
      <c r="C11" s="1214"/>
      <c r="M11" s="1211"/>
      <c r="N11" s="1212"/>
      <c r="O11" s="1212"/>
      <c r="P11" s="1212"/>
      <c r="Q11" s="1212"/>
      <c r="R11" s="1212"/>
    </row>
    <row r="12" spans="2:18" x14ac:dyDescent="0.75">
      <c r="B12" s="997" t="s">
        <v>1042</v>
      </c>
      <c r="C12" s="1181">
        <f>IFERROR(INDEX('WB HCW &amp; Beds'!$BN$829:$BN$1092,MATCH(Inputs!E35,'WB HCW &amp; Beds'!$B$829:$B$1092,0)),"")</f>
        <v>2</v>
      </c>
      <c r="D12" s="997" t="s">
        <v>1554</v>
      </c>
      <c r="M12" s="1211"/>
      <c r="N12" s="1212"/>
      <c r="O12" s="1212"/>
      <c r="P12" s="1212"/>
      <c r="Q12" s="1212"/>
      <c r="R12" s="1212"/>
    </row>
    <row r="13" spans="2:18" x14ac:dyDescent="0.75">
      <c r="B13" s="997" t="s">
        <v>1040</v>
      </c>
      <c r="C13" s="1181">
        <f>'WB HCW &amp; Beds'!$BU$835</f>
        <v>2.7</v>
      </c>
      <c r="D13" s="997" t="s">
        <v>1553</v>
      </c>
      <c r="M13" s="1211"/>
      <c r="N13" s="1212"/>
      <c r="O13" s="1212"/>
      <c r="P13" s="1212"/>
      <c r="Q13" s="1212"/>
      <c r="R13" s="1212"/>
    </row>
    <row r="14" spans="2:18" x14ac:dyDescent="0.75">
      <c r="C14" s="88"/>
      <c r="L14" s="1215"/>
      <c r="M14" s="1211"/>
      <c r="N14" s="1212"/>
      <c r="O14" s="1212"/>
      <c r="P14" s="1212"/>
      <c r="Q14" s="1212"/>
      <c r="R14" s="1212"/>
    </row>
    <row r="15" spans="2:18" x14ac:dyDescent="0.75">
      <c r="C15" s="88"/>
      <c r="J15" s="1215"/>
      <c r="L15" s="1215"/>
      <c r="M15" s="1211"/>
      <c r="N15" s="1212"/>
      <c r="O15" s="1212"/>
      <c r="P15" s="1212"/>
      <c r="Q15" s="1212"/>
      <c r="R15" s="1212"/>
    </row>
    <row r="16" spans="2:18" x14ac:dyDescent="0.75">
      <c r="B16" s="1216" t="s">
        <v>1041</v>
      </c>
      <c r="C16" s="88"/>
      <c r="J16" s="1215"/>
      <c r="L16" s="1215"/>
      <c r="M16" s="1211"/>
      <c r="N16" s="1212"/>
      <c r="O16" s="1212"/>
      <c r="P16" s="1212"/>
      <c r="Q16" s="1212"/>
      <c r="R16" s="1212"/>
    </row>
    <row r="17" spans="2:18" x14ac:dyDescent="0.75">
      <c r="B17" s="997" t="s">
        <v>1042</v>
      </c>
      <c r="C17" s="1217">
        <f>IF(ISNUMBER($C$12),$C$12*'Back Calculations'!$C$86/1000,CONCATENATE("No reported value. The average based on population size would be: ",$C$18," beds"))</f>
        <v>36768</v>
      </c>
      <c r="D17" s="997" t="s">
        <v>1551</v>
      </c>
      <c r="J17" s="1215"/>
      <c r="L17" s="1215"/>
      <c r="M17" s="1211"/>
      <c r="N17" s="1212"/>
      <c r="O17" s="1212"/>
      <c r="P17" s="1212"/>
      <c r="Q17" s="1212"/>
      <c r="R17" s="1212"/>
    </row>
    <row r="18" spans="2:18" x14ac:dyDescent="0.75">
      <c r="B18" s="997" t="s">
        <v>1040</v>
      </c>
      <c r="C18" s="1217">
        <f>ROUNDUP($C$13*'Back Calculations'!$C$86/1000,0)</f>
        <v>49637</v>
      </c>
      <c r="D18" s="997" t="s">
        <v>1551</v>
      </c>
      <c r="J18" s="1215"/>
      <c r="L18" s="1215"/>
      <c r="M18" s="1211"/>
      <c r="N18" s="1212"/>
      <c r="O18" s="1212"/>
      <c r="P18" s="1212"/>
      <c r="Q18" s="1212"/>
      <c r="R18" s="1212"/>
    </row>
    <row r="19" spans="2:18" ht="15.5" thickBot="1" x14ac:dyDescent="0.9">
      <c r="B19" s="125" t="s">
        <v>1043</v>
      </c>
      <c r="C19" s="1218">
        <f>IF(LEFT($C$17,2)="No",$C$18,$C$17)</f>
        <v>36768</v>
      </c>
      <c r="D19" s="997" t="s">
        <v>1550</v>
      </c>
      <c r="J19" s="1215"/>
      <c r="L19" s="1215"/>
      <c r="M19" s="1211"/>
      <c r="N19" s="1212"/>
      <c r="O19" s="1212"/>
      <c r="P19" s="1212"/>
      <c r="Q19" s="1212"/>
      <c r="R19" s="1212"/>
    </row>
    <row r="20" spans="2:18" x14ac:dyDescent="0.75">
      <c r="C20" s="1215"/>
      <c r="J20" s="1215"/>
      <c r="L20" s="1215"/>
      <c r="M20" s="1211"/>
      <c r="N20" s="1212"/>
      <c r="O20" s="1212"/>
      <c r="P20" s="1212"/>
      <c r="Q20" s="1212"/>
      <c r="R20" s="1212"/>
    </row>
    <row r="21" spans="2:18" s="1207" customFormat="1" x14ac:dyDescent="0.75">
      <c r="B21" s="1206" t="s">
        <v>1044</v>
      </c>
      <c r="C21" s="1206"/>
    </row>
    <row r="23" spans="2:18" x14ac:dyDescent="0.75">
      <c r="B23" s="1213" t="s">
        <v>1045</v>
      </c>
      <c r="C23" s="96"/>
    </row>
    <row r="24" spans="2:18" x14ac:dyDescent="0.75">
      <c r="B24" s="92" t="s">
        <v>781</v>
      </c>
      <c r="C24" s="1219">
        <f>INDEX('HCW + Staff Summary'!$P$7:$P$275,MATCH(Inputs!$E$35,'HCW + Staff Summary'!$B$7:$B$275,0))</f>
        <v>1678.4592</v>
      </c>
      <c r="D24" s="997" t="s">
        <v>1556</v>
      </c>
    </row>
    <row r="25" spans="2:18" x14ac:dyDescent="0.75">
      <c r="B25" s="92" t="s">
        <v>1555</v>
      </c>
      <c r="C25" s="1219">
        <f>INDEX('HCW + Staff Summary'!$R$7:$R$275,MATCH(Inputs!$E$35,'HCW + Staff Summary'!$B$7:$B$275,0))</f>
        <v>24111.003990320547</v>
      </c>
      <c r="D25" s="997" t="s">
        <v>1556</v>
      </c>
    </row>
    <row r="26" spans="2:18" x14ac:dyDescent="0.75">
      <c r="B26" s="92" t="s">
        <v>782</v>
      </c>
      <c r="D26" s="997" t="s">
        <v>1557</v>
      </c>
    </row>
    <row r="27" spans="2:18" x14ac:dyDescent="0.75">
      <c r="B27" s="92" t="s">
        <v>785</v>
      </c>
      <c r="C27" s="1219">
        <f>INDEX('HCW + Staff Summary'!$S$7:$S$275,MATCH(Inputs!$E$35,'HCW + Staff Summary'!$B$7:$B$275,0))</f>
        <v>467.95848779734888</v>
      </c>
      <c r="D27" s="997" t="s">
        <v>1556</v>
      </c>
    </row>
    <row r="29" spans="2:18" x14ac:dyDescent="0.75">
      <c r="B29" s="1213" t="s">
        <v>1046</v>
      </c>
      <c r="C29" s="96"/>
      <c r="K29" s="1220"/>
    </row>
    <row r="30" spans="2:18" x14ac:dyDescent="0.75">
      <c r="B30" s="997" t="s">
        <v>783</v>
      </c>
      <c r="C30" s="1221">
        <f ca="1">Inputs!I66*SUM($C$24:$C$26)</f>
        <v>13950.648764858804</v>
      </c>
      <c r="D30" s="997" t="s">
        <v>1047</v>
      </c>
    </row>
    <row r="31" spans="2:18" x14ac:dyDescent="0.75">
      <c r="B31" s="997" t="s">
        <v>784</v>
      </c>
      <c r="C31" s="1221">
        <f ca="1">Inputs!I67*SUM($C$24:$C$26)</f>
        <v>1523.0291493335235</v>
      </c>
      <c r="D31" s="997" t="s">
        <v>1047</v>
      </c>
    </row>
    <row r="32" spans="2:18" x14ac:dyDescent="0.75">
      <c r="B32" s="997" t="s">
        <v>818</v>
      </c>
      <c r="C32" s="1222">
        <f>C27</f>
        <v>467.95848779734888</v>
      </c>
      <c r="D32" s="997" t="s">
        <v>1047</v>
      </c>
    </row>
    <row r="33" spans="2:18" x14ac:dyDescent="0.75">
      <c r="B33" s="997" t="s">
        <v>903</v>
      </c>
      <c r="C33" s="1219">
        <f ca="1">IF(ISBLANK(Inputs!$I$98),Patients!$D$10*Hygienists_per_bed,Inputs!$I$98*Hygienists_per_bed)</f>
        <v>15635.667431429827</v>
      </c>
      <c r="D33" s="997" t="s">
        <v>1558</v>
      </c>
    </row>
    <row r="35" spans="2:18" x14ac:dyDescent="0.75">
      <c r="B35" s="1213" t="s">
        <v>1303</v>
      </c>
      <c r="C35" s="1213"/>
    </row>
    <row r="36" spans="2:18" ht="16" x14ac:dyDescent="0.8">
      <c r="B36" s="1223" t="s">
        <v>1198</v>
      </c>
      <c r="C36" s="1224">
        <f ca="1">Patients!$BF$52/SUM(Patients!$BF$51:$BF$52)</f>
        <v>6.0009654357987406E-2</v>
      </c>
      <c r="D36" s="997" t="s">
        <v>1306</v>
      </c>
    </row>
    <row r="37" spans="2:18" ht="16" x14ac:dyDescent="0.8">
      <c r="B37" s="1223" t="s">
        <v>1304</v>
      </c>
      <c r="C37" s="1225">
        <f ca="1">1-C36</f>
        <v>0.93999034564201256</v>
      </c>
      <c r="D37" s="997" t="s">
        <v>1306</v>
      </c>
    </row>
    <row r="38" spans="2:18" ht="16" x14ac:dyDescent="0.8">
      <c r="B38" s="1223"/>
      <c r="C38" s="1226"/>
    </row>
    <row r="39" spans="2:18" x14ac:dyDescent="0.75">
      <c r="B39" s="1213" t="s">
        <v>1431</v>
      </c>
      <c r="C39" s="1213"/>
      <c r="D39" s="1214"/>
      <c r="E39" s="1214"/>
      <c r="F39" s="1214"/>
    </row>
    <row r="40" spans="2:18" ht="16" x14ac:dyDescent="0.8">
      <c r="B40" s="1227" t="s">
        <v>1432</v>
      </c>
      <c r="C40" s="1224">
        <f>MildCasePercentage+ModerateCasePercentage</f>
        <v>0.8</v>
      </c>
      <c r="D40" s="96"/>
      <c r="E40" s="96"/>
      <c r="F40" s="96"/>
    </row>
    <row r="41" spans="2:18" ht="16" x14ac:dyDescent="0.8">
      <c r="B41" s="1227" t="s">
        <v>1433</v>
      </c>
      <c r="C41" s="1224">
        <f>SevereCasePercentage+CriticalCasePercentage</f>
        <v>0.2</v>
      </c>
      <c r="D41" s="96"/>
      <c r="E41" s="96"/>
      <c r="F41" s="96"/>
    </row>
    <row r="42" spans="2:18" ht="16" x14ac:dyDescent="0.8">
      <c r="B42" s="1227" t="s">
        <v>1434</v>
      </c>
      <c r="C42" s="1228">
        <f>1/Inputs!$E$78</f>
        <v>4.3749999999999997E-2</v>
      </c>
      <c r="D42" s="96"/>
      <c r="E42" s="96"/>
      <c r="F42" s="96"/>
    </row>
    <row r="43" spans="2:18" ht="16" x14ac:dyDescent="0.8">
      <c r="B43" s="1227" t="s">
        <v>1435</v>
      </c>
      <c r="C43" s="1228">
        <f ca="1">Inputs!$E$72</f>
        <v>1.602965731101488</v>
      </c>
      <c r="D43" s="96"/>
      <c r="E43" s="96"/>
      <c r="F43" s="96"/>
    </row>
    <row r="44" spans="2:18" ht="32" x14ac:dyDescent="0.8">
      <c r="B44" s="1229" t="s">
        <v>1436</v>
      </c>
      <c r="C44" s="1224">
        <f ca="1">(C41*C43)/(C40*C42+C41*C43)</f>
        <v>0.90157290608093799</v>
      </c>
    </row>
    <row r="45" spans="2:18" ht="16" x14ac:dyDescent="0.8">
      <c r="B45" s="1229"/>
      <c r="C45" s="1220"/>
    </row>
    <row r="46" spans="2:18" s="1230" customFormat="1" ht="18.5" x14ac:dyDescent="0.9">
      <c r="B46" s="1197" t="s">
        <v>1038</v>
      </c>
      <c r="C46" s="1197"/>
      <c r="D46" s="1197"/>
      <c r="E46" s="1197"/>
      <c r="F46" s="1197"/>
      <c r="G46" s="1197"/>
      <c r="H46" s="1197"/>
    </row>
    <row r="48" spans="2:18" s="1207" customFormat="1" x14ac:dyDescent="0.75">
      <c r="B48" s="1206" t="s">
        <v>1050</v>
      </c>
      <c r="M48" s="1208"/>
      <c r="N48" s="1209"/>
      <c r="O48" s="1209"/>
      <c r="P48" s="1209"/>
      <c r="Q48" s="1209"/>
      <c r="R48" s="1209"/>
    </row>
    <row r="49" spans="2:18" x14ac:dyDescent="0.75">
      <c r="B49" s="1213" t="s">
        <v>1036</v>
      </c>
      <c r="E49" s="1214" t="s">
        <v>1878</v>
      </c>
      <c r="F49" s="1220">
        <f>Inputs!$I$174</f>
        <v>0.1</v>
      </c>
      <c r="M49" s="1211"/>
      <c r="N49" s="1212"/>
      <c r="O49" s="1212"/>
      <c r="P49" s="1212"/>
      <c r="Q49" s="1212"/>
      <c r="R49" s="1212"/>
    </row>
    <row r="50" spans="2:18" x14ac:dyDescent="0.75">
      <c r="B50" s="997" t="s">
        <v>575</v>
      </c>
      <c r="C50" s="1231">
        <f>250-(250*Inputs!$I$174)</f>
        <v>225</v>
      </c>
      <c r="M50" s="1211"/>
      <c r="N50" s="1212"/>
      <c r="O50" s="1212"/>
      <c r="P50" s="1212"/>
      <c r="Q50" s="1212"/>
      <c r="R50" s="1212"/>
    </row>
    <row r="51" spans="2:18" x14ac:dyDescent="0.75">
      <c r="B51"/>
      <c r="C51"/>
      <c r="M51" s="88"/>
      <c r="N51" s="88"/>
      <c r="O51" s="88"/>
      <c r="P51" s="88"/>
      <c r="Q51" s="88"/>
      <c r="R51" s="88"/>
    </row>
    <row r="52" spans="2:18" x14ac:dyDescent="0.75">
      <c r="B52"/>
      <c r="C52"/>
      <c r="M52" s="88"/>
      <c r="N52" s="88"/>
      <c r="O52" s="88"/>
      <c r="P52" s="88"/>
      <c r="Q52" s="88"/>
      <c r="R52" s="88"/>
    </row>
    <row r="53" spans="2:18" x14ac:dyDescent="0.75">
      <c r="B53" s="997" t="s">
        <v>576</v>
      </c>
      <c r="C53" s="1231">
        <f>100-(100*Inputs!$I$174)</f>
        <v>90</v>
      </c>
      <c r="M53" s="1211"/>
      <c r="N53" s="1212"/>
      <c r="O53" s="1212"/>
      <c r="P53" s="1212"/>
      <c r="Q53" s="1212"/>
      <c r="R53" s="1212"/>
    </row>
    <row r="54" spans="2:18" x14ac:dyDescent="0.75">
      <c r="M54" s="1211"/>
      <c r="N54" s="1212"/>
      <c r="O54" s="1212"/>
      <c r="P54" s="1212"/>
      <c r="Q54" s="1212"/>
      <c r="R54" s="1212"/>
    </row>
    <row r="55" spans="2:18" s="88" customFormat="1" x14ac:dyDescent="0.75">
      <c r="B55" s="1232" t="s">
        <v>1048</v>
      </c>
      <c r="C55" s="1232"/>
      <c r="D55" s="1233"/>
      <c r="E55" s="1233"/>
      <c r="F55" s="1233"/>
    </row>
    <row r="56" spans="2:18" ht="29.5" x14ac:dyDescent="0.75">
      <c r="B56" s="127" t="s">
        <v>1373</v>
      </c>
      <c r="C56" s="1234">
        <f ca="1">IF(Inputs!I139=0,0,Total_tests_conducted-'Diagnostics Module'!J5-'Diagnostics Module'!J6-'Diagnostics Module'!J8)</f>
        <v>12528.078758313852</v>
      </c>
      <c r="H56" s="116"/>
    </row>
    <row r="57" spans="2:18" ht="29.5" x14ac:dyDescent="0.75">
      <c r="B57" s="127" t="s">
        <v>1397</v>
      </c>
      <c r="C57" s="1234">
        <f ca="1">'User Dashboard'!C78</f>
        <v>322517.5206073692</v>
      </c>
      <c r="H57" s="116"/>
    </row>
    <row r="58" spans="2:18" x14ac:dyDescent="0.75">
      <c r="B58" s="127" t="s">
        <v>612</v>
      </c>
      <c r="C58" s="1234">
        <f ca="1">Max_hospitals_operating</f>
        <v>552</v>
      </c>
    </row>
    <row r="59" spans="2:18" x14ac:dyDescent="0.75">
      <c r="B59" s="997" t="s">
        <v>690</v>
      </c>
      <c r="C59" s="1234">
        <f ca="1">Total_hospitals_operating_per_week_over_time</f>
        <v>2016</v>
      </c>
    </row>
    <row r="60" spans="2:18" x14ac:dyDescent="0.75">
      <c r="B60" s="88"/>
      <c r="C60" s="88"/>
      <c r="D60" s="88"/>
      <c r="E60" s="88"/>
      <c r="F60" s="88"/>
      <c r="G60" s="1215"/>
    </row>
    <row r="61" spans="2:18" s="89" customFormat="1" x14ac:dyDescent="0.75">
      <c r="B61" s="91" t="s">
        <v>1049</v>
      </c>
      <c r="C61" s="91"/>
      <c r="D61" s="91"/>
      <c r="E61" s="91"/>
      <c r="F61" s="91"/>
    </row>
    <row r="62" spans="2:18" x14ac:dyDescent="0.75">
      <c r="B62" s="1216" t="s">
        <v>293</v>
      </c>
      <c r="C62" s="1216" t="s">
        <v>595</v>
      </c>
    </row>
    <row r="63" spans="2:18" x14ac:dyDescent="0.75">
      <c r="B63" s="997" t="s">
        <v>261</v>
      </c>
      <c r="C63" s="997" t="s">
        <v>611</v>
      </c>
      <c r="F63" s="1222">
        <f ca="1">$C$58*Inputs!$I$173</f>
        <v>2208</v>
      </c>
    </row>
    <row r="64" spans="2:18" x14ac:dyDescent="0.75">
      <c r="B64" s="997" t="s">
        <v>1100</v>
      </c>
      <c r="C64" s="997" t="s">
        <v>600</v>
      </c>
      <c r="F64" s="1222">
        <f ca="1">C57</f>
        <v>322517.5206073692</v>
      </c>
    </row>
    <row r="65" spans="2:8" x14ac:dyDescent="0.75">
      <c r="B65" s="997" t="s">
        <v>299</v>
      </c>
      <c r="C65" s="997" t="s">
        <v>613</v>
      </c>
      <c r="F65" s="1222">
        <f ca="1">$C$59*Inputs!$I$172</f>
        <v>16128</v>
      </c>
    </row>
    <row r="66" spans="2:8" x14ac:dyDescent="0.75">
      <c r="B66" s="997" t="s">
        <v>1101</v>
      </c>
      <c r="C66" s="997" t="s">
        <v>596</v>
      </c>
      <c r="F66" s="1219">
        <f ca="1">ROUNDUP($C$56/'Back Calculations'!$C50,0)</f>
        <v>56</v>
      </c>
    </row>
    <row r="67" spans="2:8" x14ac:dyDescent="0.75">
      <c r="B67"/>
      <c r="C67"/>
      <c r="D67"/>
      <c r="E67"/>
      <c r="F67"/>
    </row>
    <row r="68" spans="2:8" x14ac:dyDescent="0.75">
      <c r="B68"/>
      <c r="C68"/>
      <c r="D68"/>
      <c r="E68"/>
      <c r="F68"/>
    </row>
    <row r="69" spans="2:8" x14ac:dyDescent="0.75">
      <c r="B69" s="997" t="s">
        <v>1102</v>
      </c>
      <c r="C69" s="997" t="s">
        <v>597</v>
      </c>
      <c r="F69" s="1219">
        <f ca="1">ROUNDUP($C$56/'Back Calculations'!$C53,0)</f>
        <v>140</v>
      </c>
    </row>
    <row r="71" spans="2:8" s="1230" customFormat="1" ht="18.5" x14ac:dyDescent="0.9">
      <c r="B71" s="1197" t="s">
        <v>1051</v>
      </c>
      <c r="C71" s="1197"/>
      <c r="D71" s="1197"/>
      <c r="E71" s="1197"/>
      <c r="F71" s="1197"/>
      <c r="G71" s="1197"/>
      <c r="H71" s="1197"/>
    </row>
    <row r="73" spans="2:8" x14ac:dyDescent="0.75">
      <c r="B73" s="1216" t="s">
        <v>593</v>
      </c>
    </row>
    <row r="74" spans="2:8" x14ac:dyDescent="0.75">
      <c r="B74" s="997" t="s">
        <v>648</v>
      </c>
      <c r="C74" s="1219">
        <f ca="1">Max_severe_capped_beds</f>
        <v>21185.721600000001</v>
      </c>
    </row>
    <row r="75" spans="2:8" x14ac:dyDescent="0.75">
      <c r="B75" s="997" t="s">
        <v>649</v>
      </c>
      <c r="C75" s="1219">
        <f ca="1">Max_critical_capped_beds</f>
        <v>875.0784000000001</v>
      </c>
    </row>
    <row r="76" spans="2:8" s="88" customFormat="1" x14ac:dyDescent="0.75">
      <c r="C76" s="1215"/>
    </row>
    <row r="77" spans="2:8" x14ac:dyDescent="0.75">
      <c r="B77" s="1213" t="s">
        <v>1052</v>
      </c>
      <c r="C77" s="1213"/>
    </row>
    <row r="78" spans="2:8" x14ac:dyDescent="0.75">
      <c r="B78" s="997" t="s">
        <v>624</v>
      </c>
      <c r="C78" s="1235">
        <f ca="1">'Back Calculations'!$C$74*Inputs!$I$181*1440*0.001</f>
        <v>305074.39104000002</v>
      </c>
      <c r="D78" s="997" t="s">
        <v>626</v>
      </c>
      <c r="E78" s="997" t="s">
        <v>1031</v>
      </c>
    </row>
    <row r="79" spans="2:8" x14ac:dyDescent="0.75">
      <c r="B79" s="997" t="s">
        <v>625</v>
      </c>
      <c r="C79" s="1235">
        <f ca="1">('Back Calculations'!$C$75*Inputs!$I$182*50%*1440*0.001)+('Back Calculations'!$C$75*Inputs!$I$183*50%*1440*0.001)</f>
        <v>37803.386880000005</v>
      </c>
      <c r="D79" s="997" t="s">
        <v>626</v>
      </c>
      <c r="E79" s="997" t="s">
        <v>858</v>
      </c>
    </row>
    <row r="80" spans="2:8" ht="15.5" thickBot="1" x14ac:dyDescent="0.9">
      <c r="B80" s="997" t="s">
        <v>259</v>
      </c>
      <c r="C80" s="1236">
        <f ca="1">SUM(C78:C79)</f>
        <v>342877.77792000002</v>
      </c>
      <c r="D80" s="997" t="s">
        <v>626</v>
      </c>
    </row>
    <row r="81" spans="2:11" s="88" customFormat="1" ht="19.5" customHeight="1" x14ac:dyDescent="0.75">
      <c r="C81" s="1237"/>
    </row>
    <row r="82" spans="2:11" s="1230" customFormat="1" ht="18.5" x14ac:dyDescent="0.9">
      <c r="B82" s="1197" t="s">
        <v>878</v>
      </c>
      <c r="C82" s="1197"/>
      <c r="D82" s="1197"/>
      <c r="E82" s="1197"/>
      <c r="F82" s="1197"/>
      <c r="G82" s="1197"/>
      <c r="H82" s="1197"/>
    </row>
    <row r="83" spans="2:11" x14ac:dyDescent="0.75">
      <c r="E83" s="1238"/>
    </row>
    <row r="84" spans="2:11" s="1207" customFormat="1" x14ac:dyDescent="0.75">
      <c r="B84" s="1206" t="s">
        <v>593</v>
      </c>
      <c r="C84" s="1206"/>
    </row>
    <row r="85" spans="2:11" ht="15.5" thickBot="1" x14ac:dyDescent="0.9">
      <c r="B85" s="1233"/>
      <c r="C85" s="1233"/>
      <c r="D85" s="88"/>
      <c r="E85" s="88"/>
      <c r="F85" s="88"/>
      <c r="G85" s="88"/>
      <c r="H85" s="88"/>
      <c r="I85" s="88"/>
      <c r="J85" s="88"/>
      <c r="K85" s="88"/>
    </row>
    <row r="86" spans="2:11" ht="15.5" thickBot="1" x14ac:dyDescent="0.9">
      <c r="B86" s="1239" t="s">
        <v>584</v>
      </c>
      <c r="C86" s="1240">
        <f>IF(Inputs!$E$35="Manual",Inputs!$C$24,INDEX('WB Population Data'!$D$6:$D$227,MATCH(Inputs!$E$35,'WB Population Data'!$B$6:$B$227,0)))</f>
        <v>18384000</v>
      </c>
      <c r="D86" s="1238"/>
      <c r="E86" s="1238"/>
      <c r="F86" s="1241"/>
      <c r="G86" s="1242"/>
      <c r="H86" s="1243"/>
      <c r="I86" s="1243"/>
      <c r="J86" s="1243"/>
      <c r="K86" s="1243"/>
    </row>
    <row r="87" spans="2:11" x14ac:dyDescent="0.75">
      <c r="B87" s="1238"/>
      <c r="C87" s="1238"/>
      <c r="D87" s="1238"/>
      <c r="E87" s="1238"/>
      <c r="F87" s="1244"/>
      <c r="G87" s="1242"/>
      <c r="H87" s="1243"/>
      <c r="I87" s="1243"/>
      <c r="J87" s="1243"/>
      <c r="K87" s="1243"/>
    </row>
    <row r="88" spans="2:11" x14ac:dyDescent="0.75">
      <c r="B88" s="1245" t="s">
        <v>580</v>
      </c>
      <c r="C88" s="1246"/>
      <c r="D88" s="1238"/>
      <c r="E88" s="1238"/>
      <c r="F88" s="1247"/>
      <c r="G88" s="1242"/>
      <c r="H88" s="1243"/>
      <c r="I88" s="1243"/>
      <c r="J88" s="1243"/>
      <c r="K88" s="1243"/>
    </row>
    <row r="89" spans="2:11" x14ac:dyDescent="0.75">
      <c r="B89" s="1244" t="s">
        <v>807</v>
      </c>
      <c r="C89" s="1251">
        <v>7</v>
      </c>
      <c r="D89" s="997" t="s">
        <v>704</v>
      </c>
      <c r="E89" s="1238"/>
      <c r="F89" s="1247"/>
      <c r="G89" s="1249"/>
      <c r="H89" s="1243"/>
      <c r="I89" s="1243"/>
      <c r="J89" s="1243"/>
      <c r="K89" s="1243"/>
    </row>
    <row r="90" spans="2:11" x14ac:dyDescent="0.75">
      <c r="B90" s="1244" t="s">
        <v>605</v>
      </c>
      <c r="C90" s="1251">
        <v>5</v>
      </c>
      <c r="D90" s="997" t="s">
        <v>704</v>
      </c>
      <c r="E90" s="1238"/>
      <c r="F90" s="1247"/>
      <c r="G90" s="1250"/>
      <c r="H90" s="1250"/>
      <c r="I90" s="1250"/>
      <c r="J90" s="1250"/>
      <c r="K90" s="1250"/>
    </row>
    <row r="91" spans="2:11" x14ac:dyDescent="0.75">
      <c r="B91" s="1244" t="s">
        <v>579</v>
      </c>
      <c r="C91" s="1251">
        <v>4</v>
      </c>
      <c r="D91" s="997" t="s">
        <v>704</v>
      </c>
      <c r="E91" s="1238"/>
      <c r="F91" s="1247"/>
      <c r="G91" s="1252"/>
      <c r="H91" s="1243"/>
      <c r="I91" s="1243"/>
      <c r="J91" s="1253"/>
      <c r="K91" s="1253"/>
    </row>
    <row r="92" spans="2:11" x14ac:dyDescent="0.75">
      <c r="B92" s="1244" t="s">
        <v>606</v>
      </c>
      <c r="C92" s="1248">
        <v>3.2</v>
      </c>
      <c r="D92" s="997" t="s">
        <v>609</v>
      </c>
      <c r="E92" s="1238"/>
      <c r="F92" s="1254"/>
      <c r="G92" s="1252"/>
      <c r="H92" s="1243"/>
      <c r="I92" s="1243"/>
      <c r="J92" s="1253"/>
      <c r="K92" s="1255"/>
    </row>
    <row r="93" spans="2:11" x14ac:dyDescent="0.75">
      <c r="B93" s="997" t="s">
        <v>694</v>
      </c>
      <c r="C93" s="1248">
        <v>2.2999999999999998</v>
      </c>
      <c r="D93" s="997" t="s">
        <v>581</v>
      </c>
      <c r="E93" s="1238"/>
      <c r="F93" s="1254"/>
      <c r="G93" s="1252"/>
      <c r="H93" s="1243"/>
      <c r="I93" s="1243"/>
      <c r="J93" s="1253"/>
      <c r="K93" s="1255"/>
    </row>
    <row r="94" spans="2:11" ht="26.75" x14ac:dyDescent="0.75">
      <c r="B94" s="1244" t="s">
        <v>607</v>
      </c>
      <c r="C94" s="1256" t="str">
        <f>CONCATENATE('User Dashboard'!C16," days until week ",'User Dashboard'!C17, " then ",'User Dashboard'!C18)</f>
        <v xml:space="preserve"> days until week  then </v>
      </c>
      <c r="D94" s="1238"/>
      <c r="E94" s="1257" t="s">
        <v>685</v>
      </c>
      <c r="F94" s="1258">
        <f>'User Dashboard'!C16</f>
        <v>0</v>
      </c>
      <c r="G94" s="1259" t="s">
        <v>686</v>
      </c>
      <c r="H94" s="1258">
        <f>'User Dashboard'!C18</f>
        <v>0</v>
      </c>
      <c r="I94" s="1259" t="s">
        <v>687</v>
      </c>
      <c r="J94" s="1258">
        <f>'User Dashboard'!C17</f>
        <v>0</v>
      </c>
      <c r="K94" s="1255"/>
    </row>
    <row r="95" spans="2:11" x14ac:dyDescent="0.75">
      <c r="B95" s="1244" t="s">
        <v>695</v>
      </c>
      <c r="C95" s="1260">
        <f>'User Dashboard'!E14</f>
        <v>0</v>
      </c>
      <c r="D95" s="1238"/>
      <c r="E95" s="1238"/>
      <c r="F95" s="1254"/>
      <c r="G95" s="1252"/>
      <c r="H95" s="1243"/>
      <c r="I95" s="1243"/>
      <c r="J95" s="1253"/>
      <c r="K95" s="1255"/>
    </row>
    <row r="96" spans="2:11" x14ac:dyDescent="0.75">
      <c r="B96" s="1244" t="s">
        <v>822</v>
      </c>
      <c r="C96" s="1261">
        <f>(ROUND((365/12)*3,0)/((LN(100)/LN(2))))</f>
        <v>13.696864802711143</v>
      </c>
      <c r="D96" s="1238"/>
      <c r="E96" s="1238"/>
      <c r="F96" s="1254"/>
      <c r="G96" s="1252"/>
      <c r="H96" s="1243"/>
      <c r="I96" s="1243"/>
      <c r="J96" s="1253"/>
      <c r="K96" s="1255"/>
    </row>
    <row r="97" spans="2:11" x14ac:dyDescent="0.75">
      <c r="B97" s="1244" t="s">
        <v>823</v>
      </c>
      <c r="C97" s="1261">
        <f>(ROUND((365/12)*3,0))/((LN(1000)/LN(2)))</f>
        <v>9.131243201807429</v>
      </c>
      <c r="D97" s="1238"/>
      <c r="E97" s="1238"/>
      <c r="F97" s="1254"/>
      <c r="G97" s="1252"/>
      <c r="H97" s="1243"/>
      <c r="I97" s="1243"/>
      <c r="J97" s="1253"/>
      <c r="K97" s="1255"/>
    </row>
    <row r="98" spans="2:11" x14ac:dyDescent="0.75">
      <c r="B98" s="1244" t="s">
        <v>829</v>
      </c>
      <c r="C98" s="1261">
        <f>(2*ROUND((365/12)*3,0))/((LN(10000)/LN(2)))</f>
        <v>13.696864802711143</v>
      </c>
      <c r="D98" s="1238"/>
      <c r="E98" s="1238"/>
      <c r="F98" s="1254"/>
      <c r="G98" s="1252"/>
      <c r="H98" s="1243"/>
      <c r="I98" s="1243"/>
      <c r="J98" s="1253"/>
      <c r="K98" s="1255"/>
    </row>
    <row r="99" spans="2:11" x14ac:dyDescent="0.75">
      <c r="B99" s="1244" t="s">
        <v>824</v>
      </c>
      <c r="C99" s="1261">
        <f>(2*ROUND((365/12)*3,0))/((LN(100000)/LN(2)))</f>
        <v>10.957491842168915</v>
      </c>
      <c r="D99" s="1238"/>
      <c r="E99" s="1238"/>
      <c r="F99" s="1254"/>
      <c r="G99" s="1252"/>
      <c r="H99" s="1243"/>
      <c r="I99" s="1243"/>
      <c r="J99" s="1253"/>
      <c r="K99" s="1255"/>
    </row>
    <row r="100" spans="2:11" s="88" customFormat="1" x14ac:dyDescent="0.75">
      <c r="B100" s="1262"/>
      <c r="C100" s="1263"/>
      <c r="D100" s="1264"/>
      <c r="E100" s="1264"/>
      <c r="F100" s="1265"/>
      <c r="G100" s="1252"/>
      <c r="H100" s="1243"/>
      <c r="I100" s="1243"/>
      <c r="J100" s="1253"/>
      <c r="K100" s="1255"/>
    </row>
    <row r="101" spans="2:11" x14ac:dyDescent="0.75">
      <c r="B101" s="1245" t="s">
        <v>582</v>
      </c>
      <c r="C101" s="1266" t="s">
        <v>583</v>
      </c>
      <c r="D101" s="1266" t="s">
        <v>181</v>
      </c>
      <c r="E101" s="1238"/>
      <c r="F101" s="1254"/>
      <c r="G101" s="1255"/>
      <c r="H101" s="1243"/>
      <c r="I101" s="1243"/>
      <c r="J101" s="1253"/>
      <c r="K101" s="1255"/>
    </row>
    <row r="102" spans="2:11" x14ac:dyDescent="0.75">
      <c r="B102" s="997" t="s">
        <v>617</v>
      </c>
      <c r="C102" s="1267">
        <v>0.05</v>
      </c>
      <c r="D102" s="1219">
        <f>$C$86*C102</f>
        <v>919200</v>
      </c>
      <c r="E102" s="997" t="s">
        <v>615</v>
      </c>
      <c r="F102" s="1254"/>
      <c r="G102" s="1268"/>
      <c r="H102" s="1243"/>
      <c r="I102" s="1243"/>
      <c r="J102" s="1253"/>
      <c r="K102" s="1255"/>
    </row>
    <row r="103" spans="2:11" x14ac:dyDescent="0.75">
      <c r="B103" s="997" t="s">
        <v>578</v>
      </c>
      <c r="C103" s="1267">
        <v>0.1</v>
      </c>
      <c r="D103" s="1219">
        <f>$C$86*C103</f>
        <v>1838400</v>
      </c>
      <c r="E103" s="997" t="s">
        <v>616</v>
      </c>
      <c r="F103" s="1254"/>
      <c r="G103" s="1255"/>
      <c r="H103" s="1243"/>
      <c r="I103" s="1243"/>
      <c r="J103" s="1253"/>
      <c r="K103" s="1255"/>
    </row>
    <row r="104" spans="2:11" x14ac:dyDescent="0.75">
      <c r="B104" s="92" t="s">
        <v>579</v>
      </c>
      <c r="C104" s="1269">
        <v>0.2</v>
      </c>
      <c r="D104" s="1219">
        <f>$C$86*C104</f>
        <v>3676800</v>
      </c>
      <c r="E104" s="997" t="s">
        <v>704</v>
      </c>
      <c r="F104" s="1254"/>
      <c r="G104" s="1255"/>
      <c r="H104" s="1243"/>
      <c r="I104" s="1243"/>
      <c r="J104" s="1253"/>
      <c r="K104" s="1255"/>
    </row>
    <row r="105" spans="2:11" x14ac:dyDescent="0.75">
      <c r="B105" s="92" t="s">
        <v>577</v>
      </c>
      <c r="C105" s="1267">
        <v>0.3</v>
      </c>
      <c r="D105" s="1219">
        <f>$C$86*C105</f>
        <v>5515200</v>
      </c>
      <c r="E105" s="997" t="s">
        <v>704</v>
      </c>
      <c r="F105" s="1254"/>
      <c r="G105" s="1268"/>
      <c r="H105" s="1243"/>
      <c r="I105" s="1243"/>
      <c r="J105" s="1253"/>
      <c r="K105" s="1255"/>
    </row>
    <row r="106" spans="2:11" x14ac:dyDescent="0.75">
      <c r="B106" s="1238"/>
      <c r="C106" s="1238"/>
      <c r="D106" s="1238"/>
      <c r="E106" s="1238"/>
      <c r="F106" s="1254"/>
      <c r="G106" s="1255"/>
      <c r="H106" s="1243"/>
      <c r="I106" s="1243"/>
      <c r="J106" s="1253"/>
      <c r="K106" s="1255"/>
    </row>
    <row r="107" spans="2:11" x14ac:dyDescent="0.75">
      <c r="B107" s="1244" t="s">
        <v>1053</v>
      </c>
      <c r="C107" s="1270">
        <f>IF(Attack_rate_modelled="Manual",'User Dashboard'!E13,INDEX($C$102:$C$105,MATCH(Attack_rate_modelled,$B$102:$B$105,0)))</f>
        <v>0.2</v>
      </c>
      <c r="D107" s="1238"/>
      <c r="E107" s="1238"/>
      <c r="F107" s="1254"/>
      <c r="G107" s="1255"/>
      <c r="H107" s="1243"/>
      <c r="I107" s="1243"/>
      <c r="J107" s="1253"/>
      <c r="K107" s="1255"/>
    </row>
    <row r="108" spans="2:11" x14ac:dyDescent="0.75">
      <c r="B108" s="1238"/>
      <c r="C108" s="1238"/>
      <c r="D108" s="1238"/>
      <c r="E108" s="1238"/>
      <c r="F108" s="1254"/>
      <c r="G108" s="1255"/>
      <c r="H108" s="1243"/>
      <c r="I108" s="1243"/>
      <c r="J108" s="1253"/>
      <c r="K108" s="1255"/>
    </row>
    <row r="109" spans="2:11" x14ac:dyDescent="0.75">
      <c r="B109" s="1245" t="s">
        <v>679</v>
      </c>
      <c r="C109" s="1271"/>
      <c r="D109" s="1238"/>
      <c r="E109" s="1238"/>
      <c r="F109" s="1254"/>
      <c r="G109" s="1272" t="s">
        <v>1078</v>
      </c>
      <c r="H109" s="1243"/>
      <c r="I109" s="1243"/>
      <c r="J109" s="1253"/>
      <c r="K109" s="1255"/>
    </row>
    <row r="110" spans="2:11" x14ac:dyDescent="0.75">
      <c r="B110" s="1244" t="s">
        <v>680</v>
      </c>
      <c r="C110" s="1273">
        <f>IF(Inputs!E22=3,H110,IF(Current_known_cases&gt;C111,C111,Current_known_cases))</f>
        <v>1</v>
      </c>
      <c r="D110" s="1244" t="s">
        <v>1054</v>
      </c>
      <c r="E110" s="1238"/>
      <c r="F110" s="1238"/>
      <c r="G110" s="1238" t="e">
        <f>#REF!</f>
        <v>#REF!</v>
      </c>
      <c r="H110" s="1258" t="e">
        <f>#REF!</f>
        <v>#REF!</v>
      </c>
      <c r="I110" s="1238"/>
      <c r="J110" s="1238"/>
      <c r="K110" s="1238"/>
    </row>
    <row r="111" spans="2:11" x14ac:dyDescent="0.75">
      <c r="B111" s="1244" t="s">
        <v>681</v>
      </c>
      <c r="C111" s="1258">
        <f>C86*AttackRate</f>
        <v>3676800</v>
      </c>
      <c r="D111" s="1238"/>
      <c r="E111" s="1238"/>
      <c r="F111" s="1238"/>
      <c r="G111" s="1238"/>
      <c r="H111" s="1238"/>
      <c r="I111" s="1238"/>
      <c r="J111" s="1238"/>
      <c r="K111" s="1238"/>
    </row>
    <row r="112" spans="2:11" x14ac:dyDescent="0.75">
      <c r="B112" s="1238"/>
      <c r="C112" s="1238"/>
      <c r="D112" s="1238"/>
      <c r="E112" s="1274"/>
      <c r="F112" s="1238"/>
      <c r="G112" s="1238"/>
      <c r="H112" s="1238"/>
      <c r="I112" s="1238"/>
      <c r="J112" s="1238"/>
      <c r="K112" s="1238"/>
    </row>
    <row r="113" spans="2:11" x14ac:dyDescent="0.75">
      <c r="B113" s="1245" t="s">
        <v>1055</v>
      </c>
      <c r="C113" s="1275"/>
      <c r="D113" s="1238"/>
      <c r="F113" s="1238"/>
      <c r="G113" s="1238"/>
      <c r="H113" s="1238"/>
      <c r="I113" s="1238"/>
      <c r="J113" s="1238"/>
      <c r="K113" s="1238"/>
    </row>
    <row r="114" spans="2:11" x14ac:dyDescent="0.75">
      <c r="B114" s="1244" t="s">
        <v>683</v>
      </c>
      <c r="C114" s="1276">
        <v>0</v>
      </c>
      <c r="D114" s="1238"/>
      <c r="F114" s="1238"/>
      <c r="G114" s="1238"/>
      <c r="H114" s="1238"/>
      <c r="I114" s="1238"/>
      <c r="J114" s="1238"/>
      <c r="K114" s="1238"/>
    </row>
    <row r="115" spans="2:11" ht="26.75" x14ac:dyDescent="0.75">
      <c r="B115" s="1277" t="s">
        <v>684</v>
      </c>
      <c r="C115" s="1276">
        <f>IF(Doubling_rate_modelled="Combined","",
(((LN(C111))/(LN(2)))*(VLOOKUP(Doubling_rate_modelled,'Back Calculations'!B89:C99,2,FALSE)/7))-((LN(C110)/LN(2))*(VLOOKUP(Doubling_rate_modelled,'Back Calculations'!B89:C99,2,FALSE)/7)))</f>
        <v>12.462868155669049</v>
      </c>
      <c r="D115" s="1238"/>
      <c r="F115" s="1238"/>
      <c r="G115" s="1238"/>
      <c r="H115" s="1238"/>
      <c r="I115" s="1238"/>
      <c r="J115" s="1238"/>
      <c r="K115" s="1238"/>
    </row>
    <row r="116" spans="2:11" x14ac:dyDescent="0.75">
      <c r="B116" s="1238"/>
      <c r="C116" s="1238"/>
      <c r="D116" s="1238"/>
      <c r="F116" s="1238"/>
      <c r="G116" s="1238"/>
      <c r="H116" s="1238"/>
      <c r="I116" s="1238"/>
      <c r="J116" s="1238"/>
      <c r="K116" s="1238"/>
    </row>
    <row r="117" spans="2:11" x14ac:dyDescent="0.75">
      <c r="B117" s="1245" t="s">
        <v>1056</v>
      </c>
      <c r="C117" s="1271"/>
      <c r="D117" s="1238"/>
      <c r="F117" s="1238"/>
      <c r="G117" s="1238"/>
      <c r="H117" s="1238"/>
      <c r="I117" s="1238"/>
      <c r="J117" s="1238"/>
      <c r="K117" s="1238"/>
    </row>
    <row r="118" spans="2:11" x14ac:dyDescent="0.75">
      <c r="B118" s="1244" t="s">
        <v>688</v>
      </c>
      <c r="C118" s="1276" t="e">
        <f>(2^(J94/(F94/7)))*C110</f>
        <v>#DIV/0!</v>
      </c>
      <c r="D118" s="1238"/>
      <c r="F118" s="1238"/>
      <c r="G118" s="1238"/>
      <c r="H118" s="1238"/>
      <c r="I118" s="1238"/>
      <c r="J118" s="1238"/>
      <c r="K118" s="1238"/>
    </row>
    <row r="119" spans="2:11" x14ac:dyDescent="0.75">
      <c r="B119" s="1244" t="s">
        <v>689</v>
      </c>
      <c r="C119" s="1278" t="e">
        <f>((((LN($C$111/$C$118)/LN(2)))*($H$94/7))+($J$94))</f>
        <v>#DIV/0!</v>
      </c>
      <c r="D119" s="1238"/>
      <c r="E119" s="1244"/>
      <c r="F119" s="1238"/>
      <c r="G119" s="1238"/>
      <c r="H119" s="1238"/>
      <c r="I119" s="1238"/>
      <c r="J119" s="1238"/>
      <c r="K119" s="1238"/>
    </row>
    <row r="120" spans="2:11" x14ac:dyDescent="0.75">
      <c r="B120" s="1244" t="s">
        <v>682</v>
      </c>
      <c r="C120" s="1279">
        <v>0</v>
      </c>
      <c r="D120" s="1238"/>
      <c r="E120" s="1244"/>
      <c r="F120" s="1238"/>
      <c r="G120" s="1238"/>
      <c r="H120" s="1238"/>
      <c r="I120" s="1238"/>
      <c r="J120" s="1238"/>
      <c r="K120" s="1238"/>
    </row>
    <row r="121" spans="2:11" x14ac:dyDescent="0.75">
      <c r="B121" s="1238"/>
      <c r="C121" s="1238"/>
      <c r="D121" s="1238"/>
      <c r="E121" s="1238"/>
      <c r="F121" s="1238"/>
      <c r="G121" s="1238"/>
      <c r="H121" s="1238"/>
      <c r="I121" s="1238"/>
      <c r="J121" s="1238"/>
      <c r="K121" s="1238"/>
    </row>
    <row r="122" spans="2:11" x14ac:dyDescent="0.75">
      <c r="B122" s="1245" t="s">
        <v>826</v>
      </c>
      <c r="C122" s="1271"/>
      <c r="D122" s="1238"/>
      <c r="E122" s="1244"/>
      <c r="F122" s="1238"/>
      <c r="G122" s="1238"/>
      <c r="H122" s="1238"/>
      <c r="I122" s="1238"/>
      <c r="J122" s="1238"/>
      <c r="K122" s="1238"/>
    </row>
    <row r="123" spans="2:11" x14ac:dyDescent="0.75">
      <c r="B123" s="409" t="s">
        <v>825</v>
      </c>
      <c r="C123" s="1192">
        <f>'User Dashboard'!H13+1</f>
        <v>1</v>
      </c>
      <c r="D123" s="1280"/>
      <c r="E123" s="1238"/>
      <c r="F123" s="1238"/>
      <c r="G123" s="1238"/>
      <c r="H123" s="1238"/>
      <c r="I123" s="1238"/>
      <c r="J123" s="1238"/>
      <c r="K123" s="1238"/>
    </row>
    <row r="124" spans="2:11" ht="29.5" x14ac:dyDescent="0.75">
      <c r="B124" s="409" t="s">
        <v>827</v>
      </c>
      <c r="C124" s="1192">
        <f>ROUNDUP('User Dashboard'!I12,0)+'User Dashboard'!H13</f>
        <v>12</v>
      </c>
      <c r="D124" s="1281"/>
      <c r="E124" s="1244"/>
      <c r="F124" s="1238"/>
      <c r="G124" s="1282"/>
      <c r="H124" s="1238"/>
      <c r="I124" s="1238"/>
      <c r="J124" s="1238"/>
      <c r="K124" s="1238"/>
    </row>
    <row r="125" spans="2:11" x14ac:dyDescent="0.75">
      <c r="B125" s="409"/>
      <c r="C125" s="1238"/>
      <c r="D125" s="1238"/>
      <c r="E125" s="1238"/>
      <c r="F125" s="1238"/>
      <c r="G125" s="1282"/>
      <c r="H125" s="1238"/>
      <c r="I125" s="1238"/>
      <c r="J125" s="1238"/>
      <c r="K125" s="1238"/>
    </row>
    <row r="128" spans="2:11" s="1284" customFormat="1" x14ac:dyDescent="0.75">
      <c r="B128" s="1283" t="s">
        <v>1057</v>
      </c>
    </row>
    <row r="130" spans="2:11" s="1286" customFormat="1" x14ac:dyDescent="0.75">
      <c r="B130" s="1285"/>
      <c r="C130" s="1285" t="s">
        <v>952</v>
      </c>
      <c r="F130" s="1285" t="s">
        <v>953</v>
      </c>
    </row>
    <row r="132" spans="2:11" x14ac:dyDescent="0.75">
      <c r="C132" s="1287"/>
      <c r="D132" s="1287" t="s">
        <v>994</v>
      </c>
      <c r="E132" s="1287"/>
      <c r="F132" s="997" t="s">
        <v>957</v>
      </c>
      <c r="G132" s="1287"/>
      <c r="H132" s="1287"/>
      <c r="I132" s="1288">
        <v>1</v>
      </c>
    </row>
    <row r="133" spans="2:11" x14ac:dyDescent="0.75">
      <c r="C133" s="997" t="s">
        <v>1065</v>
      </c>
      <c r="D133" s="1289">
        <v>8</v>
      </c>
      <c r="F133" s="997" t="s">
        <v>956</v>
      </c>
      <c r="I133" s="1288">
        <v>0.75</v>
      </c>
    </row>
    <row r="134" spans="2:11" x14ac:dyDescent="0.75">
      <c r="C134" s="997" t="s">
        <v>963</v>
      </c>
      <c r="D134" s="1289">
        <v>16</v>
      </c>
      <c r="F134" s="997" t="s">
        <v>955</v>
      </c>
      <c r="I134" s="1288">
        <v>0.5</v>
      </c>
    </row>
    <row r="135" spans="2:11" x14ac:dyDescent="0.75">
      <c r="C135" s="997" t="s">
        <v>964</v>
      </c>
      <c r="D135" s="1289">
        <v>24</v>
      </c>
      <c r="F135" s="997" t="s">
        <v>958</v>
      </c>
      <c r="I135" s="1288">
        <v>0.25</v>
      </c>
    </row>
    <row r="138" spans="2:11" ht="15.5" thickBot="1" x14ac:dyDescent="0.9">
      <c r="B138" s="1290" t="s">
        <v>932</v>
      </c>
      <c r="C138" s="1291"/>
      <c r="E138" s="147"/>
      <c r="F138" s="1292"/>
      <c r="G138" s="1293"/>
    </row>
    <row r="139" spans="2:11" ht="15.5" thickTop="1" x14ac:dyDescent="0.75">
      <c r="G139" s="1294"/>
      <c r="H139" s="1552" t="s">
        <v>1058</v>
      </c>
      <c r="I139" s="1552"/>
      <c r="J139" s="1552"/>
    </row>
    <row r="140" spans="2:11" x14ac:dyDescent="0.75">
      <c r="B140" s="93" t="s">
        <v>923</v>
      </c>
      <c r="C140" s="93" t="s">
        <v>931</v>
      </c>
      <c r="G140" s="96"/>
      <c r="H140" s="1295">
        <v>8</v>
      </c>
      <c r="I140" s="1295">
        <v>16</v>
      </c>
      <c r="J140" s="1296">
        <v>24</v>
      </c>
    </row>
    <row r="141" spans="2:11" x14ac:dyDescent="0.75">
      <c r="B141" s="332" t="s">
        <v>922</v>
      </c>
      <c r="C141" s="1297">
        <f>Inputs!I125</f>
        <v>15</v>
      </c>
      <c r="E141" s="1298"/>
      <c r="G141" s="332" t="s">
        <v>922</v>
      </c>
      <c r="H141" s="1299">
        <v>384</v>
      </c>
      <c r="I141" s="1299">
        <v>768</v>
      </c>
      <c r="J141" s="1299">
        <v>1344</v>
      </c>
    </row>
    <row r="142" spans="2:11" x14ac:dyDescent="0.75">
      <c r="B142" s="332" t="s">
        <v>921</v>
      </c>
      <c r="C142" s="1297">
        <f>Inputs!I126</f>
        <v>11</v>
      </c>
      <c r="E142" s="1298"/>
      <c r="G142" s="332" t="s">
        <v>921</v>
      </c>
      <c r="H142" s="1299">
        <v>960</v>
      </c>
      <c r="I142" s="1299">
        <v>1920</v>
      </c>
      <c r="J142" s="1299">
        <v>3072</v>
      </c>
    </row>
    <row r="143" spans="2:11" x14ac:dyDescent="0.75">
      <c r="B143" s="332" t="s">
        <v>920</v>
      </c>
      <c r="C143" s="1297">
        <f>Inputs!I127</f>
        <v>65</v>
      </c>
      <c r="E143" s="1298"/>
      <c r="G143" s="332" t="s">
        <v>920</v>
      </c>
      <c r="H143" s="1299">
        <v>94</v>
      </c>
      <c r="I143" s="1299">
        <v>282</v>
      </c>
      <c r="J143" s="1299">
        <v>470</v>
      </c>
    </row>
    <row r="144" spans="2:11" x14ac:dyDescent="0.75">
      <c r="B144" s="332" t="s">
        <v>919</v>
      </c>
      <c r="C144" s="1297">
        <f>Inputs!I128</f>
        <v>9</v>
      </c>
      <c r="E144" s="1298"/>
      <c r="G144" s="332" t="s">
        <v>919</v>
      </c>
      <c r="H144" s="1299">
        <v>275</v>
      </c>
      <c r="I144" s="1299">
        <v>550</v>
      </c>
      <c r="J144" s="1299">
        <v>825</v>
      </c>
      <c r="K144" s="1300"/>
    </row>
    <row r="145" spans="2:12" x14ac:dyDescent="0.75">
      <c r="B145" s="332" t="s">
        <v>918</v>
      </c>
      <c r="C145" s="1297">
        <f>Inputs!I129</f>
        <v>0</v>
      </c>
      <c r="E145" s="1298"/>
      <c r="G145" s="332" t="s">
        <v>918</v>
      </c>
      <c r="H145" s="1299">
        <v>383.33333333333331</v>
      </c>
      <c r="I145" s="1299">
        <v>766.66666666666663</v>
      </c>
      <c r="J145" s="1299">
        <v>1150</v>
      </c>
      <c r="K145" s="1300"/>
    </row>
    <row r="146" spans="2:12" x14ac:dyDescent="0.75">
      <c r="B146" s="332" t="s">
        <v>1660</v>
      </c>
      <c r="C146" s="1297">
        <f>Inputs!I134</f>
        <v>300.57512932651366</v>
      </c>
      <c r="E146" s="1298"/>
      <c r="G146" s="332" t="s">
        <v>917</v>
      </c>
      <c r="H146" s="1299">
        <v>10</v>
      </c>
      <c r="I146" s="1299">
        <v>21</v>
      </c>
      <c r="J146" s="1299">
        <v>42</v>
      </c>
    </row>
    <row r="147" spans="2:12" x14ac:dyDescent="0.75">
      <c r="B147" s="1301" t="s">
        <v>916</v>
      </c>
      <c r="C147" s="1297">
        <f>Inputs!I139</f>
        <v>3</v>
      </c>
      <c r="E147" s="1298"/>
      <c r="G147" s="1301" t="s">
        <v>916</v>
      </c>
      <c r="H147" s="1299">
        <v>188</v>
      </c>
      <c r="I147" s="1299">
        <v>376</v>
      </c>
      <c r="J147" s="1299">
        <v>564</v>
      </c>
      <c r="K147" s="1302"/>
    </row>
    <row r="148" spans="2:12" x14ac:dyDescent="0.75">
      <c r="J148" s="895"/>
    </row>
    <row r="149" spans="2:12" x14ac:dyDescent="0.75">
      <c r="B149" s="1303" t="s">
        <v>927</v>
      </c>
      <c r="D149" s="93" t="s">
        <v>994</v>
      </c>
      <c r="E149" s="93" t="s">
        <v>965</v>
      </c>
      <c r="G149" s="1304"/>
      <c r="H149" s="1305"/>
      <c r="I149" s="1306"/>
      <c r="J149" s="1307"/>
      <c r="K149" s="1307"/>
      <c r="L149" s="1305"/>
    </row>
    <row r="150" spans="2:12" x14ac:dyDescent="0.75">
      <c r="B150" s="1308" t="s">
        <v>949</v>
      </c>
      <c r="C150" s="1297" t="str">
        <f>Inputs!I130</f>
        <v>1 (8 hours)</v>
      </c>
      <c r="D150" s="1297">
        <f>VLOOKUP(C150,$C$133:$D$135,2,0)</f>
        <v>8</v>
      </c>
      <c r="E150" s="1297">
        <f>IF(D150=8,1,IF(D150=16,2,3))</f>
        <v>1</v>
      </c>
      <c r="G150" s="1309"/>
      <c r="H150" s="1310"/>
      <c r="I150" s="1311"/>
      <c r="J150" s="1311"/>
      <c r="K150" s="1311"/>
      <c r="L150" s="1312"/>
    </row>
    <row r="151" spans="2:12" x14ac:dyDescent="0.75">
      <c r="B151" s="1308" t="s">
        <v>926</v>
      </c>
      <c r="C151" s="1297">
        <f>Inputs!I131</f>
        <v>5</v>
      </c>
      <c r="D151" s="1297">
        <f>IF(ISBLANK(Inputs!$I131), Inputs!$E131, Inputs!$I131)</f>
        <v>5</v>
      </c>
      <c r="E151" s="1313"/>
      <c r="G151" s="1314"/>
      <c r="H151" s="1315"/>
      <c r="I151" s="1316"/>
      <c r="J151" s="1317"/>
      <c r="K151" s="1316"/>
      <c r="L151" s="1312"/>
    </row>
    <row r="152" spans="2:12" x14ac:dyDescent="0.75">
      <c r="B152" s="1308" t="s">
        <v>950</v>
      </c>
      <c r="C152" s="1297" t="str">
        <f>Inputs!I135</f>
        <v>1 (8 hours)</v>
      </c>
      <c r="D152" s="1297">
        <f>VLOOKUP(C152,$C$133:$D$135,2,0)</f>
        <v>8</v>
      </c>
      <c r="E152" s="1297">
        <f>IF(D152=8,1,IF(D152=16,2,3))</f>
        <v>1</v>
      </c>
      <c r="G152" s="1314"/>
      <c r="H152" s="1315"/>
      <c r="I152" s="1316"/>
      <c r="J152" s="1317"/>
      <c r="K152" s="1316"/>
      <c r="L152" s="1312"/>
    </row>
    <row r="153" spans="2:12" x14ac:dyDescent="0.75">
      <c r="B153" s="1308" t="s">
        <v>925</v>
      </c>
      <c r="C153" s="1297">
        <f>Inputs!I136</f>
        <v>5</v>
      </c>
      <c r="D153" s="1297">
        <f>IF(ISBLANK(Inputs!$I136), Inputs!$E136, Inputs!$I136)</f>
        <v>5</v>
      </c>
      <c r="E153" s="1313"/>
      <c r="G153" s="1314"/>
      <c r="H153" s="1315"/>
      <c r="I153" s="1316"/>
      <c r="J153" s="1317"/>
      <c r="K153" s="1316"/>
      <c r="L153" s="1312"/>
    </row>
    <row r="154" spans="2:12" x14ac:dyDescent="0.75">
      <c r="B154" s="1308" t="s">
        <v>951</v>
      </c>
      <c r="C154" s="1297" t="str">
        <f>Inputs!I140</f>
        <v>1 (8 hours)</v>
      </c>
      <c r="D154" s="1297">
        <f>VLOOKUP(C154,$C$133:$D$135,2,0)</f>
        <v>8</v>
      </c>
      <c r="E154" s="1297">
        <f>IF(D154=8,1,IF(D154=16,2,3))</f>
        <v>1</v>
      </c>
      <c r="G154" s="1314"/>
      <c r="H154" s="1315"/>
      <c r="I154" s="1316"/>
      <c r="J154" s="1317"/>
      <c r="K154" s="1316"/>
      <c r="L154" s="1300"/>
    </row>
    <row r="155" spans="2:12" x14ac:dyDescent="0.75">
      <c r="B155" s="1308" t="s">
        <v>924</v>
      </c>
      <c r="C155" s="1297">
        <f>Inputs!I141</f>
        <v>5</v>
      </c>
      <c r="D155" s="1297">
        <f>IF(ISBLANK(Inputs!$I141), Inputs!$E141, Inputs!$I141)</f>
        <v>5</v>
      </c>
      <c r="E155" s="1313"/>
      <c r="G155" s="1314"/>
      <c r="H155" s="1315"/>
      <c r="I155" s="1318"/>
      <c r="J155" s="1319"/>
      <c r="K155" s="1316"/>
      <c r="L155" s="1300"/>
    </row>
    <row r="156" spans="2:12" x14ac:dyDescent="0.75">
      <c r="C156" s="88"/>
      <c r="G156" s="1314"/>
      <c r="H156" s="1315"/>
      <c r="I156" s="1318"/>
      <c r="J156" s="1319"/>
      <c r="K156" s="1316"/>
      <c r="L156" s="1320"/>
    </row>
    <row r="157" spans="2:12" x14ac:dyDescent="0.75">
      <c r="B157" s="93" t="s">
        <v>954</v>
      </c>
      <c r="G157" s="1321"/>
      <c r="H157" s="1322"/>
      <c r="I157" s="1316"/>
      <c r="J157" s="1317"/>
      <c r="K157" s="1316"/>
      <c r="L157" s="1320"/>
    </row>
    <row r="158" spans="2:12" ht="29.5" x14ac:dyDescent="0.75">
      <c r="B158" s="1323" t="s">
        <v>930</v>
      </c>
      <c r="C158" s="1224" t="str">
        <f>IF(ISBLANK(Inputs!I132), Inputs!E132, Inputs!I132)</f>
        <v>Split evenly - 50%</v>
      </c>
      <c r="D158" s="1224">
        <f>VLOOKUP(C158,$F$132:$I$135,4,0)</f>
        <v>0.5</v>
      </c>
      <c r="G158" s="1321"/>
      <c r="H158" s="1321"/>
      <c r="I158" s="1316"/>
      <c r="J158" s="1317"/>
      <c r="K158" s="1316"/>
      <c r="L158" s="1300"/>
    </row>
    <row r="159" spans="2:12" ht="29.5" x14ac:dyDescent="0.75">
      <c r="B159" s="1323" t="s">
        <v>929</v>
      </c>
      <c r="C159" s="1224" t="str">
        <f>IF(ISBLANK(Inputs!I137), Inputs!E137, Inputs!I137)</f>
        <v>Split evenly - 50%</v>
      </c>
      <c r="D159" s="1224">
        <f>VLOOKUP(C159,$F$132:$I$135,4,0)</f>
        <v>0.5</v>
      </c>
      <c r="G159" s="1321"/>
      <c r="H159" s="1321"/>
      <c r="I159" s="1316"/>
      <c r="J159" s="1317"/>
      <c r="K159" s="1316"/>
      <c r="L159" s="1300"/>
    </row>
    <row r="160" spans="2:12" ht="29.5" x14ac:dyDescent="0.75">
      <c r="B160" s="1324" t="s">
        <v>928</v>
      </c>
      <c r="C160" s="1224" t="str">
        <f>IF(ISBLANK(Inputs!I142), Inputs!E142, Inputs!I142)</f>
        <v>Fully dedicated - 100%</v>
      </c>
      <c r="D160" s="1224">
        <f>VLOOKUP(C160,$F$132:$I$135,4,0)</f>
        <v>1</v>
      </c>
      <c r="G160" s="1314"/>
      <c r="H160" s="1314"/>
      <c r="I160" s="1317"/>
      <c r="J160" s="1317"/>
      <c r="K160" s="1316"/>
      <c r="L160" s="1312"/>
    </row>
    <row r="161" spans="2:12" x14ac:dyDescent="0.75">
      <c r="G161" s="1314"/>
      <c r="H161" s="1314"/>
      <c r="I161" s="1317"/>
      <c r="J161" s="1317"/>
      <c r="K161" s="1317"/>
      <c r="L161" s="1312"/>
    </row>
    <row r="162" spans="2:12" x14ac:dyDescent="0.75">
      <c r="G162" s="1314"/>
      <c r="H162" s="1314"/>
      <c r="I162" s="1316"/>
      <c r="J162" s="1317"/>
      <c r="K162" s="1316"/>
      <c r="L162" s="1312"/>
    </row>
    <row r="163" spans="2:12" ht="29.5" x14ac:dyDescent="0.75">
      <c r="C163" s="1325" t="s">
        <v>962</v>
      </c>
      <c r="D163" s="1326" t="s">
        <v>966</v>
      </c>
      <c r="G163" s="1314"/>
      <c r="H163" s="1314"/>
      <c r="I163" s="1316"/>
      <c r="J163" s="1317"/>
      <c r="K163" s="1317"/>
      <c r="L163" s="1312"/>
    </row>
    <row r="164" spans="2:12" x14ac:dyDescent="0.75">
      <c r="B164" s="997" t="s">
        <v>960</v>
      </c>
      <c r="C164" s="1327">
        <f>(C141+C142+C143+C144+C145)*E150*D151</f>
        <v>500</v>
      </c>
      <c r="D164" s="1327">
        <f>C164</f>
        <v>500</v>
      </c>
      <c r="G164" s="1314"/>
      <c r="H164" s="1314"/>
      <c r="I164" s="1317"/>
      <c r="J164" s="1317"/>
      <c r="K164" s="1317"/>
      <c r="L164" s="1312"/>
    </row>
    <row r="165" spans="2:12" x14ac:dyDescent="0.75">
      <c r="B165" s="997" t="s">
        <v>961</v>
      </c>
      <c r="C165" s="1327">
        <f>(C146/4)*E152*D153</f>
        <v>375.71891165814208</v>
      </c>
      <c r="D165" s="1327">
        <f>C165</f>
        <v>375.71891165814208</v>
      </c>
      <c r="G165" s="1321"/>
      <c r="H165" s="1314"/>
      <c r="I165" s="1316"/>
      <c r="J165" s="1317"/>
      <c r="K165" s="1316"/>
      <c r="L165" s="1312"/>
    </row>
    <row r="166" spans="2:12" x14ac:dyDescent="0.75">
      <c r="B166" s="1328" t="s">
        <v>695</v>
      </c>
      <c r="C166" s="1327">
        <f>C147*E154*D155</f>
        <v>15</v>
      </c>
      <c r="D166" s="1327">
        <f>C166</f>
        <v>15</v>
      </c>
      <c r="G166" s="1321"/>
      <c r="H166" s="1329"/>
      <c r="I166" s="1316"/>
      <c r="J166" s="1317"/>
      <c r="K166" s="1316"/>
      <c r="L166" s="1312"/>
    </row>
    <row r="167" spans="2:12" x14ac:dyDescent="0.75">
      <c r="G167" s="1321"/>
      <c r="H167" s="1314"/>
      <c r="I167" s="1316"/>
      <c r="J167" s="1317"/>
      <c r="K167" s="1316"/>
      <c r="L167" s="1312"/>
    </row>
  </sheetData>
  <sheetProtection algorithmName="SHA-512" hashValue="Ezbnr9NJd7uTxmIeJh91+wAryI5RIEHmawLXljSwwv1gVg9AnGRAra61qdoEVr6RTpjKw8Vt4Xi7QNHb7yGcBA==" saltValue="D/jWrLxegS+1ZrfMgcQ4Vw==" spinCount="100000" sheet="1" objects="1" scenarios="1"/>
  <mergeCells count="1">
    <mergeCell ref="H139:J139"/>
  </mergeCells>
  <conditionalFormatting sqref="D150:D155 C141:C147">
    <cfRule type="expression" dxfId="8" priority="10">
      <formula>IF($F$58,TRUE,FALSE)</formula>
    </cfRule>
  </conditionalFormatting>
  <conditionalFormatting sqref="C150:C155">
    <cfRule type="expression" dxfId="7" priority="9">
      <formula>IF($F$58,TRUE,FALSE)</formula>
    </cfRule>
  </conditionalFormatting>
  <conditionalFormatting sqref="C36">
    <cfRule type="expression" dxfId="6" priority="8">
      <formula>IF($G$51,TRUE,FALSE)</formula>
    </cfRule>
  </conditionalFormatting>
  <conditionalFormatting sqref="C40">
    <cfRule type="expression" dxfId="5" priority="7">
      <formula>IF($G$51,TRUE,FALSE)</formula>
    </cfRule>
  </conditionalFormatting>
  <conditionalFormatting sqref="C41">
    <cfRule type="expression" dxfId="4" priority="6">
      <formula>IF($G$51,TRUE,FALSE)</formula>
    </cfRule>
  </conditionalFormatting>
  <conditionalFormatting sqref="C44">
    <cfRule type="expression" dxfId="3" priority="5">
      <formula>IF($G$51,TRUE,FALSE)</formula>
    </cfRule>
  </conditionalFormatting>
  <conditionalFormatting sqref="E150">
    <cfRule type="expression" dxfId="2" priority="4">
      <formula>IF($F$58,TRUE,FALSE)</formula>
    </cfRule>
  </conditionalFormatting>
  <conditionalFormatting sqref="E152">
    <cfRule type="expression" dxfId="1" priority="3">
      <formula>IF($F$58,TRUE,FALSE)</formula>
    </cfRule>
  </conditionalFormatting>
  <conditionalFormatting sqref="E154">
    <cfRule type="expression" dxfId="0" priority="2">
      <formula>IF($F$58,TRUE,FALSE)</formula>
    </cfRule>
  </conditionalFormatting>
  <dataValidations count="2">
    <dataValidation type="whole" allowBlank="1" showInputMessage="1" showErrorMessage="1" sqref="C123" xr:uid="{00000000-0002-0000-1300-000000000000}">
      <formula1>0</formula1>
      <formula2>12</formula2>
    </dataValidation>
    <dataValidation type="whole" operator="greaterThanOrEqual" allowBlank="1" showInputMessage="1" showErrorMessage="1" errorTitle="Please enter a positive integer" error="Please enter a positive integer" sqref="I147" xr:uid="{00000000-0002-0000-1300-000001000000}">
      <formula1>0</formula1>
    </dataValidation>
  </dataValidations>
  <hyperlinks>
    <hyperlink ref="D2" location="'Back Calculations'!B7" display="Staff &amp; Infrastructure assumptions" xr:uid="{00000000-0004-0000-1300-000000000000}"/>
    <hyperlink ref="D3" location="'Back Calculations'!B46" display="Diagnostics" xr:uid="{00000000-0004-0000-1300-000001000000}"/>
    <hyperlink ref="D4" location="'Back Calculations'!B71" display="Oxygen" xr:uid="{00000000-0004-0000-1300-000002000000}"/>
    <hyperlink ref="D5" location="'Back Calculations'!B82" display="Patients" xr:uid="{00000000-0004-0000-1300-000003000000}"/>
    <hyperlink ref="D6" location="'Back Calculations'!B129" display="Diagnostics footprint" xr:uid="{00000000-0004-0000-1300-000004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theme="2" tint="-0.499984740745262"/>
  </sheetPr>
  <dimension ref="A1:BB152"/>
  <sheetViews>
    <sheetView workbookViewId="0">
      <selection activeCell="A5" sqref="A5"/>
    </sheetView>
  </sheetViews>
  <sheetFormatPr defaultColWidth="8.40625" defaultRowHeight="14.75" x14ac:dyDescent="0.75"/>
  <cols>
    <col min="1" max="2" width="31.40625" style="132" customWidth="1"/>
    <col min="3" max="18" width="8.40625" style="132"/>
    <col min="19" max="19" width="12.40625" style="132" customWidth="1"/>
    <col min="20" max="53" width="8.40625" style="132"/>
    <col min="54" max="54" width="11" style="132" customWidth="1"/>
    <col min="55" max="16384" width="8.40625" style="132"/>
  </cols>
  <sheetData>
    <row r="1" spans="1:54" ht="34.5" customHeight="1" x14ac:dyDescent="0.75">
      <c r="A1" s="1540" t="s">
        <v>1099</v>
      </c>
      <c r="B1" s="1540"/>
      <c r="C1" s="1540"/>
      <c r="D1" s="1540"/>
      <c r="E1" s="1540"/>
      <c r="F1" s="1540"/>
      <c r="G1" s="1540"/>
      <c r="H1" s="1540"/>
      <c r="I1" s="1540"/>
      <c r="J1" s="1540"/>
      <c r="K1" s="1540"/>
      <c r="L1" s="1540"/>
      <c r="M1" s="1540"/>
      <c r="N1" s="1540"/>
      <c r="O1" s="1540"/>
      <c r="P1" s="1540"/>
      <c r="Q1" s="1540"/>
      <c r="R1" s="1540"/>
    </row>
    <row r="2" spans="1:54" ht="18.649999999999999" customHeight="1" x14ac:dyDescent="0.75">
      <c r="C2" s="1553" t="s">
        <v>1079</v>
      </c>
      <c r="D2" s="1553"/>
      <c r="E2" s="1553"/>
      <c r="F2" s="1553"/>
      <c r="G2" s="1553"/>
      <c r="H2" s="1553"/>
      <c r="I2" s="1553"/>
      <c r="J2" s="1553"/>
      <c r="K2" s="1553"/>
      <c r="L2" s="1553"/>
      <c r="M2" s="1553"/>
      <c r="N2" s="1553"/>
      <c r="O2" s="1553"/>
      <c r="P2" s="1553"/>
      <c r="Q2" s="1553"/>
      <c r="R2" s="1553"/>
      <c r="T2" s="1553" t="s">
        <v>1080</v>
      </c>
      <c r="U2" s="1553"/>
      <c r="V2" s="1553"/>
      <c r="W2" s="1553"/>
      <c r="X2" s="1553"/>
      <c r="Y2" s="1553"/>
      <c r="Z2" s="1553"/>
      <c r="AA2" s="1553"/>
      <c r="AB2" s="1553"/>
      <c r="AC2" s="1553"/>
      <c r="AD2" s="1553"/>
      <c r="AE2" s="1553"/>
      <c r="AF2" s="1553"/>
      <c r="AG2" s="1553"/>
      <c r="AH2" s="1553"/>
      <c r="AI2" s="1553"/>
      <c r="AK2" s="1553" t="s">
        <v>1081</v>
      </c>
      <c r="AL2" s="1553"/>
      <c r="AM2" s="1553"/>
      <c r="AN2" s="1553"/>
      <c r="AO2" s="1553"/>
      <c r="AP2" s="1553"/>
      <c r="AQ2" s="1553"/>
      <c r="AR2" s="1553"/>
      <c r="AS2" s="1553"/>
      <c r="AT2" s="1553"/>
      <c r="AU2" s="1553"/>
      <c r="AV2" s="1553"/>
      <c r="AW2" s="1553"/>
      <c r="AX2" s="1553"/>
      <c r="AY2" s="1553"/>
      <c r="AZ2" s="1553"/>
      <c r="BB2" s="1" t="s">
        <v>1082</v>
      </c>
    </row>
    <row r="3" spans="1:54" x14ac:dyDescent="0.75">
      <c r="A3" s="132" t="s">
        <v>260</v>
      </c>
      <c r="B3" s="132" t="s">
        <v>1315</v>
      </c>
      <c r="C3" s="420" t="s">
        <v>1083</v>
      </c>
      <c r="D3" s="420" t="s">
        <v>1084</v>
      </c>
      <c r="E3" s="420" t="s">
        <v>1085</v>
      </c>
      <c r="F3" s="420" t="s">
        <v>1086</v>
      </c>
      <c r="G3" s="420" t="s">
        <v>1087</v>
      </c>
      <c r="H3" s="420" t="s">
        <v>1088</v>
      </c>
      <c r="I3" s="420" t="s">
        <v>1089</v>
      </c>
      <c r="J3" s="420" t="s">
        <v>1090</v>
      </c>
      <c r="K3" s="420" t="s">
        <v>1091</v>
      </c>
      <c r="L3" s="420" t="s">
        <v>1092</v>
      </c>
      <c r="M3" s="420" t="s">
        <v>1093</v>
      </c>
      <c r="N3" s="420" t="s">
        <v>1094</v>
      </c>
      <c r="O3" s="420" t="s">
        <v>1095</v>
      </c>
      <c r="P3" s="420" t="s">
        <v>1096</v>
      </c>
      <c r="Q3" s="420" t="s">
        <v>1097</v>
      </c>
      <c r="R3" s="420" t="s">
        <v>1098</v>
      </c>
      <c r="T3" s="420" t="s">
        <v>1083</v>
      </c>
      <c r="U3" s="420" t="s">
        <v>1084</v>
      </c>
      <c r="V3" s="420" t="s">
        <v>1085</v>
      </c>
      <c r="W3" s="420" t="s">
        <v>1086</v>
      </c>
      <c r="X3" s="420" t="s">
        <v>1087</v>
      </c>
      <c r="Y3" s="420" t="s">
        <v>1088</v>
      </c>
      <c r="Z3" s="420" t="s">
        <v>1089</v>
      </c>
      <c r="AA3" s="420" t="s">
        <v>1090</v>
      </c>
      <c r="AB3" s="420" t="s">
        <v>1091</v>
      </c>
      <c r="AC3" s="420" t="s">
        <v>1092</v>
      </c>
      <c r="AD3" s="420" t="s">
        <v>1093</v>
      </c>
      <c r="AE3" s="420" t="s">
        <v>1094</v>
      </c>
      <c r="AF3" s="420" t="s">
        <v>1095</v>
      </c>
      <c r="AG3" s="420" t="s">
        <v>1096</v>
      </c>
      <c r="AH3" s="420" t="s">
        <v>1097</v>
      </c>
      <c r="AI3" s="420" t="s">
        <v>1098</v>
      </c>
      <c r="AK3" s="420" t="s">
        <v>1083</v>
      </c>
      <c r="AL3" s="420" t="s">
        <v>1084</v>
      </c>
      <c r="AM3" s="420" t="s">
        <v>1085</v>
      </c>
      <c r="AN3" s="420" t="s">
        <v>1086</v>
      </c>
      <c r="AO3" s="420" t="s">
        <v>1087</v>
      </c>
      <c r="AP3" s="420" t="s">
        <v>1088</v>
      </c>
      <c r="AQ3" s="420" t="s">
        <v>1089</v>
      </c>
      <c r="AR3" s="420" t="s">
        <v>1090</v>
      </c>
      <c r="AS3" s="420" t="s">
        <v>1091</v>
      </c>
      <c r="AT3" s="420" t="s">
        <v>1092</v>
      </c>
      <c r="AU3" s="420" t="s">
        <v>1093</v>
      </c>
      <c r="AV3" s="420" t="s">
        <v>1094</v>
      </c>
      <c r="AW3" s="420" t="s">
        <v>1095</v>
      </c>
      <c r="AX3" s="420" t="s">
        <v>1096</v>
      </c>
      <c r="AY3" s="420" t="s">
        <v>1097</v>
      </c>
      <c r="AZ3" s="420" t="s">
        <v>1098</v>
      </c>
    </row>
    <row r="4" spans="1:54" x14ac:dyDescent="0.75">
      <c r="A4" s="132" t="s">
        <v>424</v>
      </c>
      <c r="B4" s="132" t="str">
        <f>VLOOKUP(A4,'HCW + Staff Summary'!B:E,4,FALSE)</f>
        <v>High income</v>
      </c>
      <c r="C4" s="770">
        <v>12.099957234167301</v>
      </c>
      <c r="D4" s="770">
        <v>14.9194673738977</v>
      </c>
      <c r="E4" s="770">
        <v>21.1006384516038</v>
      </c>
      <c r="F4" s="770">
        <v>21.6929083463152</v>
      </c>
      <c r="G4" s="770">
        <v>16.174202898371099</v>
      </c>
      <c r="H4" s="770">
        <v>18.864270446353999</v>
      </c>
      <c r="I4" s="770">
        <v>20.671231971035802</v>
      </c>
      <c r="J4" s="770">
        <v>21.777875897131199</v>
      </c>
      <c r="K4" s="770">
        <v>23.402800403568499</v>
      </c>
      <c r="L4" s="770">
        <v>18.008052633081299</v>
      </c>
      <c r="M4" s="770">
        <v>14.4669847686782</v>
      </c>
      <c r="N4" s="770">
        <v>10.6245023453782</v>
      </c>
      <c r="O4" s="770">
        <v>8.1066432542081905</v>
      </c>
      <c r="P4" s="770">
        <v>8.5159816528958903</v>
      </c>
      <c r="Q4" s="770">
        <v>5.1030819020015699</v>
      </c>
      <c r="R4" s="770">
        <v>2.3733363140325601</v>
      </c>
      <c r="S4" s="770"/>
      <c r="T4" s="770">
        <v>3.8439834024896265E-2</v>
      </c>
      <c r="U4" s="770">
        <v>4.4165975103734441E-2</v>
      </c>
      <c r="V4" s="770">
        <v>4.7253112033195023E-2</v>
      </c>
      <c r="W4" s="770">
        <v>4.7568464730290458E-2</v>
      </c>
      <c r="X4" s="770">
        <v>4.8663900414937761E-2</v>
      </c>
      <c r="Y4" s="770">
        <v>5.2282157676348549E-2</v>
      </c>
      <c r="Z4" s="770">
        <v>5.5668049792531121E-2</v>
      </c>
      <c r="AA4" s="770">
        <v>6.0082987551867223E-2</v>
      </c>
      <c r="AB4" s="770">
        <v>6.9278008298755189E-2</v>
      </c>
      <c r="AC4" s="770">
        <v>7.9933609958506222E-2</v>
      </c>
      <c r="AD4" s="770">
        <v>8.117842323651453E-2</v>
      </c>
      <c r="AE4" s="770">
        <v>7.7062240663900411E-2</v>
      </c>
      <c r="AF4" s="770">
        <v>6.5377593360995856E-2</v>
      </c>
      <c r="AG4" s="770">
        <v>5.8406639004149379E-2</v>
      </c>
      <c r="AH4" s="770">
        <v>5.6099585062240664E-2</v>
      </c>
      <c r="AI4" s="770">
        <v>4.3618257261410789E-2</v>
      </c>
      <c r="AJ4" s="770"/>
      <c r="AK4" s="770">
        <f t="shared" ref="AK4:AK35" si="0">C4/T4/16</f>
        <v>19.673532581999673</v>
      </c>
      <c r="AL4" s="770">
        <f t="shared" ref="AL4:AL35" si="1">D4/U4/16</f>
        <v>21.112784415570658</v>
      </c>
      <c r="AM4" s="770">
        <f t="shared" ref="AM4:AM35" si="2">E4/V4/16</f>
        <v>27.909059244580455</v>
      </c>
      <c r="AN4" s="770">
        <f t="shared" ref="AN4:AN35" si="3">F4/W4/16</f>
        <v>28.502218419955746</v>
      </c>
      <c r="AO4" s="770">
        <f t="shared" ref="AO4:AO35" si="4">G4/X4/16</f>
        <v>20.772845426050022</v>
      </c>
      <c r="AP4" s="770">
        <f t="shared" ref="AP4:AP35" si="5">H4/Y4/16</f>
        <v>22.551037587159293</v>
      </c>
      <c r="AQ4" s="770">
        <f t="shared" ref="AQ4:AQ35" si="6">I4/Z4/16</f>
        <v>23.208141887576531</v>
      </c>
      <c r="AR4" s="770">
        <f t="shared" ref="AR4:AR35" si="7">J4/AA4/16</f>
        <v>22.653954122965377</v>
      </c>
      <c r="AS4" s="770">
        <f t="shared" ref="AS4:AS35" si="8">K4/AB4/16</f>
        <v>21.113121770409109</v>
      </c>
      <c r="AT4" s="770">
        <f t="shared" ref="AT4:AT35" si="9">L4/AC4/16</f>
        <v>14.0804761620529</v>
      </c>
      <c r="AU4" s="770">
        <f t="shared" ref="AU4:AU35" si="10">M4/AD4/16</f>
        <v>11.138262015856439</v>
      </c>
      <c r="AV4" s="770">
        <f t="shared" ref="AV4:AV35" si="11">N4/AE4/16</f>
        <v>8.6168192212609931</v>
      </c>
      <c r="AW4" s="770">
        <f t="shared" ref="AW4:AW35" si="12">O4/AF4/16</f>
        <v>7.7498295263081278</v>
      </c>
      <c r="AX4" s="770">
        <f t="shared" ref="AX4:AX35" si="13">P4/AG4/16</f>
        <v>9.112814268737166</v>
      </c>
      <c r="AY4" s="770">
        <f t="shared" ref="AY4:AY35" si="14">Q4/AH4/16</f>
        <v>5.6852937240309647</v>
      </c>
      <c r="AZ4" s="770">
        <f t="shared" ref="AZ4:AZ35" si="15">R4/AI4/16</f>
        <v>3.4007209123016966</v>
      </c>
      <c r="BA4" s="770"/>
      <c r="BB4" s="770">
        <f t="shared" ref="BB4:BB35" si="16">IFERROR(AVERAGE(AK4:AZ4),"")</f>
        <v>16.705056955425945</v>
      </c>
    </row>
    <row r="5" spans="1:54" x14ac:dyDescent="0.75">
      <c r="A5" s="132" t="s">
        <v>216</v>
      </c>
      <c r="B5" s="132" t="str">
        <f>VLOOKUP(A5,'HCW + Staff Summary'!B:E,4,FALSE)</f>
        <v>Low income</v>
      </c>
      <c r="C5" s="770">
        <v>25.1232764530677</v>
      </c>
      <c r="D5" s="770">
        <v>48.884356919917302</v>
      </c>
      <c r="E5" s="770">
        <v>38.215903538424399</v>
      </c>
      <c r="F5" s="770">
        <v>30.680421752297299</v>
      </c>
      <c r="G5" s="770">
        <v>19.746340176476501</v>
      </c>
      <c r="H5" s="770">
        <v>19.5708576104822</v>
      </c>
      <c r="I5" s="770">
        <v>18.376614001014499</v>
      </c>
      <c r="J5" s="770">
        <v>17.8265847611232</v>
      </c>
      <c r="K5" s="770">
        <v>15.8543292634492</v>
      </c>
      <c r="L5" s="770">
        <v>12.6636106276859</v>
      </c>
      <c r="M5" s="770">
        <v>9.84885812684721</v>
      </c>
      <c r="N5" s="770">
        <v>6.3860927707087001</v>
      </c>
      <c r="O5" s="770">
        <v>2.7949262266477999</v>
      </c>
      <c r="P5" s="770">
        <v>0.74068581016649104</v>
      </c>
      <c r="Q5" s="770">
        <v>0.35037298903526098</v>
      </c>
      <c r="R5" s="770">
        <v>0.226774142380234</v>
      </c>
      <c r="S5" s="770"/>
      <c r="T5" s="770">
        <v>0.17043790035198181</v>
      </c>
      <c r="U5" s="770">
        <v>0.15434730329463719</v>
      </c>
      <c r="V5" s="770">
        <v>0.13537089263461666</v>
      </c>
      <c r="W5" s="770">
        <v>0.11492971294899543</v>
      </c>
      <c r="X5" s="770">
        <v>9.4641568833213091E-2</v>
      </c>
      <c r="Y5" s="770">
        <v>7.7479722786996344E-2</v>
      </c>
      <c r="Z5" s="770">
        <v>6.2263614700159592E-2</v>
      </c>
      <c r="AA5" s="770">
        <v>4.9255591263855182E-2</v>
      </c>
      <c r="AB5" s="770">
        <v>3.8586825823659299E-2</v>
      </c>
      <c r="AC5" s="770">
        <v>2.9907522791368792E-2</v>
      </c>
      <c r="AD5" s="770">
        <v>2.3283268839771758E-2</v>
      </c>
      <c r="AE5" s="770">
        <v>1.7205570494742136E-2</v>
      </c>
      <c r="AF5" s="770">
        <v>1.2417743381211604E-2</v>
      </c>
      <c r="AG5" s="770">
        <v>8.8760630506547738E-3</v>
      </c>
      <c r="AH5" s="770">
        <v>5.72790275682648E-3</v>
      </c>
      <c r="AI5" s="770">
        <v>3.2793336394044731E-3</v>
      </c>
      <c r="AJ5" s="770"/>
      <c r="AK5" s="770">
        <f t="shared" si="0"/>
        <v>9.2127676712398152</v>
      </c>
      <c r="AL5" s="770">
        <f t="shared" si="1"/>
        <v>19.794789039252279</v>
      </c>
      <c r="AM5" s="770">
        <f t="shared" si="2"/>
        <v>17.644073439024854</v>
      </c>
      <c r="AN5" s="770">
        <f t="shared" si="3"/>
        <v>16.684339587357698</v>
      </c>
      <c r="AO5" s="770">
        <f t="shared" si="4"/>
        <v>13.040213473264778</v>
      </c>
      <c r="AP5" s="770">
        <f t="shared" si="5"/>
        <v>15.78708024056621</v>
      </c>
      <c r="AQ5" s="770">
        <f t="shared" si="6"/>
        <v>18.446381254836819</v>
      </c>
      <c r="AR5" s="770">
        <f t="shared" si="7"/>
        <v>22.620001485756113</v>
      </c>
      <c r="AS5" s="770">
        <f t="shared" si="8"/>
        <v>25.679634378166782</v>
      </c>
      <c r="AT5" s="770">
        <f t="shared" si="9"/>
        <v>26.464099676579895</v>
      </c>
      <c r="AU5" s="770">
        <f t="shared" si="10"/>
        <v>26.437595045781585</v>
      </c>
      <c r="AV5" s="770">
        <f t="shared" si="11"/>
        <v>23.197765996266408</v>
      </c>
      <c r="AW5" s="770">
        <f t="shared" si="12"/>
        <v>14.067200762884795</v>
      </c>
      <c r="AX5" s="770">
        <f t="shared" si="13"/>
        <v>5.2154725435384028</v>
      </c>
      <c r="AY5" s="770">
        <f t="shared" si="14"/>
        <v>3.8230942012075073</v>
      </c>
      <c r="AZ5" s="770">
        <f t="shared" si="15"/>
        <v>4.3220316860892849</v>
      </c>
      <c r="BA5" s="770"/>
      <c r="BB5" s="770">
        <f t="shared" si="16"/>
        <v>16.402283780113329</v>
      </c>
    </row>
    <row r="6" spans="1:54" x14ac:dyDescent="0.75">
      <c r="A6" s="132" t="s">
        <v>197</v>
      </c>
      <c r="B6" s="132" t="str">
        <f>VLOOKUP(A6,'HCW + Staff Summary'!B:E,4,FALSE)</f>
        <v>Low income</v>
      </c>
      <c r="C6" s="770">
        <v>19.853808231389301</v>
      </c>
      <c r="D6" s="770">
        <v>34.001951737619002</v>
      </c>
      <c r="E6" s="770">
        <v>42.361766027947198</v>
      </c>
      <c r="F6" s="770">
        <v>36.582706522826797</v>
      </c>
      <c r="G6" s="770">
        <v>20.025353784519801</v>
      </c>
      <c r="H6" s="770">
        <v>17.654342510989299</v>
      </c>
      <c r="I6" s="770">
        <v>16.921483792898201</v>
      </c>
      <c r="J6" s="770">
        <v>16.9298571938013</v>
      </c>
      <c r="K6" s="770">
        <v>16.108015401971599</v>
      </c>
      <c r="L6" s="770">
        <v>12.399124350164501</v>
      </c>
      <c r="M6" s="770">
        <v>10.156892855031399</v>
      </c>
      <c r="N6" s="770">
        <v>6.1809279538337396</v>
      </c>
      <c r="O6" s="770">
        <v>3.1800663894971501</v>
      </c>
      <c r="P6" s="770">
        <v>1.4803827401742</v>
      </c>
      <c r="Q6" s="770">
        <v>0.83981510976214702</v>
      </c>
      <c r="R6" s="770">
        <v>0.87173699742212196</v>
      </c>
      <c r="S6" s="770"/>
      <c r="T6" s="770">
        <v>0.15990253559735018</v>
      </c>
      <c r="U6" s="770">
        <v>0.14208482448793117</v>
      </c>
      <c r="V6" s="770">
        <v>0.1285311809944415</v>
      </c>
      <c r="W6" s="770">
        <v>0.11505368156552197</v>
      </c>
      <c r="X6" s="770">
        <v>9.9368004264067611E-2</v>
      </c>
      <c r="Y6" s="770">
        <v>8.0712708444376766E-2</v>
      </c>
      <c r="Z6" s="770">
        <v>6.3047285464098074E-2</v>
      </c>
      <c r="AA6" s="770">
        <v>4.8960633518617222E-2</v>
      </c>
      <c r="AB6" s="770">
        <v>3.8072032285083379E-2</v>
      </c>
      <c r="AC6" s="770">
        <v>3.0381481763496535E-2</v>
      </c>
      <c r="AD6" s="770">
        <v>2.5355973501865529E-2</v>
      </c>
      <c r="AE6" s="770">
        <v>2.1396482144216859E-2</v>
      </c>
      <c r="AF6" s="770">
        <v>1.7513134851138354E-2</v>
      </c>
      <c r="AG6" s="770">
        <v>1.3553643493489682E-2</v>
      </c>
      <c r="AH6" s="770">
        <v>7.9951267798675091E-3</v>
      </c>
      <c r="AI6" s="770">
        <v>4.9493641970608394E-3</v>
      </c>
      <c r="AJ6" s="770"/>
      <c r="AK6" s="770">
        <f t="shared" si="0"/>
        <v>7.7601209375843956</v>
      </c>
      <c r="AL6" s="770">
        <f t="shared" si="1"/>
        <v>14.956713296159913</v>
      </c>
      <c r="AM6" s="770">
        <f t="shared" si="2"/>
        <v>20.598973387330808</v>
      </c>
      <c r="AN6" s="770">
        <f t="shared" si="3"/>
        <v>19.872629250673572</v>
      </c>
      <c r="AO6" s="770">
        <f t="shared" si="4"/>
        <v>12.595448814755677</v>
      </c>
      <c r="AP6" s="770">
        <f t="shared" si="5"/>
        <v>13.670665105944719</v>
      </c>
      <c r="AQ6" s="770">
        <f t="shared" si="6"/>
        <v>16.774595912751515</v>
      </c>
      <c r="AR6" s="770">
        <f t="shared" si="7"/>
        <v>21.611568285982941</v>
      </c>
      <c r="AS6" s="770">
        <f t="shared" si="8"/>
        <v>26.443320784261626</v>
      </c>
      <c r="AT6" s="770">
        <f t="shared" si="9"/>
        <v>25.507158535512279</v>
      </c>
      <c r="AU6" s="770">
        <f t="shared" si="10"/>
        <v>25.035749599310694</v>
      </c>
      <c r="AV6" s="770">
        <f t="shared" si="11"/>
        <v>18.054743509274576</v>
      </c>
      <c r="AW6" s="770">
        <f t="shared" si="12"/>
        <v>11.348861927517955</v>
      </c>
      <c r="AX6" s="770">
        <f t="shared" si="13"/>
        <v>6.826498078197953</v>
      </c>
      <c r="AY6" s="770">
        <f t="shared" si="14"/>
        <v>6.5650546645870698</v>
      </c>
      <c r="AZ6" s="770">
        <f t="shared" si="15"/>
        <v>11.008194218408391</v>
      </c>
      <c r="BA6" s="770"/>
      <c r="BB6" s="770">
        <f t="shared" si="16"/>
        <v>16.164393519265879</v>
      </c>
    </row>
    <row r="7" spans="1:54" x14ac:dyDescent="0.75">
      <c r="A7" s="132" t="s">
        <v>547</v>
      </c>
      <c r="B7" s="132" t="str">
        <f>VLOOKUP(A7,'HCW + Staff Summary'!B:E,4,FALSE)</f>
        <v>Low income</v>
      </c>
      <c r="C7" s="770">
        <v>19.246884228658001</v>
      </c>
      <c r="D7" s="770">
        <v>38.654826247125101</v>
      </c>
      <c r="E7" s="770">
        <v>42.496231025839101</v>
      </c>
      <c r="F7" s="770">
        <v>28.926138132444901</v>
      </c>
      <c r="G7" s="770">
        <v>19.117707644587298</v>
      </c>
      <c r="H7" s="770">
        <v>20.0767003403027</v>
      </c>
      <c r="I7" s="770">
        <v>18.8795344518376</v>
      </c>
      <c r="J7" s="770">
        <v>18.375031401615701</v>
      </c>
      <c r="K7" s="770">
        <v>16.5614486304545</v>
      </c>
      <c r="L7" s="770">
        <v>13.1187815079311</v>
      </c>
      <c r="M7" s="770">
        <v>10.7332986960288</v>
      </c>
      <c r="N7" s="770">
        <v>6.8981385552491696</v>
      </c>
      <c r="O7" s="770">
        <v>3.6180875349358899</v>
      </c>
      <c r="P7" s="770">
        <v>1.2908160792215</v>
      </c>
      <c r="Q7" s="770">
        <v>0.69366041037112203</v>
      </c>
      <c r="R7" s="770">
        <v>0.405153624077977</v>
      </c>
      <c r="S7" s="770"/>
      <c r="T7" s="770">
        <v>0.1630394750058593</v>
      </c>
      <c r="U7" s="770">
        <v>0.14437338868985838</v>
      </c>
      <c r="V7" s="770">
        <v>0.12813473063916697</v>
      </c>
      <c r="W7" s="770">
        <v>0.10771085144139016</v>
      </c>
      <c r="X7" s="770">
        <v>8.8107275588442099E-2</v>
      </c>
      <c r="Y7" s="770">
        <v>7.6740214952958116E-2</v>
      </c>
      <c r="Z7" s="770">
        <v>6.5339672548297451E-2</v>
      </c>
      <c r="AA7" s="770">
        <v>5.4558542873405433E-2</v>
      </c>
      <c r="AB7" s="770">
        <v>4.4932534235108984E-2</v>
      </c>
      <c r="AC7" s="770">
        <v>3.5758529480697757E-2</v>
      </c>
      <c r="AD7" s="770">
        <v>2.7806609301235477E-2</v>
      </c>
      <c r="AE7" s="770">
        <v>2.1193959888840527E-2</v>
      </c>
      <c r="AF7" s="770">
        <v>1.5870358589747884E-2</v>
      </c>
      <c r="AG7" s="770">
        <v>1.1300097097130613E-2</v>
      </c>
      <c r="AH7" s="770">
        <v>7.9016975256972575E-3</v>
      </c>
      <c r="AI7" s="770">
        <v>4.503297954263903E-3</v>
      </c>
      <c r="AJ7" s="770"/>
      <c r="AK7" s="770">
        <f t="shared" si="0"/>
        <v>7.37815344564802</v>
      </c>
      <c r="AL7" s="770">
        <f t="shared" si="1"/>
        <v>16.733877776015845</v>
      </c>
      <c r="AM7" s="770">
        <f t="shared" si="2"/>
        <v>20.728294552664234</v>
      </c>
      <c r="AN7" s="770">
        <f t="shared" si="3"/>
        <v>16.784600707214249</v>
      </c>
      <c r="AO7" s="770">
        <f t="shared" si="4"/>
        <v>13.561385479310488</v>
      </c>
      <c r="AP7" s="770">
        <f t="shared" si="5"/>
        <v>16.351189165134727</v>
      </c>
      <c r="AQ7" s="770">
        <f t="shared" si="6"/>
        <v>18.059026885505816</v>
      </c>
      <c r="AR7" s="770">
        <f t="shared" si="7"/>
        <v>21.049672555694084</v>
      </c>
      <c r="AS7" s="770">
        <f t="shared" si="8"/>
        <v>23.036549284919175</v>
      </c>
      <c r="AT7" s="770">
        <f t="shared" si="9"/>
        <v>22.929462037533838</v>
      </c>
      <c r="AU7" s="770">
        <f t="shared" si="10"/>
        <v>24.124882010407298</v>
      </c>
      <c r="AV7" s="770">
        <f t="shared" si="11"/>
        <v>20.342289122198551</v>
      </c>
      <c r="AW7" s="770">
        <f t="shared" si="12"/>
        <v>14.248605011330461</v>
      </c>
      <c r="AX7" s="770">
        <f t="shared" si="13"/>
        <v>7.1394081181682481</v>
      </c>
      <c r="AY7" s="770">
        <f t="shared" si="14"/>
        <v>5.4866407512061182</v>
      </c>
      <c r="AZ7" s="770">
        <f t="shared" si="15"/>
        <v>5.6230126813833365</v>
      </c>
      <c r="BA7" s="770"/>
      <c r="BB7" s="770">
        <f t="shared" si="16"/>
        <v>15.848565599020906</v>
      </c>
    </row>
    <row r="8" spans="1:54" x14ac:dyDescent="0.75">
      <c r="A8" s="132" t="s">
        <v>194</v>
      </c>
      <c r="B8" s="132" t="str">
        <f>VLOOKUP(A8,'HCW + Staff Summary'!B:E,4,FALSE)</f>
        <v>Low income</v>
      </c>
      <c r="C8" s="770">
        <v>19.615051842564601</v>
      </c>
      <c r="D8" s="770">
        <v>42.710178533208001</v>
      </c>
      <c r="E8" s="770">
        <v>45.050174940930098</v>
      </c>
      <c r="F8" s="770">
        <v>30.0899433372937</v>
      </c>
      <c r="G8" s="770">
        <v>20.7301278417304</v>
      </c>
      <c r="H8" s="770">
        <v>21.319742500013799</v>
      </c>
      <c r="I8" s="770">
        <v>19.840062189350501</v>
      </c>
      <c r="J8" s="770">
        <v>18.3731249096037</v>
      </c>
      <c r="K8" s="770">
        <v>16.559959885217602</v>
      </c>
      <c r="L8" s="770">
        <v>12.8898544454418</v>
      </c>
      <c r="M8" s="770">
        <v>10.487235732828699</v>
      </c>
      <c r="N8" s="770">
        <v>6.5566878589293998</v>
      </c>
      <c r="O8" s="770">
        <v>3.4209454426510999</v>
      </c>
      <c r="P8" s="770">
        <v>1.3828902405643799</v>
      </c>
      <c r="Q8" s="770">
        <v>0.62443930041983597</v>
      </c>
      <c r="R8" s="770">
        <v>0.44761306949246599</v>
      </c>
      <c r="S8" s="770"/>
      <c r="T8" s="770">
        <v>0.14605441703489788</v>
      </c>
      <c r="U8" s="770">
        <v>0.13262412581329808</v>
      </c>
      <c r="V8" s="770">
        <v>0.12049859086322674</v>
      </c>
      <c r="W8" s="770">
        <v>0.11287011586235692</v>
      </c>
      <c r="X8" s="770">
        <v>0.10217981281096691</v>
      </c>
      <c r="Y8" s="770">
        <v>8.4304651891026761E-2</v>
      </c>
      <c r="Z8" s="770">
        <v>6.5403082704150864E-2</v>
      </c>
      <c r="AA8" s="770">
        <v>5.4573605650464492E-2</v>
      </c>
      <c r="AB8" s="770">
        <v>4.291778295814342E-2</v>
      </c>
      <c r="AC8" s="770">
        <v>3.5698131589019168E-2</v>
      </c>
      <c r="AD8" s="770">
        <v>2.808705333843638E-2</v>
      </c>
      <c r="AE8" s="770">
        <v>2.1528478480219895E-2</v>
      </c>
      <c r="AF8" s="770">
        <v>1.78925576702272E-2</v>
      </c>
      <c r="AG8" s="770">
        <v>1.3647750600187886E-2</v>
      </c>
      <c r="AH8" s="770">
        <v>1.0342368045649072E-2</v>
      </c>
      <c r="AI8" s="770">
        <v>6.4454959813506837E-3</v>
      </c>
      <c r="AJ8" s="770"/>
      <c r="AK8" s="770">
        <f t="shared" si="0"/>
        <v>8.3937258800421226</v>
      </c>
      <c r="AL8" s="770">
        <f t="shared" si="1"/>
        <v>20.127455257147819</v>
      </c>
      <c r="AM8" s="770">
        <f t="shared" si="2"/>
        <v>23.366546559901682</v>
      </c>
      <c r="AN8" s="770">
        <f t="shared" si="3"/>
        <v>16.661819155694324</v>
      </c>
      <c r="AO8" s="770">
        <f t="shared" si="4"/>
        <v>12.679931137719704</v>
      </c>
      <c r="AP8" s="770">
        <f t="shared" si="5"/>
        <v>15.805579838859281</v>
      </c>
      <c r="AQ8" s="770">
        <f t="shared" si="6"/>
        <v>18.959410406441108</v>
      </c>
      <c r="AR8" s="770">
        <f t="shared" si="7"/>
        <v>21.041679272669747</v>
      </c>
      <c r="AS8" s="770">
        <f t="shared" si="8"/>
        <v>24.115819166043732</v>
      </c>
      <c r="AT8" s="770">
        <f t="shared" si="9"/>
        <v>22.567452888428534</v>
      </c>
      <c r="AU8" s="770">
        <f t="shared" si="10"/>
        <v>23.336454180646456</v>
      </c>
      <c r="AV8" s="770">
        <f t="shared" si="11"/>
        <v>19.034925833685847</v>
      </c>
      <c r="AW8" s="770">
        <f t="shared" si="12"/>
        <v>11.949610229367437</v>
      </c>
      <c r="AX8" s="770">
        <f t="shared" si="13"/>
        <v>6.3329586367209751</v>
      </c>
      <c r="AY8" s="770">
        <f t="shared" si="14"/>
        <v>3.7735512896060777</v>
      </c>
      <c r="AZ8" s="770">
        <f t="shared" si="15"/>
        <v>4.3403668118363576</v>
      </c>
      <c r="BA8" s="770"/>
      <c r="BB8" s="770">
        <f t="shared" si="16"/>
        <v>15.780455409050699</v>
      </c>
    </row>
    <row r="9" spans="1:54" x14ac:dyDescent="0.75">
      <c r="A9" s="132" t="s">
        <v>457</v>
      </c>
      <c r="B9" s="132" t="str">
        <f>VLOOKUP(A9,'HCW + Staff Summary'!B:E,4,FALSE)</f>
        <v>High income</v>
      </c>
      <c r="C9" s="770">
        <v>6.0402057993079401</v>
      </c>
      <c r="D9" s="770">
        <v>19.447258637664</v>
      </c>
      <c r="E9" s="770">
        <v>23.009182486704798</v>
      </c>
      <c r="F9" s="770">
        <v>26.8569256002441</v>
      </c>
      <c r="G9" s="770">
        <v>13.7413989071629</v>
      </c>
      <c r="H9" s="770">
        <v>22.111065504571201</v>
      </c>
      <c r="I9" s="770">
        <v>25.012864448611602</v>
      </c>
      <c r="J9" s="770">
        <v>26.2497806176568</v>
      </c>
      <c r="K9" s="770">
        <v>25.796363441817199</v>
      </c>
      <c r="L9" s="770">
        <v>20.547832067139801</v>
      </c>
      <c r="M9" s="770">
        <v>14.436474337074699</v>
      </c>
      <c r="N9" s="770">
        <v>8.1420584689897897</v>
      </c>
      <c r="O9" s="770">
        <v>6.2396430435136399</v>
      </c>
      <c r="P9" s="770">
        <v>4.9022095993039096</v>
      </c>
      <c r="Q9" s="770">
        <v>3.6340117402904002</v>
      </c>
      <c r="R9" s="770">
        <v>3.5639845862160602</v>
      </c>
      <c r="S9" s="770"/>
      <c r="T9" s="770">
        <v>5.3054662379421219E-2</v>
      </c>
      <c r="U9" s="770">
        <v>5.3054662379421219E-2</v>
      </c>
      <c r="V9" s="770">
        <v>4.9839228295819937E-2</v>
      </c>
      <c r="W9" s="770">
        <v>5.6270096463022508E-2</v>
      </c>
      <c r="X9" s="770">
        <v>6.2700964630225078E-2</v>
      </c>
      <c r="Y9" s="770">
        <v>7.2347266881028938E-2</v>
      </c>
      <c r="Z9" s="770">
        <v>7.7170418006430874E-2</v>
      </c>
      <c r="AA9" s="770">
        <v>7.7170418006430874E-2</v>
      </c>
      <c r="AB9" s="770">
        <v>7.3954983922829579E-2</v>
      </c>
      <c r="AC9" s="770">
        <v>7.7170418006430874E-2</v>
      </c>
      <c r="AD9" s="770">
        <v>7.7170418006430874E-2</v>
      </c>
      <c r="AE9" s="770">
        <v>6.9131832797427656E-2</v>
      </c>
      <c r="AF9" s="770">
        <v>5.6270096463022508E-2</v>
      </c>
      <c r="AG9" s="770">
        <v>4.5016077170418008E-2</v>
      </c>
      <c r="AH9" s="770">
        <v>3.5369774919614148E-2</v>
      </c>
      <c r="AI9" s="770">
        <v>2.4919614147909969E-2</v>
      </c>
      <c r="AJ9" s="770"/>
      <c r="AK9" s="770">
        <f t="shared" si="0"/>
        <v>7.115545468124127</v>
      </c>
      <c r="AL9" s="770">
        <f t="shared" si="1"/>
        <v>22.909459986036001</v>
      </c>
      <c r="AM9" s="770">
        <f t="shared" si="2"/>
        <v>28.854257070020935</v>
      </c>
      <c r="AN9" s="770">
        <f t="shared" si="3"/>
        <v>29.830370934556839</v>
      </c>
      <c r="AO9" s="770">
        <f t="shared" si="4"/>
        <v>13.697355961947634</v>
      </c>
      <c r="AP9" s="770">
        <f t="shared" si="5"/>
        <v>19.101503810893455</v>
      </c>
      <c r="AQ9" s="770">
        <f t="shared" si="6"/>
        <v>20.257814696661999</v>
      </c>
      <c r="AR9" s="770">
        <f t="shared" si="7"/>
        <v>21.259587948154334</v>
      </c>
      <c r="AS9" s="770">
        <f t="shared" si="8"/>
        <v>21.800731060883557</v>
      </c>
      <c r="AT9" s="770">
        <f t="shared" si="9"/>
        <v>16.641603575209576</v>
      </c>
      <c r="AU9" s="770">
        <f t="shared" si="10"/>
        <v>11.692040413620393</v>
      </c>
      <c r="AV9" s="770">
        <f t="shared" si="11"/>
        <v>7.3609889065576297</v>
      </c>
      <c r="AW9" s="770">
        <f t="shared" si="12"/>
        <v>6.9304606661883641</v>
      </c>
      <c r="AX9" s="770">
        <f t="shared" si="13"/>
        <v>6.8061927918906955</v>
      </c>
      <c r="AY9" s="770">
        <f t="shared" si="14"/>
        <v>6.4214639274449681</v>
      </c>
      <c r="AZ9" s="770">
        <f t="shared" si="15"/>
        <v>8.9387032767193126</v>
      </c>
      <c r="BA9" s="770"/>
      <c r="BB9" s="770">
        <f t="shared" si="16"/>
        <v>15.601130030931865</v>
      </c>
    </row>
    <row r="10" spans="1:54" x14ac:dyDescent="0.75">
      <c r="A10" s="132" t="s">
        <v>187</v>
      </c>
      <c r="B10" s="132" t="str">
        <f>VLOOKUP(A10,'HCW + Staff Summary'!B:E,4,FALSE)</f>
        <v>Lower middle income</v>
      </c>
      <c r="C10" s="770">
        <v>20.053710271039002</v>
      </c>
      <c r="D10" s="770">
        <v>38.099714098665203</v>
      </c>
      <c r="E10" s="770">
        <v>38.488082406141203</v>
      </c>
      <c r="F10" s="770">
        <v>30.008540726266201</v>
      </c>
      <c r="G10" s="770">
        <v>19.916369148734901</v>
      </c>
      <c r="H10" s="770">
        <v>20.367691210634302</v>
      </c>
      <c r="I10" s="770">
        <v>18.937948025073499</v>
      </c>
      <c r="J10" s="770">
        <v>17.819765562931401</v>
      </c>
      <c r="K10" s="770">
        <v>16.642626884634002</v>
      </c>
      <c r="L10" s="770">
        <v>13.143589760437701</v>
      </c>
      <c r="M10" s="770">
        <v>10.349269048080799</v>
      </c>
      <c r="N10" s="770">
        <v>6.4297816934967704</v>
      </c>
      <c r="O10" s="770">
        <v>3.44196763026165</v>
      </c>
      <c r="P10" s="770">
        <v>1.2300462950484701</v>
      </c>
      <c r="Q10" s="770">
        <v>0.64170584839842104</v>
      </c>
      <c r="R10" s="770">
        <v>0.35217417846649801</v>
      </c>
      <c r="S10" s="770"/>
      <c r="T10" s="770">
        <v>0.15505160852859187</v>
      </c>
      <c r="U10" s="770">
        <v>0.14051081142168312</v>
      </c>
      <c r="V10" s="770">
        <v>0.12510359376177202</v>
      </c>
      <c r="W10" s="770">
        <v>0.10758683040759437</v>
      </c>
      <c r="X10" s="770">
        <v>9.1162510359376184E-2</v>
      </c>
      <c r="Y10" s="770">
        <v>8.0313418217433888E-2</v>
      </c>
      <c r="Z10" s="770">
        <v>7.0104723875536804E-2</v>
      </c>
      <c r="AA10" s="770">
        <v>5.7974836133504105E-2</v>
      </c>
      <c r="AB10" s="770">
        <v>4.5317561967904769E-2</v>
      </c>
      <c r="AC10" s="770">
        <v>3.5334890378964819E-2</v>
      </c>
      <c r="AD10" s="770">
        <v>2.7461764484291419E-2</v>
      </c>
      <c r="AE10" s="770">
        <v>2.1095456942665562E-2</v>
      </c>
      <c r="AF10" s="770">
        <v>1.5859263165825359E-2</v>
      </c>
      <c r="AG10" s="770">
        <v>1.1790853612597001E-2</v>
      </c>
      <c r="AH10" s="770">
        <v>7.910796353499585E-3</v>
      </c>
      <c r="AI10" s="770">
        <v>4.633466435621186E-3</v>
      </c>
      <c r="AJ10" s="770"/>
      <c r="AK10" s="770">
        <f t="shared" si="0"/>
        <v>8.0834820343628735</v>
      </c>
      <c r="AL10" s="770">
        <f t="shared" si="1"/>
        <v>16.946967333498097</v>
      </c>
      <c r="AM10" s="770">
        <f t="shared" si="2"/>
        <v>19.228105908488114</v>
      </c>
      <c r="AN10" s="770">
        <f t="shared" si="3"/>
        <v>17.432745144421013</v>
      </c>
      <c r="AO10" s="770">
        <f t="shared" si="4"/>
        <v>13.65444048094826</v>
      </c>
      <c r="AP10" s="770">
        <f t="shared" si="5"/>
        <v>15.850162138763432</v>
      </c>
      <c r="AQ10" s="770">
        <f t="shared" si="6"/>
        <v>16.883623329983916</v>
      </c>
      <c r="AR10" s="770">
        <f t="shared" si="7"/>
        <v>19.210668316828176</v>
      </c>
      <c r="AS10" s="770">
        <f t="shared" si="8"/>
        <v>22.952783316681952</v>
      </c>
      <c r="AT10" s="770">
        <f t="shared" si="9"/>
        <v>23.248249852117482</v>
      </c>
      <c r="AU10" s="770">
        <f t="shared" si="10"/>
        <v>23.553814827705153</v>
      </c>
      <c r="AV10" s="770">
        <f t="shared" si="11"/>
        <v>19.049663486112195</v>
      </c>
      <c r="AW10" s="770">
        <f t="shared" si="12"/>
        <v>13.564500105838148</v>
      </c>
      <c r="AX10" s="770">
        <f t="shared" si="13"/>
        <v>6.5201295823395942</v>
      </c>
      <c r="AY10" s="770">
        <f t="shared" si="14"/>
        <v>5.0698581701144301</v>
      </c>
      <c r="AZ10" s="770">
        <f t="shared" si="15"/>
        <v>4.7504145028311262</v>
      </c>
      <c r="BA10" s="770"/>
      <c r="BB10" s="770">
        <f t="shared" si="16"/>
        <v>15.374975533189623</v>
      </c>
    </row>
    <row r="11" spans="1:54" x14ac:dyDescent="0.75">
      <c r="A11" s="132" t="s">
        <v>217</v>
      </c>
      <c r="B11" s="132" t="str">
        <f>VLOOKUP(A11,'HCW + Staff Summary'!B:E,4,FALSE)</f>
        <v>Lower middle income</v>
      </c>
      <c r="C11" s="770">
        <v>20.0301288869437</v>
      </c>
      <c r="D11" s="770">
        <v>40.2185821614666</v>
      </c>
      <c r="E11" s="770">
        <v>40.030733927317002</v>
      </c>
      <c r="F11" s="770">
        <v>31.4016686613869</v>
      </c>
      <c r="G11" s="770">
        <v>20.359794407039299</v>
      </c>
      <c r="H11" s="770">
        <v>19.263572827201799</v>
      </c>
      <c r="I11" s="770">
        <v>17.619842488227899</v>
      </c>
      <c r="J11" s="770">
        <v>16.3960932417945</v>
      </c>
      <c r="K11" s="770">
        <v>14.8296327478929</v>
      </c>
      <c r="L11" s="770">
        <v>11.8403349291361</v>
      </c>
      <c r="M11" s="770">
        <v>8.9849297230673102</v>
      </c>
      <c r="N11" s="770">
        <v>5.78906701524678</v>
      </c>
      <c r="O11" s="770">
        <v>2.9076651233056401</v>
      </c>
      <c r="P11" s="770">
        <v>0.89686634698119305</v>
      </c>
      <c r="Q11" s="770">
        <v>0.51946194732369</v>
      </c>
      <c r="R11" s="770">
        <v>0.266131258601919</v>
      </c>
      <c r="S11" s="770"/>
      <c r="T11" s="770">
        <v>0.16024804177545693</v>
      </c>
      <c r="U11" s="770">
        <v>0.14779155787641426</v>
      </c>
      <c r="V11" s="770">
        <v>0.13212576153176675</v>
      </c>
      <c r="W11" s="770">
        <v>0.11537206266318538</v>
      </c>
      <c r="X11" s="770">
        <v>9.5028285465622281E-2</v>
      </c>
      <c r="Y11" s="770">
        <v>7.8002610966057442E-2</v>
      </c>
      <c r="Z11" s="770">
        <v>6.494778067885118E-2</v>
      </c>
      <c r="AA11" s="770">
        <v>5.3959965187119235E-2</v>
      </c>
      <c r="AB11" s="770">
        <v>4.3951261966927765E-2</v>
      </c>
      <c r="AC11" s="770">
        <v>3.2963446475195821E-2</v>
      </c>
      <c r="AD11" s="770">
        <v>2.3553089643167973E-2</v>
      </c>
      <c r="AE11" s="770">
        <v>1.7841601392515231E-2</v>
      </c>
      <c r="AF11" s="770">
        <v>1.2891644908616188E-2</v>
      </c>
      <c r="AG11" s="770">
        <v>9.0295909486510003E-3</v>
      </c>
      <c r="AH11" s="770">
        <v>6.1466492602262838E-3</v>
      </c>
      <c r="AI11" s="770">
        <v>3.6444734551784159E-3</v>
      </c>
      <c r="AJ11" s="770"/>
      <c r="AK11" s="770">
        <f t="shared" si="0"/>
        <v>7.8121582115065547</v>
      </c>
      <c r="AL11" s="770">
        <f t="shared" si="1"/>
        <v>17.008152706486982</v>
      </c>
      <c r="AM11" s="770">
        <f t="shared" si="2"/>
        <v>18.935905015433196</v>
      </c>
      <c r="AN11" s="770">
        <f t="shared" si="3"/>
        <v>17.011087832123312</v>
      </c>
      <c r="AO11" s="770">
        <f t="shared" si="4"/>
        <v>13.390614638630884</v>
      </c>
      <c r="AP11" s="770">
        <f t="shared" si="5"/>
        <v>15.435038478699349</v>
      </c>
      <c r="AQ11" s="770">
        <f t="shared" si="6"/>
        <v>16.955778072842424</v>
      </c>
      <c r="AR11" s="770">
        <f t="shared" si="7"/>
        <v>18.991039450425284</v>
      </c>
      <c r="AS11" s="770">
        <f t="shared" si="8"/>
        <v>21.088178251644727</v>
      </c>
      <c r="AT11" s="770">
        <f t="shared" si="9"/>
        <v>22.449743949797657</v>
      </c>
      <c r="AU11" s="770">
        <f t="shared" si="10"/>
        <v>23.842226909478843</v>
      </c>
      <c r="AV11" s="770">
        <f t="shared" si="11"/>
        <v>20.279384147922411</v>
      </c>
      <c r="AW11" s="770">
        <f t="shared" si="12"/>
        <v>14.096654964886838</v>
      </c>
      <c r="AX11" s="770">
        <f t="shared" si="13"/>
        <v>6.2078279077192224</v>
      </c>
      <c r="AY11" s="770">
        <f t="shared" si="14"/>
        <v>5.281962632521414</v>
      </c>
      <c r="AZ11" s="770">
        <f t="shared" si="15"/>
        <v>4.5639524796060442</v>
      </c>
      <c r="BA11" s="770"/>
      <c r="BB11" s="770">
        <f t="shared" si="16"/>
        <v>15.209356603107825</v>
      </c>
    </row>
    <row r="12" spans="1:54" x14ac:dyDescent="0.75">
      <c r="A12" s="132" t="s">
        <v>243</v>
      </c>
      <c r="B12" s="132" t="str">
        <f>VLOOKUP(A12,'HCW + Staff Summary'!B:E,4,FALSE)</f>
        <v>Upper middle income</v>
      </c>
      <c r="C12" s="770">
        <v>10.2401872454864</v>
      </c>
      <c r="D12" s="770">
        <v>22.484377089425401</v>
      </c>
      <c r="E12" s="770">
        <v>35.9507590616358</v>
      </c>
      <c r="F12" s="770">
        <v>43.723577518033899</v>
      </c>
      <c r="G12" s="770">
        <v>23.626884354802801</v>
      </c>
      <c r="H12" s="770">
        <v>18.4225324065814</v>
      </c>
      <c r="I12" s="770">
        <v>16.848933600659301</v>
      </c>
      <c r="J12" s="770">
        <v>16.591107186602098</v>
      </c>
      <c r="K12" s="770">
        <v>15.240632252369601</v>
      </c>
      <c r="L12" s="770">
        <v>11.875841336301001</v>
      </c>
      <c r="M12" s="770">
        <v>8.3470153815999701</v>
      </c>
      <c r="N12" s="770">
        <v>4.9705633984797899</v>
      </c>
      <c r="O12" s="770">
        <v>2.6543595495563599</v>
      </c>
      <c r="P12" s="770">
        <v>1.5088361566006301</v>
      </c>
      <c r="Q12" s="770">
        <v>0.85404779457972402</v>
      </c>
      <c r="R12" s="770">
        <v>0.47268833895991902</v>
      </c>
      <c r="S12" s="770"/>
      <c r="T12" s="770">
        <v>6.4695009242144177E-2</v>
      </c>
      <c r="U12" s="770">
        <v>6.839186691312385E-2</v>
      </c>
      <c r="V12" s="770">
        <v>6.0998151571164512E-2</v>
      </c>
      <c r="W12" s="770">
        <v>4.9907578558225509E-2</v>
      </c>
      <c r="X12" s="770">
        <v>9.4269870609981515E-2</v>
      </c>
      <c r="Y12" s="770">
        <v>0.16451016635859519</v>
      </c>
      <c r="Z12" s="770">
        <v>0.15157116451016636</v>
      </c>
      <c r="AA12" s="770">
        <v>0.10166358595194085</v>
      </c>
      <c r="AB12" s="770">
        <v>6.6543438077634007E-2</v>
      </c>
      <c r="AC12" s="770">
        <v>5.1756007393715345E-2</v>
      </c>
      <c r="AD12" s="770">
        <v>3.752310536044362E-2</v>
      </c>
      <c r="AE12" s="770">
        <v>2.8280961182994453E-2</v>
      </c>
      <c r="AF12" s="770">
        <v>2.144177449168207E-2</v>
      </c>
      <c r="AG12" s="770">
        <v>1.2199630314232901E-2</v>
      </c>
      <c r="AH12" s="770">
        <v>8.1330868761552676E-3</v>
      </c>
      <c r="AI12" s="770">
        <v>7.5785582255083177E-3</v>
      </c>
      <c r="AJ12" s="770"/>
      <c r="AK12" s="770">
        <f t="shared" si="0"/>
        <v>9.8927523210859682</v>
      </c>
      <c r="AL12" s="770">
        <f t="shared" si="1"/>
        <v>20.547378387464764</v>
      </c>
      <c r="AM12" s="770">
        <f t="shared" si="2"/>
        <v>36.835910326410925</v>
      </c>
      <c r="AN12" s="770">
        <f t="shared" si="3"/>
        <v>54.755683882537824</v>
      </c>
      <c r="AO12" s="770">
        <f t="shared" si="4"/>
        <v>15.664392691113132</v>
      </c>
      <c r="AP12" s="770">
        <f t="shared" si="5"/>
        <v>6.9990098539048722</v>
      </c>
      <c r="AQ12" s="770">
        <f t="shared" si="6"/>
        <v>6.9476166752718607</v>
      </c>
      <c r="AR12" s="770">
        <f t="shared" si="7"/>
        <v>10.199760213581518</v>
      </c>
      <c r="AS12" s="770">
        <f t="shared" si="8"/>
        <v>14.314552167590199</v>
      </c>
      <c r="AT12" s="770">
        <f t="shared" si="9"/>
        <v>14.341138756559912</v>
      </c>
      <c r="AU12" s="770">
        <f t="shared" si="10"/>
        <v>13.903125989672365</v>
      </c>
      <c r="AV12" s="770">
        <f t="shared" si="11"/>
        <v>10.984782673927967</v>
      </c>
      <c r="AW12" s="770">
        <f t="shared" si="12"/>
        <v>7.7371148508081395</v>
      </c>
      <c r="AX12" s="770">
        <f t="shared" si="13"/>
        <v>7.7299276583422438</v>
      </c>
      <c r="AY12" s="770">
        <f t="shared" si="14"/>
        <v>6.5630661486879367</v>
      </c>
      <c r="AZ12" s="770">
        <f t="shared" si="15"/>
        <v>3.8982376734346982</v>
      </c>
      <c r="BA12" s="770"/>
      <c r="BB12" s="770">
        <f t="shared" si="16"/>
        <v>15.082153141899644</v>
      </c>
    </row>
    <row r="13" spans="1:54" x14ac:dyDescent="0.75">
      <c r="A13" s="132" t="s">
        <v>183</v>
      </c>
      <c r="B13" s="132" t="str">
        <f>VLOOKUP(A13,'HCW + Staff Summary'!B:E,4,FALSE)</f>
        <v>Low income</v>
      </c>
      <c r="C13" s="770">
        <v>19.9674068732797</v>
      </c>
      <c r="D13" s="770">
        <v>43.059165501399598</v>
      </c>
      <c r="E13" s="770">
        <v>38.121208011376403</v>
      </c>
      <c r="F13" s="770">
        <v>30.123468601885701</v>
      </c>
      <c r="G13" s="770">
        <v>18.212689791303401</v>
      </c>
      <c r="H13" s="770">
        <v>18.931797853514301</v>
      </c>
      <c r="I13" s="770">
        <v>18.567334951225401</v>
      </c>
      <c r="J13" s="770">
        <v>18.553893230737</v>
      </c>
      <c r="K13" s="770">
        <v>16.745818193086102</v>
      </c>
      <c r="L13" s="770">
        <v>13.164207195337299</v>
      </c>
      <c r="M13" s="770">
        <v>10.544370499886501</v>
      </c>
      <c r="N13" s="770">
        <v>6.5332872585963502</v>
      </c>
      <c r="O13" s="770">
        <v>3.5107700554713901</v>
      </c>
      <c r="P13" s="770">
        <v>1.0515088257167</v>
      </c>
      <c r="Q13" s="770">
        <v>0.59985988974696502</v>
      </c>
      <c r="R13" s="770">
        <v>0.31779639101901602</v>
      </c>
      <c r="S13" s="770"/>
      <c r="T13" s="770">
        <v>0.15746927328219087</v>
      </c>
      <c r="U13" s="770">
        <v>0.13923946217932856</v>
      </c>
      <c r="V13" s="770">
        <v>0.12274189557040337</v>
      </c>
      <c r="W13" s="770">
        <v>0.10657428029365669</v>
      </c>
      <c r="X13" s="770">
        <v>9.2056421677802522E-2</v>
      </c>
      <c r="Y13" s="770">
        <v>7.8033490060216121E-2</v>
      </c>
      <c r="Z13" s="770">
        <v>6.4752948940031349E-2</v>
      </c>
      <c r="AA13" s="770">
        <v>5.3699579312051472E-2</v>
      </c>
      <c r="AB13" s="770">
        <v>4.446094201105337E-2</v>
      </c>
      <c r="AC13" s="770">
        <v>3.6542110038769282E-2</v>
      </c>
      <c r="AD13" s="770">
        <v>2.9943083395199209E-2</v>
      </c>
      <c r="AE13" s="770">
        <v>2.3674008083807638E-2</v>
      </c>
      <c r="AF13" s="770">
        <v>1.8064835436773077E-2</v>
      </c>
      <c r="AG13" s="770">
        <v>1.3198053287140146E-2</v>
      </c>
      <c r="AH13" s="770">
        <v>9.1561494679534769E-3</v>
      </c>
      <c r="AI13" s="770">
        <v>6.0216118122576922E-3</v>
      </c>
      <c r="AJ13" s="770"/>
      <c r="AK13" s="770">
        <f t="shared" si="0"/>
        <v>7.9251202699309129</v>
      </c>
      <c r="AL13" s="770">
        <f t="shared" si="1"/>
        <v>19.327838543152669</v>
      </c>
      <c r="AM13" s="770">
        <f t="shared" si="2"/>
        <v>19.411265319300913</v>
      </c>
      <c r="AN13" s="770">
        <f t="shared" si="3"/>
        <v>17.665770600844638</v>
      </c>
      <c r="AO13" s="770">
        <f t="shared" si="4"/>
        <v>12.365167917785122</v>
      </c>
      <c r="AP13" s="770">
        <f t="shared" si="5"/>
        <v>15.163199351093674</v>
      </c>
      <c r="AQ13" s="770">
        <f t="shared" si="6"/>
        <v>17.921321784530694</v>
      </c>
      <c r="AR13" s="770">
        <f t="shared" si="7"/>
        <v>21.594551424368724</v>
      </c>
      <c r="AS13" s="770">
        <f t="shared" si="8"/>
        <v>23.540068872307838</v>
      </c>
      <c r="AT13" s="770">
        <f t="shared" si="9"/>
        <v>22.515474580851308</v>
      </c>
      <c r="AU13" s="770">
        <f t="shared" si="10"/>
        <v>22.009194829566813</v>
      </c>
      <c r="AV13" s="770">
        <f t="shared" si="11"/>
        <v>17.24804909319764</v>
      </c>
      <c r="AW13" s="770">
        <f t="shared" si="12"/>
        <v>12.146422768972505</v>
      </c>
      <c r="AX13" s="770">
        <f t="shared" si="13"/>
        <v>4.9794693336576383</v>
      </c>
      <c r="AY13" s="770">
        <f t="shared" si="14"/>
        <v>4.0946517136275098</v>
      </c>
      <c r="AZ13" s="770">
        <f t="shared" si="15"/>
        <v>3.2984979865783659</v>
      </c>
      <c r="BA13" s="770"/>
      <c r="BB13" s="770">
        <f t="shared" si="16"/>
        <v>15.075379024360435</v>
      </c>
    </row>
    <row r="14" spans="1:54" x14ac:dyDescent="0.75">
      <c r="A14" s="132" t="s">
        <v>185</v>
      </c>
      <c r="B14" s="132" t="str">
        <f>VLOOKUP(A14,'HCW + Staff Summary'!B:E,4,FALSE)</f>
        <v>Low income</v>
      </c>
      <c r="C14" s="770">
        <v>20.755529317092801</v>
      </c>
      <c r="D14" s="770">
        <v>41.873498123681998</v>
      </c>
      <c r="E14" s="770">
        <v>40.675007874454501</v>
      </c>
      <c r="F14" s="770">
        <v>30.146801163632901</v>
      </c>
      <c r="G14" s="770">
        <v>17.775644559538101</v>
      </c>
      <c r="H14" s="770">
        <v>18.015327695088398</v>
      </c>
      <c r="I14" s="770">
        <v>16.359383349583101</v>
      </c>
      <c r="J14" s="770">
        <v>15.6733700974813</v>
      </c>
      <c r="K14" s="770">
        <v>13.986401141943899</v>
      </c>
      <c r="L14" s="770">
        <v>11.0764156931515</v>
      </c>
      <c r="M14" s="770">
        <v>9.0770764788306604</v>
      </c>
      <c r="N14" s="770">
        <v>5.7800301291892504</v>
      </c>
      <c r="O14" s="770">
        <v>3.2361140431998998</v>
      </c>
      <c r="P14" s="770">
        <v>1.31724329020444</v>
      </c>
      <c r="Q14" s="770">
        <v>0.66104866395491702</v>
      </c>
      <c r="R14" s="770">
        <v>0.37730404784108501</v>
      </c>
      <c r="S14" s="770"/>
      <c r="T14" s="770">
        <v>0.16614839975123188</v>
      </c>
      <c r="U14" s="770">
        <v>0.14734727072668996</v>
      </c>
      <c r="V14" s="770">
        <v>0.1302205425058604</v>
      </c>
      <c r="W14" s="770">
        <v>0.11036693297612783</v>
      </c>
      <c r="X14" s="770">
        <v>9.1852844089365157E-2</v>
      </c>
      <c r="Y14" s="770">
        <v>7.5969956465579108E-2</v>
      </c>
      <c r="Z14" s="770">
        <v>6.3148830311438545E-2</v>
      </c>
      <c r="AA14" s="770">
        <v>5.3006745443237815E-2</v>
      </c>
      <c r="AB14" s="770">
        <v>4.2721140506147441E-2</v>
      </c>
      <c r="AC14" s="770">
        <v>3.3200975936468452E-2</v>
      </c>
      <c r="AD14" s="770">
        <v>2.6503372721618908E-2</v>
      </c>
      <c r="AE14" s="770">
        <v>2.0284169736401472E-2</v>
      </c>
      <c r="AF14" s="770">
        <v>1.5165287279337894E-2</v>
      </c>
      <c r="AG14" s="770">
        <v>1.0620485097832847E-2</v>
      </c>
      <c r="AH14" s="770">
        <v>7.0803233985552317E-3</v>
      </c>
      <c r="AI14" s="770">
        <v>4.1142419748361478E-3</v>
      </c>
      <c r="AJ14" s="770"/>
      <c r="AK14" s="770">
        <f t="shared" si="0"/>
        <v>7.8076020248198752</v>
      </c>
      <c r="AL14" s="770">
        <f t="shared" si="1"/>
        <v>17.761398767843438</v>
      </c>
      <c r="AM14" s="770">
        <f t="shared" si="2"/>
        <v>19.522173254953216</v>
      </c>
      <c r="AN14" s="770">
        <f t="shared" si="3"/>
        <v>17.071916577899287</v>
      </c>
      <c r="AO14" s="770">
        <f t="shared" si="4"/>
        <v>12.095191999610186</v>
      </c>
      <c r="AP14" s="770">
        <f t="shared" si="5"/>
        <v>14.821095513634791</v>
      </c>
      <c r="AQ14" s="770">
        <f t="shared" si="6"/>
        <v>16.191296882402252</v>
      </c>
      <c r="AR14" s="770">
        <f t="shared" si="7"/>
        <v>18.480395710043524</v>
      </c>
      <c r="AS14" s="770">
        <f t="shared" si="8"/>
        <v>20.461768132002614</v>
      </c>
      <c r="AT14" s="770">
        <f t="shared" si="9"/>
        <v>20.851073237927395</v>
      </c>
      <c r="AU14" s="770">
        <f t="shared" si="10"/>
        <v>21.405474913921175</v>
      </c>
      <c r="AV14" s="770">
        <f t="shared" si="11"/>
        <v>17.809547433732739</v>
      </c>
      <c r="AW14" s="770">
        <f t="shared" si="12"/>
        <v>13.33684776123965</v>
      </c>
      <c r="AX14" s="770">
        <f t="shared" si="13"/>
        <v>7.7517839231822663</v>
      </c>
      <c r="AY14" s="770">
        <f t="shared" si="14"/>
        <v>5.8352619183486611</v>
      </c>
      <c r="AZ14" s="770">
        <f t="shared" si="15"/>
        <v>5.7316762442021805</v>
      </c>
      <c r="BA14" s="770"/>
      <c r="BB14" s="770">
        <f t="shared" si="16"/>
        <v>14.808406518485205</v>
      </c>
    </row>
    <row r="15" spans="1:54" x14ac:dyDescent="0.75">
      <c r="A15" s="132" t="s">
        <v>502</v>
      </c>
      <c r="B15" s="132" t="str">
        <f>VLOOKUP(A15,'HCW + Staff Summary'!B:E,4,FALSE)</f>
        <v>High income</v>
      </c>
      <c r="C15" s="770">
        <v>6.6846972091384202</v>
      </c>
      <c r="D15" s="770">
        <v>10.752499156741999</v>
      </c>
      <c r="E15" s="770">
        <v>18.572328576745001</v>
      </c>
      <c r="F15" s="770">
        <v>23.609648462812501</v>
      </c>
      <c r="G15" s="770">
        <v>20.666763597577901</v>
      </c>
      <c r="H15" s="770">
        <v>26.043145771757299</v>
      </c>
      <c r="I15" s="770">
        <v>23.790161236585099</v>
      </c>
      <c r="J15" s="770">
        <v>20.710570320749699</v>
      </c>
      <c r="K15" s="770">
        <v>18.5782924307107</v>
      </c>
      <c r="L15" s="770">
        <v>15.7754997008223</v>
      </c>
      <c r="M15" s="770">
        <v>12.4493212744836</v>
      </c>
      <c r="N15" s="770">
        <v>8.1510435130571608</v>
      </c>
      <c r="O15" s="770">
        <v>5.6853031693805303</v>
      </c>
      <c r="P15" s="770">
        <v>3.99842692362839</v>
      </c>
      <c r="Q15" s="770">
        <v>4.1036167206168797</v>
      </c>
      <c r="R15" s="770">
        <v>4.3190928679511096</v>
      </c>
      <c r="S15" s="770"/>
      <c r="T15" s="770">
        <v>4.9806908956250333E-2</v>
      </c>
      <c r="U15" s="770">
        <v>5.0203671374914036E-2</v>
      </c>
      <c r="V15" s="770">
        <v>5.2161032640321639E-2</v>
      </c>
      <c r="W15" s="770">
        <v>4.5839284769613291E-2</v>
      </c>
      <c r="X15" s="770">
        <v>5.1949426017034332E-2</v>
      </c>
      <c r="Y15" s="770">
        <v>6.5148389144580224E-2</v>
      </c>
      <c r="Z15" s="770">
        <v>7.4670687192509119E-2</v>
      </c>
      <c r="AA15" s="770">
        <v>8.4007829445061633E-2</v>
      </c>
      <c r="AB15" s="770">
        <v>7.8162196476749726E-2</v>
      </c>
      <c r="AC15" s="770">
        <v>6.8084431042691643E-2</v>
      </c>
      <c r="AD15" s="770">
        <v>5.9144051208802832E-2</v>
      </c>
      <c r="AE15" s="770">
        <v>6.1418822409141406E-2</v>
      </c>
      <c r="AF15" s="770">
        <v>7.1999153573506849E-2</v>
      </c>
      <c r="AG15" s="770">
        <v>6.4698725070094693E-2</v>
      </c>
      <c r="AH15" s="770">
        <v>4.9039834946833838E-2</v>
      </c>
      <c r="AI15" s="770">
        <v>2.7588213511082899E-2</v>
      </c>
      <c r="AJ15" s="770"/>
      <c r="AK15" s="770">
        <f t="shared" si="0"/>
        <v>8.3882654901980587</v>
      </c>
      <c r="AL15" s="770">
        <f t="shared" si="1"/>
        <v>13.386096651731691</v>
      </c>
      <c r="AM15" s="770">
        <f t="shared" si="2"/>
        <v>22.253595783862245</v>
      </c>
      <c r="AN15" s="770">
        <f t="shared" si="3"/>
        <v>32.190795217292603</v>
      </c>
      <c r="AO15" s="770">
        <f t="shared" si="4"/>
        <v>24.864042278832425</v>
      </c>
      <c r="AP15" s="770">
        <f t="shared" si="5"/>
        <v>24.984449072448651</v>
      </c>
      <c r="AQ15" s="770">
        <f t="shared" si="6"/>
        <v>19.912567209314922</v>
      </c>
      <c r="AR15" s="770">
        <f t="shared" si="7"/>
        <v>15.408214372368214</v>
      </c>
      <c r="AS15" s="770">
        <f t="shared" si="8"/>
        <v>14.855560990597477</v>
      </c>
      <c r="AT15" s="770">
        <f t="shared" si="9"/>
        <v>14.481559384452403</v>
      </c>
      <c r="AU15" s="770">
        <f t="shared" si="10"/>
        <v>13.15572003866075</v>
      </c>
      <c r="AV15" s="770">
        <f t="shared" si="11"/>
        <v>8.2945292596532898</v>
      </c>
      <c r="AW15" s="770">
        <f t="shared" si="12"/>
        <v>4.9352170192321898</v>
      </c>
      <c r="AX15" s="770">
        <f t="shared" si="13"/>
        <v>3.8625441607393429</v>
      </c>
      <c r="AY15" s="770">
        <f t="shared" si="14"/>
        <v>5.2299532679221192</v>
      </c>
      <c r="AZ15" s="770">
        <f t="shared" si="15"/>
        <v>9.7847330396548209</v>
      </c>
      <c r="BA15" s="770"/>
      <c r="BB15" s="770">
        <f t="shared" si="16"/>
        <v>14.749240202310075</v>
      </c>
    </row>
    <row r="16" spans="1:54" x14ac:dyDescent="0.75">
      <c r="A16" s="132" t="s">
        <v>450</v>
      </c>
      <c r="B16" s="132" t="str">
        <f>VLOOKUP(A16,'HCW + Staff Summary'!B:E,4,FALSE)</f>
        <v>High income</v>
      </c>
      <c r="C16" s="770">
        <v>8.7334868966276709</v>
      </c>
      <c r="D16" s="770">
        <v>15.921840933183701</v>
      </c>
      <c r="E16" s="770">
        <v>22.734850160944202</v>
      </c>
      <c r="F16" s="770">
        <v>23.350649834570401</v>
      </c>
      <c r="G16" s="770">
        <v>15.711129741726999</v>
      </c>
      <c r="H16" s="770">
        <v>17.932683976763201</v>
      </c>
      <c r="I16" s="770">
        <v>19.2921945623435</v>
      </c>
      <c r="J16" s="770">
        <v>20.6365410291811</v>
      </c>
      <c r="K16" s="770">
        <v>20.134149323853499</v>
      </c>
      <c r="L16" s="770">
        <v>15.1934140848851</v>
      </c>
      <c r="M16" s="770">
        <v>11.807742890446001</v>
      </c>
      <c r="N16" s="770">
        <v>7.02113604219028</v>
      </c>
      <c r="O16" s="770">
        <v>4.7963363465070596</v>
      </c>
      <c r="P16" s="770">
        <v>4.1590100796454301</v>
      </c>
      <c r="Q16" s="770">
        <v>2.87716507539752</v>
      </c>
      <c r="R16" s="770">
        <v>1.65634650404119</v>
      </c>
      <c r="S16" s="770"/>
      <c r="T16" s="770">
        <v>5.3487531622696059E-2</v>
      </c>
      <c r="U16" s="770">
        <v>5.7101554029634981E-2</v>
      </c>
      <c r="V16" s="770">
        <v>4.4452475605348755E-2</v>
      </c>
      <c r="W16" s="770">
        <v>4.4813877846042648E-2</v>
      </c>
      <c r="X16" s="770">
        <v>4.9150704734369353E-2</v>
      </c>
      <c r="Y16" s="770">
        <v>6.758221900975786E-2</v>
      </c>
      <c r="Z16" s="770">
        <v>6.8305023491145644E-2</v>
      </c>
      <c r="AA16" s="770">
        <v>5.529454282616552E-2</v>
      </c>
      <c r="AB16" s="770">
        <v>5.8908565233104448E-2</v>
      </c>
      <c r="AC16" s="770">
        <v>7.1557643657390674E-2</v>
      </c>
      <c r="AD16" s="770">
        <v>6.758221900975786E-2</v>
      </c>
      <c r="AE16" s="770">
        <v>8.6375135525840266E-2</v>
      </c>
      <c r="AF16" s="770">
        <v>6.8305023491145644E-2</v>
      </c>
      <c r="AG16" s="770">
        <v>6.1076978677267801E-2</v>
      </c>
      <c r="AH16" s="770">
        <v>3.9754246476328151E-2</v>
      </c>
      <c r="AI16" s="770">
        <v>4.2284062161185403E-2</v>
      </c>
      <c r="AJ16" s="770"/>
      <c r="AK16" s="770">
        <f t="shared" si="0"/>
        <v>10.205049933686134</v>
      </c>
      <c r="AL16" s="770">
        <f t="shared" si="1"/>
        <v>17.427109913813016</v>
      </c>
      <c r="AM16" s="770">
        <f t="shared" si="2"/>
        <v>31.965106908197463</v>
      </c>
      <c r="AN16" s="770">
        <f t="shared" si="3"/>
        <v>32.5661532723066</v>
      </c>
      <c r="AO16" s="770">
        <f t="shared" si="4"/>
        <v>19.978261027278773</v>
      </c>
      <c r="AP16" s="770">
        <f t="shared" si="5"/>
        <v>16.584136552040032</v>
      </c>
      <c r="AQ16" s="770">
        <f t="shared" si="6"/>
        <v>17.652613212303063</v>
      </c>
      <c r="AR16" s="770">
        <f t="shared" si="7"/>
        <v>23.325698132248409</v>
      </c>
      <c r="AS16" s="770">
        <f t="shared" si="8"/>
        <v>21.361653059471866</v>
      </c>
      <c r="AT16" s="770">
        <f t="shared" si="9"/>
        <v>13.270257819721298</v>
      </c>
      <c r="AU16" s="770">
        <f t="shared" si="10"/>
        <v>10.91979431078345</v>
      </c>
      <c r="AV16" s="770">
        <f t="shared" si="11"/>
        <v>5.0804088464279555</v>
      </c>
      <c r="AW16" s="770">
        <f t="shared" si="12"/>
        <v>4.3887112006564264</v>
      </c>
      <c r="AX16" s="770">
        <f t="shared" si="13"/>
        <v>4.2559100925957489</v>
      </c>
      <c r="AY16" s="770">
        <f t="shared" si="14"/>
        <v>4.5233612293323517</v>
      </c>
      <c r="AZ16" s="770">
        <f t="shared" si="15"/>
        <v>2.4482429362617375</v>
      </c>
      <c r="BA16" s="770"/>
      <c r="BB16" s="770">
        <f t="shared" si="16"/>
        <v>14.747029277945272</v>
      </c>
    </row>
    <row r="17" spans="1:54" x14ac:dyDescent="0.75">
      <c r="A17" s="132" t="s">
        <v>478</v>
      </c>
      <c r="B17" s="132" t="str">
        <f>VLOOKUP(A17,'HCW + Staff Summary'!B:E,4,FALSE)</f>
        <v>High income</v>
      </c>
      <c r="C17" s="770">
        <v>6.9504164375480197</v>
      </c>
      <c r="D17" s="770">
        <v>18.912426083919399</v>
      </c>
      <c r="E17" s="770">
        <v>22.521289844586601</v>
      </c>
      <c r="F17" s="770">
        <v>19.314338653783501</v>
      </c>
      <c r="G17" s="770">
        <v>14.550486639420299</v>
      </c>
      <c r="H17" s="770">
        <v>15.4181482202964</v>
      </c>
      <c r="I17" s="770">
        <v>20.212491799834702</v>
      </c>
      <c r="J17" s="770">
        <v>25.3866027401954</v>
      </c>
      <c r="K17" s="770">
        <v>22.486784117910901</v>
      </c>
      <c r="L17" s="770">
        <v>22.041626453387</v>
      </c>
      <c r="M17" s="770">
        <v>14.8832549242771</v>
      </c>
      <c r="N17" s="770">
        <v>8.2627317374104603</v>
      </c>
      <c r="O17" s="770">
        <v>5.6901712003404503</v>
      </c>
      <c r="P17" s="770">
        <v>3.9603718571831199</v>
      </c>
      <c r="Q17" s="770">
        <v>4.0819145043232901</v>
      </c>
      <c r="R17" s="770">
        <v>1.4931856683170801</v>
      </c>
      <c r="S17" s="770"/>
      <c r="T17" s="770">
        <v>5.00865551067513E-2</v>
      </c>
      <c r="U17" s="770">
        <v>5.2163877668782457E-2</v>
      </c>
      <c r="V17" s="770">
        <v>5.4702827466820543E-2</v>
      </c>
      <c r="W17" s="770">
        <v>5.9319099826889786E-2</v>
      </c>
      <c r="X17" s="770">
        <v>5.954991344489325E-2</v>
      </c>
      <c r="Y17" s="770">
        <v>6.2839007501442584E-2</v>
      </c>
      <c r="Z17" s="770">
        <v>6.2896710905943454E-2</v>
      </c>
      <c r="AA17" s="770">
        <v>5.954991344489325E-2</v>
      </c>
      <c r="AB17" s="770">
        <v>5.8684362377380263E-2</v>
      </c>
      <c r="AC17" s="770">
        <v>6.6935949221004043E-2</v>
      </c>
      <c r="AD17" s="770">
        <v>7.4321984997114829E-2</v>
      </c>
      <c r="AE17" s="770">
        <v>7.2994806693594927E-2</v>
      </c>
      <c r="AF17" s="770">
        <v>6.5666474321984997E-2</v>
      </c>
      <c r="AG17" s="770">
        <v>5.86266589728794E-2</v>
      </c>
      <c r="AH17" s="770">
        <v>5.5568378534333523E-2</v>
      </c>
      <c r="AI17" s="770">
        <v>3.7276399307559147E-2</v>
      </c>
      <c r="AJ17" s="770"/>
      <c r="AK17" s="770">
        <f t="shared" si="0"/>
        <v>8.6730066865428554</v>
      </c>
      <c r="AL17" s="770">
        <f t="shared" si="1"/>
        <v>22.659868918302212</v>
      </c>
      <c r="AM17" s="770">
        <f t="shared" si="2"/>
        <v>25.731405129660192</v>
      </c>
      <c r="AN17" s="770">
        <f t="shared" si="3"/>
        <v>20.350041881691883</v>
      </c>
      <c r="AO17" s="770">
        <f t="shared" si="4"/>
        <v>15.271313799730727</v>
      </c>
      <c r="AP17" s="770">
        <f t="shared" si="5"/>
        <v>15.334969505150173</v>
      </c>
      <c r="AQ17" s="770">
        <f t="shared" si="6"/>
        <v>20.085004752932072</v>
      </c>
      <c r="AR17" s="770">
        <f t="shared" si="7"/>
        <v>26.644248152106726</v>
      </c>
      <c r="AS17" s="770">
        <f t="shared" si="8"/>
        <v>23.948867303551864</v>
      </c>
      <c r="AT17" s="770">
        <f t="shared" si="9"/>
        <v>20.580893665797234</v>
      </c>
      <c r="AU17" s="770">
        <f t="shared" si="10"/>
        <v>12.515858299578909</v>
      </c>
      <c r="AV17" s="770">
        <f t="shared" si="11"/>
        <v>7.074759931290675</v>
      </c>
      <c r="AW17" s="770">
        <f t="shared" si="12"/>
        <v>5.4157879449637525</v>
      </c>
      <c r="AX17" s="770">
        <f t="shared" si="13"/>
        <v>4.2220253620191599</v>
      </c>
      <c r="AY17" s="770">
        <f t="shared" si="14"/>
        <v>4.5910941303168888</v>
      </c>
      <c r="AZ17" s="770">
        <f t="shared" si="15"/>
        <v>2.5035707848234323</v>
      </c>
      <c r="BA17" s="770"/>
      <c r="BB17" s="770">
        <f t="shared" si="16"/>
        <v>14.725169765528674</v>
      </c>
    </row>
    <row r="18" spans="1:54" x14ac:dyDescent="0.75">
      <c r="A18" s="132" t="s">
        <v>207</v>
      </c>
      <c r="B18" s="132" t="str">
        <f>VLOOKUP(A18,'HCW + Staff Summary'!B:E,4,FALSE)</f>
        <v>Low income</v>
      </c>
      <c r="C18" s="770">
        <v>21.5180340832353</v>
      </c>
      <c r="D18" s="770">
        <v>44.218040884075101</v>
      </c>
      <c r="E18" s="770">
        <v>33.9611326731982</v>
      </c>
      <c r="F18" s="770">
        <v>23.195754143657201</v>
      </c>
      <c r="G18" s="770">
        <v>17.878389018903899</v>
      </c>
      <c r="H18" s="770">
        <v>18.1840416411167</v>
      </c>
      <c r="I18" s="770">
        <v>17.370604120684</v>
      </c>
      <c r="J18" s="770">
        <v>16.192016774669799</v>
      </c>
      <c r="K18" s="770">
        <v>14.3457701705104</v>
      </c>
      <c r="L18" s="770">
        <v>11.5636876032416</v>
      </c>
      <c r="M18" s="770">
        <v>9.1117728784116601</v>
      </c>
      <c r="N18" s="770">
        <v>6.0850711939826096</v>
      </c>
      <c r="O18" s="770">
        <v>3.30840639772889</v>
      </c>
      <c r="P18" s="770">
        <v>1.0372172810025699</v>
      </c>
      <c r="Q18" s="770">
        <v>0.55937607524355604</v>
      </c>
      <c r="R18" s="770">
        <v>0.33075005877347802</v>
      </c>
      <c r="S18" s="770"/>
      <c r="T18" s="770">
        <v>0.16499760038393857</v>
      </c>
      <c r="U18" s="770">
        <v>0.14592865141577346</v>
      </c>
      <c r="V18" s="770">
        <v>0.12970724684050552</v>
      </c>
      <c r="W18" s="770">
        <v>0.11329387298032315</v>
      </c>
      <c r="X18" s="770">
        <v>9.3169092945128776E-2</v>
      </c>
      <c r="Y18" s="770">
        <v>7.621180611102224E-2</v>
      </c>
      <c r="Z18" s="770">
        <v>6.2773956167013284E-2</v>
      </c>
      <c r="AA18" s="770">
        <v>5.2055671092625183E-2</v>
      </c>
      <c r="AB18" s="770">
        <v>4.1209406494960805E-2</v>
      </c>
      <c r="AC18" s="770">
        <v>3.205887058070709E-2</v>
      </c>
      <c r="AD18" s="770">
        <v>2.5019996800511916E-2</v>
      </c>
      <c r="AE18" s="770">
        <v>1.9772836346184611E-2</v>
      </c>
      <c r="AF18" s="770">
        <v>1.5197568389057751E-2</v>
      </c>
      <c r="AG18" s="770">
        <v>1.1806111022236443E-2</v>
      </c>
      <c r="AH18" s="770">
        <v>8.3826587745960638E-3</v>
      </c>
      <c r="AI18" s="770">
        <v>5.055191169412894E-3</v>
      </c>
      <c r="AJ18" s="770"/>
      <c r="AK18" s="770">
        <f t="shared" si="0"/>
        <v>8.1508890254934947</v>
      </c>
      <c r="AL18" s="770">
        <f t="shared" si="1"/>
        <v>18.938210751915253</v>
      </c>
      <c r="AM18" s="770">
        <f t="shared" si="2"/>
        <v>16.364319217143713</v>
      </c>
      <c r="AN18" s="770">
        <f t="shared" si="3"/>
        <v>12.796231568765988</v>
      </c>
      <c r="AO18" s="770">
        <f t="shared" si="4"/>
        <v>11.993240229778532</v>
      </c>
      <c r="AP18" s="770">
        <f t="shared" si="5"/>
        <v>14.912421848580562</v>
      </c>
      <c r="AQ18" s="770">
        <f t="shared" si="6"/>
        <v>17.29479586493305</v>
      </c>
      <c r="AR18" s="770">
        <f t="shared" si="7"/>
        <v>19.440745401517539</v>
      </c>
      <c r="AS18" s="770">
        <f t="shared" si="8"/>
        <v>21.757426566348144</v>
      </c>
      <c r="AT18" s="770">
        <f t="shared" si="9"/>
        <v>22.543853295865532</v>
      </c>
      <c r="AU18" s="770">
        <f t="shared" si="10"/>
        <v>22.761226128097544</v>
      </c>
      <c r="AV18" s="770">
        <f t="shared" si="11"/>
        <v>19.234314337371202</v>
      </c>
      <c r="AW18" s="770">
        <f t="shared" si="12"/>
        <v>13.60582131066006</v>
      </c>
      <c r="AX18" s="770">
        <f t="shared" si="13"/>
        <v>5.4908919576109962</v>
      </c>
      <c r="AY18" s="770">
        <f t="shared" si="14"/>
        <v>4.1706343587159695</v>
      </c>
      <c r="AZ18" s="770">
        <f t="shared" si="15"/>
        <v>4.0892377717425061</v>
      </c>
      <c r="BA18" s="770"/>
      <c r="BB18" s="770">
        <f t="shared" si="16"/>
        <v>14.596516227158755</v>
      </c>
    </row>
    <row r="19" spans="1:54" x14ac:dyDescent="0.75">
      <c r="A19" s="132" t="s">
        <v>209</v>
      </c>
      <c r="B19" s="132" t="str">
        <f>VLOOKUP(A19,'HCW + Staff Summary'!B:E,4,FALSE)</f>
        <v>Low income</v>
      </c>
      <c r="C19" s="770">
        <v>22.135090828226101</v>
      </c>
      <c r="D19" s="770">
        <v>49.364568580402597</v>
      </c>
      <c r="E19" s="770">
        <v>45.4470318549699</v>
      </c>
      <c r="F19" s="770">
        <v>24.455361097984898</v>
      </c>
      <c r="G19" s="770">
        <v>14.784176148336901</v>
      </c>
      <c r="H19" s="770">
        <v>15.1222978468757</v>
      </c>
      <c r="I19" s="770">
        <v>14.62782539292</v>
      </c>
      <c r="J19" s="770">
        <v>14.211258585786201</v>
      </c>
      <c r="K19" s="770">
        <v>12.3532877209209</v>
      </c>
      <c r="L19" s="770">
        <v>9.5799669622152894</v>
      </c>
      <c r="M19" s="770">
        <v>7.4410678234700001</v>
      </c>
      <c r="N19" s="770">
        <v>5.1801913054354598</v>
      </c>
      <c r="O19" s="770">
        <v>3.0732018330413</v>
      </c>
      <c r="P19" s="770">
        <v>1.19296296750136</v>
      </c>
      <c r="Q19" s="770">
        <v>0.50853933396065099</v>
      </c>
      <c r="R19" s="770">
        <v>0.32121089611185599</v>
      </c>
      <c r="S19" s="770"/>
      <c r="T19" s="770">
        <v>0.19775271615648365</v>
      </c>
      <c r="U19" s="770">
        <v>0.16404345850373858</v>
      </c>
      <c r="V19" s="770">
        <v>0.13487834097575083</v>
      </c>
      <c r="W19" s="770">
        <v>0.10885281117032264</v>
      </c>
      <c r="X19" s="770">
        <v>8.6214731276077164E-2</v>
      </c>
      <c r="Y19" s="770">
        <v>6.7377204940719623E-2</v>
      </c>
      <c r="Z19" s="770">
        <v>5.2298921799479488E-2</v>
      </c>
      <c r="AA19" s="770">
        <v>4.1021192217127279E-2</v>
      </c>
      <c r="AB19" s="770">
        <v>3.4659396042467053E-2</v>
      </c>
      <c r="AC19" s="770">
        <v>2.8504151691659436E-2</v>
      </c>
      <c r="AD19" s="770">
        <v>2.321642500103276E-2</v>
      </c>
      <c r="AE19" s="770">
        <v>2.003552691370265E-2</v>
      </c>
      <c r="AF19" s="770">
        <v>1.516090387078118E-2</v>
      </c>
      <c r="AG19" s="770">
        <v>1.1484281406204817E-2</v>
      </c>
      <c r="AH19" s="770">
        <v>7.8489693063989747E-3</v>
      </c>
      <c r="AI19" s="770">
        <v>4.4202090304457384E-3</v>
      </c>
      <c r="AJ19" s="770"/>
      <c r="AK19" s="770">
        <f t="shared" si="0"/>
        <v>6.9958238938644932</v>
      </c>
      <c r="AL19" s="770">
        <f t="shared" si="1"/>
        <v>18.807732807003994</v>
      </c>
      <c r="AM19" s="770">
        <f t="shared" si="2"/>
        <v>21.059270675981168</v>
      </c>
      <c r="AN19" s="770">
        <f t="shared" si="3"/>
        <v>14.041530505192609</v>
      </c>
      <c r="AO19" s="770">
        <f t="shared" si="4"/>
        <v>10.717553666231174</v>
      </c>
      <c r="AP19" s="770">
        <f t="shared" si="5"/>
        <v>14.02764653507511</v>
      </c>
      <c r="AQ19" s="770">
        <f t="shared" si="6"/>
        <v>17.481031264139734</v>
      </c>
      <c r="AR19" s="770">
        <f t="shared" si="7"/>
        <v>21.652312222188225</v>
      </c>
      <c r="AS19" s="770">
        <f t="shared" si="8"/>
        <v>22.276224363850734</v>
      </c>
      <c r="AT19" s="770">
        <f t="shared" si="9"/>
        <v>21.005639515792165</v>
      </c>
      <c r="AU19" s="770">
        <f t="shared" si="10"/>
        <v>20.031798131977123</v>
      </c>
      <c r="AV19" s="770">
        <f t="shared" si="11"/>
        <v>16.159393161169607</v>
      </c>
      <c r="AW19" s="770">
        <f t="shared" si="12"/>
        <v>12.669107079773628</v>
      </c>
      <c r="AX19" s="770">
        <f t="shared" si="13"/>
        <v>6.4923683800147076</v>
      </c>
      <c r="AY19" s="770">
        <f t="shared" si="14"/>
        <v>4.0494117293373293</v>
      </c>
      <c r="AZ19" s="770">
        <f t="shared" si="15"/>
        <v>4.5417944872544966</v>
      </c>
      <c r="BA19" s="770"/>
      <c r="BB19" s="770">
        <f t="shared" si="16"/>
        <v>14.500539901177893</v>
      </c>
    </row>
    <row r="20" spans="1:54" x14ac:dyDescent="0.75">
      <c r="A20" s="132" t="s">
        <v>214</v>
      </c>
      <c r="B20" s="132" t="str">
        <f>VLOOKUP(A20,'HCW + Staff Summary'!B:E,4,FALSE)</f>
        <v>Low income</v>
      </c>
      <c r="C20" s="770">
        <v>19.1818920490044</v>
      </c>
      <c r="D20" s="770">
        <v>44.220435062955403</v>
      </c>
      <c r="E20" s="770">
        <v>34.480927384844897</v>
      </c>
      <c r="F20" s="770">
        <v>28.295921992857199</v>
      </c>
      <c r="G20" s="770">
        <v>16.462078617903501</v>
      </c>
      <c r="H20" s="770">
        <v>19.691453899648799</v>
      </c>
      <c r="I20" s="770">
        <v>17.6262201871846</v>
      </c>
      <c r="J20" s="770">
        <v>17.687070220902299</v>
      </c>
      <c r="K20" s="770">
        <v>15.2376589792977</v>
      </c>
      <c r="L20" s="770">
        <v>12.2010811494506</v>
      </c>
      <c r="M20" s="770">
        <v>10.014360684996999</v>
      </c>
      <c r="N20" s="770">
        <v>6.2350181379933503</v>
      </c>
      <c r="O20" s="770">
        <v>3.0727062875821498</v>
      </c>
      <c r="P20" s="770">
        <v>1.42465273679525</v>
      </c>
      <c r="Q20" s="770">
        <v>0.71079238578125004</v>
      </c>
      <c r="R20" s="770">
        <v>0.427389293305241</v>
      </c>
      <c r="S20" s="770"/>
      <c r="T20" s="770">
        <v>0.14529271656011031</v>
      </c>
      <c r="U20" s="770">
        <v>0.13375955873135265</v>
      </c>
      <c r="V20" s="770">
        <v>0.12435752789269149</v>
      </c>
      <c r="W20" s="770">
        <v>0.10969035978438009</v>
      </c>
      <c r="X20" s="770">
        <v>9.4521750031340099E-2</v>
      </c>
      <c r="Y20" s="770">
        <v>8.1734988090760935E-2</v>
      </c>
      <c r="Z20" s="770">
        <v>6.9324307383728218E-2</v>
      </c>
      <c r="AA20" s="770">
        <v>5.8041870377334839E-2</v>
      </c>
      <c r="AB20" s="770">
        <v>4.6759433370941454E-2</v>
      </c>
      <c r="AC20" s="770">
        <v>3.7482762943462457E-2</v>
      </c>
      <c r="AD20" s="770">
        <v>2.9585057038987089E-2</v>
      </c>
      <c r="AE20" s="770">
        <v>2.2815594835151061E-2</v>
      </c>
      <c r="AF20" s="770">
        <v>1.6923655509590071E-2</v>
      </c>
      <c r="AG20" s="770">
        <v>1.228532029585057E-2</v>
      </c>
      <c r="AH20" s="770">
        <v>8.5245079603861098E-3</v>
      </c>
      <c r="AI20" s="770">
        <v>5.1397768584680956E-3</v>
      </c>
      <c r="AJ20" s="770"/>
      <c r="AK20" s="770">
        <f t="shared" si="0"/>
        <v>8.2513995294924563</v>
      </c>
      <c r="AL20" s="770">
        <f t="shared" si="1"/>
        <v>20.662278028186225</v>
      </c>
      <c r="AM20" s="770">
        <f t="shared" si="2"/>
        <v>17.329533628333401</v>
      </c>
      <c r="AN20" s="770">
        <f t="shared" si="3"/>
        <v>16.12261212407299</v>
      </c>
      <c r="AO20" s="770">
        <f t="shared" si="4"/>
        <v>10.885112826178402</v>
      </c>
      <c r="AP20" s="770">
        <f t="shared" si="5"/>
        <v>15.057393381662047</v>
      </c>
      <c r="AQ20" s="770">
        <f t="shared" si="6"/>
        <v>15.891089334671289</v>
      </c>
      <c r="AR20" s="770">
        <f t="shared" si="7"/>
        <v>19.045593838031539</v>
      </c>
      <c r="AS20" s="770">
        <f t="shared" si="8"/>
        <v>20.367092104198687</v>
      </c>
      <c r="AT20" s="770">
        <f t="shared" si="9"/>
        <v>20.344486690879478</v>
      </c>
      <c r="AU20" s="770">
        <f t="shared" si="10"/>
        <v>21.155867368702612</v>
      </c>
      <c r="AV20" s="770">
        <f t="shared" si="11"/>
        <v>17.079924342985215</v>
      </c>
      <c r="AW20" s="770">
        <f t="shared" si="12"/>
        <v>11.347675025945746</v>
      </c>
      <c r="AX20" s="770">
        <f t="shared" si="13"/>
        <v>7.2477390825355288</v>
      </c>
      <c r="AY20" s="770">
        <f t="shared" si="14"/>
        <v>5.2113886593538892</v>
      </c>
      <c r="AZ20" s="770">
        <f t="shared" si="15"/>
        <v>5.1970798669144935</v>
      </c>
      <c r="BA20" s="770"/>
      <c r="BB20" s="770">
        <f t="shared" si="16"/>
        <v>14.449766614509</v>
      </c>
    </row>
    <row r="21" spans="1:54" x14ac:dyDescent="0.75">
      <c r="A21" s="132" t="s">
        <v>413</v>
      </c>
      <c r="B21" s="132" t="str">
        <f>VLOOKUP(A21,'HCW + Staff Summary'!B:E,4,FALSE)</f>
        <v>High income</v>
      </c>
      <c r="C21" s="770">
        <v>6.1155179472815098</v>
      </c>
      <c r="D21" s="770">
        <v>12.8526491643626</v>
      </c>
      <c r="E21" s="770">
        <v>18.056993259937599</v>
      </c>
      <c r="F21" s="770">
        <v>25.242676768952801</v>
      </c>
      <c r="G21" s="770">
        <v>15.0523853589811</v>
      </c>
      <c r="H21" s="770">
        <v>17.6506764906939</v>
      </c>
      <c r="I21" s="770">
        <v>18.398090985204899</v>
      </c>
      <c r="J21" s="770">
        <v>18.734950354215499</v>
      </c>
      <c r="K21" s="770">
        <v>17.991572873395501</v>
      </c>
      <c r="L21" s="770">
        <v>15.821357835508801</v>
      </c>
      <c r="M21" s="770">
        <v>12.8047135595298</v>
      </c>
      <c r="N21" s="770">
        <v>8.2087087880489698</v>
      </c>
      <c r="O21" s="770">
        <v>5.1001813796292303</v>
      </c>
      <c r="P21" s="770">
        <v>3.21133943148326</v>
      </c>
      <c r="Q21" s="770">
        <v>2.18497446550567</v>
      </c>
      <c r="R21" s="770">
        <v>1.5859122564892001</v>
      </c>
      <c r="S21" s="770"/>
      <c r="T21" s="770">
        <v>4.8387096774193547E-2</v>
      </c>
      <c r="U21" s="770">
        <v>4.0190375462718142E-2</v>
      </c>
      <c r="V21" s="770">
        <v>3.807509254362771E-2</v>
      </c>
      <c r="W21" s="770">
        <v>3.556319407720783E-2</v>
      </c>
      <c r="X21" s="770">
        <v>4.9973558963511369E-2</v>
      </c>
      <c r="Y21" s="770">
        <v>6.5705975674246436E-2</v>
      </c>
      <c r="Z21" s="770">
        <v>7.1523003701745108E-2</v>
      </c>
      <c r="AA21" s="770">
        <v>7.8133262823902691E-2</v>
      </c>
      <c r="AB21" s="770">
        <v>7.5489159175039663E-2</v>
      </c>
      <c r="AC21" s="770">
        <v>7.5092543627710201E-2</v>
      </c>
      <c r="AD21" s="770">
        <v>7.5885774722369112E-2</v>
      </c>
      <c r="AE21" s="770">
        <v>8.5272342675832891E-2</v>
      </c>
      <c r="AF21" s="770">
        <v>7.8662083553675308E-2</v>
      </c>
      <c r="AG21" s="770">
        <v>6.1343204653622425E-2</v>
      </c>
      <c r="AH21" s="770">
        <v>4.6007403490216814E-2</v>
      </c>
      <c r="AI21" s="770">
        <v>2.4193548387096774E-2</v>
      </c>
      <c r="AJ21" s="770"/>
      <c r="AK21" s="770">
        <f t="shared" si="0"/>
        <v>7.8992106819052834</v>
      </c>
      <c r="AL21" s="770">
        <f t="shared" si="1"/>
        <v>19.987137804119797</v>
      </c>
      <c r="AM21" s="770">
        <f t="shared" si="2"/>
        <v>29.640429040401042</v>
      </c>
      <c r="AN21" s="770">
        <f t="shared" si="3"/>
        <v>44.362362239860353</v>
      </c>
      <c r="AO21" s="770">
        <f t="shared" si="4"/>
        <v>18.825436980048451</v>
      </c>
      <c r="AP21" s="770">
        <f t="shared" si="5"/>
        <v>16.789451329930664</v>
      </c>
      <c r="AQ21" s="770">
        <f t="shared" si="6"/>
        <v>16.077074885869902</v>
      </c>
      <c r="AR21" s="770">
        <f t="shared" si="7"/>
        <v>14.98637526219184</v>
      </c>
      <c r="AS21" s="770">
        <f t="shared" si="8"/>
        <v>14.895825001572195</v>
      </c>
      <c r="AT21" s="770">
        <f t="shared" si="9"/>
        <v>13.168216402705609</v>
      </c>
      <c r="AU21" s="770">
        <f t="shared" si="10"/>
        <v>10.546042395936782</v>
      </c>
      <c r="AV21" s="770">
        <f t="shared" si="11"/>
        <v>6.0165381078296907</v>
      </c>
      <c r="AW21" s="770">
        <f t="shared" si="12"/>
        <v>4.0522869701171738</v>
      </c>
      <c r="AX21" s="770">
        <f t="shared" si="13"/>
        <v>3.2718980953312737</v>
      </c>
      <c r="AY21" s="770">
        <f t="shared" si="14"/>
        <v>2.9682375820913953</v>
      </c>
      <c r="AZ21" s="770">
        <f t="shared" si="15"/>
        <v>4.096939995930434</v>
      </c>
      <c r="BA21" s="770"/>
      <c r="BB21" s="770">
        <f t="shared" si="16"/>
        <v>14.223966423490118</v>
      </c>
    </row>
    <row r="22" spans="1:54" x14ac:dyDescent="0.75">
      <c r="A22" s="132" t="s">
        <v>443</v>
      </c>
      <c r="B22" s="132" t="str">
        <f>VLOOKUP(A22,'HCW + Staff Summary'!B:E,4,FALSE)</f>
        <v>High income</v>
      </c>
      <c r="C22" s="770">
        <v>10.1483236039335</v>
      </c>
      <c r="D22" s="770">
        <v>13.734361141290099</v>
      </c>
      <c r="E22" s="770">
        <v>14.981519945200199</v>
      </c>
      <c r="F22" s="770">
        <v>21.572544650093</v>
      </c>
      <c r="G22" s="770">
        <v>17.596746908872799</v>
      </c>
      <c r="H22" s="770">
        <v>19.191932619788499</v>
      </c>
      <c r="I22" s="770">
        <v>18.698759168138</v>
      </c>
      <c r="J22" s="770">
        <v>19.476412949760601</v>
      </c>
      <c r="K22" s="770">
        <v>18.695870840420799</v>
      </c>
      <c r="L22" s="770">
        <v>16.013829896925198</v>
      </c>
      <c r="M22" s="770">
        <v>13.336349164725799</v>
      </c>
      <c r="N22" s="770">
        <v>7.8426428952852998</v>
      </c>
      <c r="O22" s="770">
        <v>5.1027969666772899</v>
      </c>
      <c r="P22" s="770">
        <v>4.49310802615926</v>
      </c>
      <c r="Q22" s="770">
        <v>3.5642321232744001</v>
      </c>
      <c r="R22" s="770">
        <v>2.0540355355567699</v>
      </c>
      <c r="S22" s="770"/>
      <c r="T22" s="770">
        <v>6.0367454068241469E-2</v>
      </c>
      <c r="U22" s="770">
        <v>4.9343832020997375E-2</v>
      </c>
      <c r="V22" s="770">
        <v>5.4068241469816272E-2</v>
      </c>
      <c r="W22" s="770">
        <v>4.5669291338582677E-2</v>
      </c>
      <c r="X22" s="770">
        <v>3.7270341207349081E-2</v>
      </c>
      <c r="Y22" s="770">
        <v>6.2992125984251968E-2</v>
      </c>
      <c r="Z22" s="770">
        <v>7.5065616797900261E-2</v>
      </c>
      <c r="AA22" s="770">
        <v>6.4041994750656167E-2</v>
      </c>
      <c r="AB22" s="770">
        <v>6.4041994750656167E-2</v>
      </c>
      <c r="AC22" s="770">
        <v>7.0341207349081364E-2</v>
      </c>
      <c r="AD22" s="770">
        <v>6.2992125984251968E-2</v>
      </c>
      <c r="AE22" s="770">
        <v>7.6640419947506561E-2</v>
      </c>
      <c r="AF22" s="770">
        <v>6.8766404199475065E-2</v>
      </c>
      <c r="AG22" s="770">
        <v>6.3517060367454067E-2</v>
      </c>
      <c r="AH22" s="770">
        <v>3.937007874015748E-2</v>
      </c>
      <c r="AI22" s="770">
        <v>4.6719160104986876E-2</v>
      </c>
      <c r="AJ22" s="770"/>
      <c r="AK22" s="770">
        <f t="shared" si="0"/>
        <v>10.506824166028977</v>
      </c>
      <c r="AL22" s="770">
        <f t="shared" si="1"/>
        <v>17.396248653030344</v>
      </c>
      <c r="AM22" s="770">
        <f t="shared" si="2"/>
        <v>17.317837072576687</v>
      </c>
      <c r="AN22" s="770">
        <f t="shared" si="3"/>
        <v>29.522771234502276</v>
      </c>
      <c r="AO22" s="770">
        <f t="shared" si="4"/>
        <v>29.50862927940377</v>
      </c>
      <c r="AP22" s="770">
        <f t="shared" si="5"/>
        <v>19.041995646196401</v>
      </c>
      <c r="AQ22" s="770">
        <f t="shared" si="6"/>
        <v>15.568678415779235</v>
      </c>
      <c r="AR22" s="770">
        <f t="shared" si="7"/>
        <v>19.00746243303993</v>
      </c>
      <c r="AS22" s="770">
        <f t="shared" si="8"/>
        <v>18.245714114242634</v>
      </c>
      <c r="AT22" s="770">
        <f t="shared" si="9"/>
        <v>14.228706135094452</v>
      </c>
      <c r="AU22" s="770">
        <f t="shared" si="10"/>
        <v>13.232158936876379</v>
      </c>
      <c r="AV22" s="770">
        <f t="shared" si="11"/>
        <v>6.3956484227390824</v>
      </c>
      <c r="AW22" s="770">
        <f t="shared" si="12"/>
        <v>4.6377997240077464</v>
      </c>
      <c r="AX22" s="770">
        <f t="shared" si="13"/>
        <v>4.4211625980544369</v>
      </c>
      <c r="AY22" s="770">
        <f t="shared" si="14"/>
        <v>5.6582184956981099</v>
      </c>
      <c r="AZ22" s="770">
        <f t="shared" si="15"/>
        <v>2.7478495050812124</v>
      </c>
      <c r="BA22" s="770"/>
      <c r="BB22" s="770">
        <f t="shared" si="16"/>
        <v>14.214856552021981</v>
      </c>
    </row>
    <row r="23" spans="1:54" x14ac:dyDescent="0.75">
      <c r="A23" s="132" t="s">
        <v>218</v>
      </c>
      <c r="B23" s="132" t="str">
        <f>VLOOKUP(A23,'HCW + Staff Summary'!B:E,4,FALSE)</f>
        <v>Lower middle income</v>
      </c>
      <c r="C23" s="770">
        <v>16.2449730536737</v>
      </c>
      <c r="D23" s="770">
        <v>34.619876407883197</v>
      </c>
      <c r="E23" s="770">
        <v>38.292091744362097</v>
      </c>
      <c r="F23" s="770">
        <v>36.379728975117402</v>
      </c>
      <c r="G23" s="770">
        <v>21.5597215779772</v>
      </c>
      <c r="H23" s="770">
        <v>19.316845790021802</v>
      </c>
      <c r="I23" s="770">
        <v>17.039655728870699</v>
      </c>
      <c r="J23" s="770">
        <v>15.505658891827901</v>
      </c>
      <c r="K23" s="770">
        <v>14.1304548353064</v>
      </c>
      <c r="L23" s="770">
        <v>10.871311423533101</v>
      </c>
      <c r="M23" s="770">
        <v>8.6822546082304797</v>
      </c>
      <c r="N23" s="770">
        <v>5.3573004843296497</v>
      </c>
      <c r="O23" s="770">
        <v>2.7422633273693999</v>
      </c>
      <c r="P23" s="770">
        <v>1.14547017194193</v>
      </c>
      <c r="Q23" s="770">
        <v>0.72690605028086197</v>
      </c>
      <c r="R23" s="770">
        <v>0.60438651996463999</v>
      </c>
      <c r="S23" s="770"/>
      <c r="T23" s="770">
        <v>0.14115589046625848</v>
      </c>
      <c r="U23" s="770">
        <v>0.14875866245038014</v>
      </c>
      <c r="V23" s="770">
        <v>0.12924712373006794</v>
      </c>
      <c r="W23" s="770">
        <v>0.11027383435376438</v>
      </c>
      <c r="X23" s="770">
        <v>9.2713449505483408E-2</v>
      </c>
      <c r="Y23" s="770">
        <v>7.4412971809190612E-2</v>
      </c>
      <c r="Z23" s="770">
        <v>6.694476216107112E-2</v>
      </c>
      <c r="AA23" s="770">
        <v>5.8736459664939782E-2</v>
      </c>
      <c r="AB23" s="770">
        <v>4.9653501984794457E-2</v>
      </c>
      <c r="AC23" s="770">
        <v>3.5053488528560856E-2</v>
      </c>
      <c r="AD23" s="770">
        <v>2.6172374352418759E-2</v>
      </c>
      <c r="AE23" s="770">
        <v>2.0789880912332637E-2</v>
      </c>
      <c r="AF23" s="770">
        <v>1.614748032025836E-2</v>
      </c>
      <c r="AG23" s="770">
        <v>1.2447016080199153E-2</v>
      </c>
      <c r="AH23" s="770">
        <v>7.6700531521227211E-3</v>
      </c>
      <c r="AI23" s="770">
        <v>5.7861804480925788E-3</v>
      </c>
      <c r="AJ23" s="770"/>
      <c r="AK23" s="770">
        <f t="shared" si="0"/>
        <v>7.1928334871530097</v>
      </c>
      <c r="AL23" s="770">
        <f t="shared" si="1"/>
        <v>14.545319511826323</v>
      </c>
      <c r="AM23" s="770">
        <f t="shared" si="2"/>
        <v>18.516897436115755</v>
      </c>
      <c r="AN23" s="770">
        <f t="shared" si="3"/>
        <v>20.618971619782258</v>
      </c>
      <c r="AO23" s="770">
        <f t="shared" si="4"/>
        <v>14.533841700538604</v>
      </c>
      <c r="AP23" s="770">
        <f t="shared" si="5"/>
        <v>16.224360249609745</v>
      </c>
      <c r="AQ23" s="770">
        <f t="shared" si="6"/>
        <v>15.908316777525451</v>
      </c>
      <c r="AR23" s="770">
        <f t="shared" si="7"/>
        <v>16.499184429355534</v>
      </c>
      <c r="AS23" s="770">
        <f t="shared" si="8"/>
        <v>17.786327084786503</v>
      </c>
      <c r="AT23" s="770">
        <f t="shared" si="9"/>
        <v>19.383433503835469</v>
      </c>
      <c r="AU23" s="770">
        <f t="shared" si="10"/>
        <v>20.733346761267612</v>
      </c>
      <c r="AV23" s="770">
        <f t="shared" si="11"/>
        <v>16.105492940653637</v>
      </c>
      <c r="AW23" s="770">
        <f t="shared" si="12"/>
        <v>10.614130165284216</v>
      </c>
      <c r="AX23" s="770">
        <f t="shared" si="13"/>
        <v>5.7517307991800353</v>
      </c>
      <c r="AY23" s="770">
        <f t="shared" si="14"/>
        <v>5.9232481498489316</v>
      </c>
      <c r="AZ23" s="770">
        <f t="shared" si="15"/>
        <v>6.5283407312750326</v>
      </c>
      <c r="BA23" s="770"/>
      <c r="BB23" s="770">
        <f t="shared" si="16"/>
        <v>14.179110959252382</v>
      </c>
    </row>
    <row r="24" spans="1:54" x14ac:dyDescent="0.75">
      <c r="A24" s="132" t="s">
        <v>210</v>
      </c>
      <c r="B24" s="132" t="str">
        <f>VLOOKUP(A24,'HCW + Staff Summary'!B:E,4,FALSE)</f>
        <v>Low income</v>
      </c>
      <c r="C24" s="770">
        <v>20.174875853001101</v>
      </c>
      <c r="D24" s="770">
        <v>33.586386146442202</v>
      </c>
      <c r="E24" s="770">
        <v>33.221738681858596</v>
      </c>
      <c r="F24" s="770">
        <v>26.948987666138901</v>
      </c>
      <c r="G24" s="770">
        <v>20.8144260317715</v>
      </c>
      <c r="H24" s="770">
        <v>22.284775160928199</v>
      </c>
      <c r="I24" s="770">
        <v>19.554744410364801</v>
      </c>
      <c r="J24" s="770">
        <v>17.450742715688701</v>
      </c>
      <c r="K24" s="770">
        <v>15.619856767962199</v>
      </c>
      <c r="L24" s="770">
        <v>12.5766138361594</v>
      </c>
      <c r="M24" s="770">
        <v>10.2536716041467</v>
      </c>
      <c r="N24" s="770">
        <v>6.3933139318210497</v>
      </c>
      <c r="O24" s="770">
        <v>3.5743591970161499</v>
      </c>
      <c r="P24" s="770">
        <v>1.03033676267853</v>
      </c>
      <c r="Q24" s="770">
        <v>0.50931236368928301</v>
      </c>
      <c r="R24" s="770">
        <v>0.31685734567887702</v>
      </c>
      <c r="S24" s="770"/>
      <c r="T24" s="770">
        <v>0.14553736874613959</v>
      </c>
      <c r="U24" s="770">
        <v>0.12940086473131562</v>
      </c>
      <c r="V24" s="770">
        <v>0.11982705373687462</v>
      </c>
      <c r="W24" s="770">
        <v>0.10453983940704138</v>
      </c>
      <c r="X24" s="770">
        <v>9.1337245213094498E-2</v>
      </c>
      <c r="Y24" s="770">
        <v>7.9369981470043233E-2</v>
      </c>
      <c r="Z24" s="770">
        <v>7.5586781964175412E-2</v>
      </c>
      <c r="AA24" s="770">
        <v>6.4391599752933903E-2</v>
      </c>
      <c r="AB24" s="770">
        <v>4.7019765287214327E-2</v>
      </c>
      <c r="AC24" s="770">
        <v>3.5592958616429894E-2</v>
      </c>
      <c r="AD24" s="770">
        <v>2.740889437924645E-2</v>
      </c>
      <c r="AE24" s="770">
        <v>2.887584928968499E-2</v>
      </c>
      <c r="AF24" s="770">
        <v>1.9996911673872762E-2</v>
      </c>
      <c r="AG24" s="770">
        <v>1.436071649166152E-2</v>
      </c>
      <c r="AH24" s="770">
        <v>8.4156886967263738E-3</v>
      </c>
      <c r="AI24" s="770">
        <v>5.0957381099444102E-3</v>
      </c>
      <c r="AJ24" s="770"/>
      <c r="AK24" s="770">
        <f t="shared" si="0"/>
        <v>8.6639586222834968</v>
      </c>
      <c r="AL24" s="770">
        <f t="shared" si="1"/>
        <v>16.222064191852603</v>
      </c>
      <c r="AM24" s="770">
        <f t="shared" si="2"/>
        <v>17.327962282837973</v>
      </c>
      <c r="AN24" s="770">
        <f t="shared" si="3"/>
        <v>16.11167320217093</v>
      </c>
      <c r="AO24" s="770">
        <f t="shared" si="4"/>
        <v>14.242838438477625</v>
      </c>
      <c r="AP24" s="770">
        <f t="shared" si="5"/>
        <v>17.548176549388501</v>
      </c>
      <c r="AQ24" s="770">
        <f t="shared" si="6"/>
        <v>16.169117058417065</v>
      </c>
      <c r="AR24" s="770">
        <f t="shared" si="7"/>
        <v>16.938100993225426</v>
      </c>
      <c r="AS24" s="770">
        <f t="shared" si="8"/>
        <v>20.762354767923483</v>
      </c>
      <c r="AT24" s="770">
        <f t="shared" si="9"/>
        <v>22.08409739776797</v>
      </c>
      <c r="AU24" s="770">
        <f t="shared" si="10"/>
        <v>23.381259615652827</v>
      </c>
      <c r="AV24" s="770">
        <f t="shared" si="11"/>
        <v>13.837934833714277</v>
      </c>
      <c r="AW24" s="770">
        <f t="shared" si="12"/>
        <v>11.171597567508005</v>
      </c>
      <c r="AX24" s="770">
        <f t="shared" si="13"/>
        <v>4.4841806956358603</v>
      </c>
      <c r="AY24" s="770">
        <f t="shared" si="14"/>
        <v>3.7824620037291248</v>
      </c>
      <c r="AZ24" s="770">
        <f t="shared" si="15"/>
        <v>3.8863033534401659</v>
      </c>
      <c r="BA24" s="770"/>
      <c r="BB24" s="770">
        <f t="shared" si="16"/>
        <v>14.163380098376583</v>
      </c>
    </row>
    <row r="25" spans="1:54" x14ac:dyDescent="0.75">
      <c r="A25" s="132" t="s">
        <v>426</v>
      </c>
      <c r="B25" s="132" t="str">
        <f>VLOOKUP(A25,'HCW + Staff Summary'!B:E,4,FALSE)</f>
        <v>High income</v>
      </c>
      <c r="C25" s="770">
        <v>7.8776674415298302</v>
      </c>
      <c r="D25" s="770">
        <v>12.4331475623604</v>
      </c>
      <c r="E25" s="770">
        <v>15.6564332783975</v>
      </c>
      <c r="F25" s="770">
        <v>17.958501320624801</v>
      </c>
      <c r="G25" s="770">
        <v>12.351118030151101</v>
      </c>
      <c r="H25" s="770">
        <v>15.0284618470978</v>
      </c>
      <c r="I25" s="770">
        <v>17.243180355720099</v>
      </c>
      <c r="J25" s="770">
        <v>19.433150201190202</v>
      </c>
      <c r="K25" s="770">
        <v>18.340416113397399</v>
      </c>
      <c r="L25" s="770">
        <v>14.483722785909</v>
      </c>
      <c r="M25" s="770">
        <v>11.789984923266401</v>
      </c>
      <c r="N25" s="770">
        <v>9.0150629503242303</v>
      </c>
      <c r="O25" s="770">
        <v>7.4859446425132399</v>
      </c>
      <c r="P25" s="770">
        <v>6.1429287714943897</v>
      </c>
      <c r="Q25" s="770">
        <v>4.4836934208555199</v>
      </c>
      <c r="R25" s="770">
        <v>2.8158088499743501</v>
      </c>
      <c r="S25" s="770"/>
      <c r="T25" s="770">
        <v>3.7784197165389423E-2</v>
      </c>
      <c r="U25" s="770">
        <v>4.2710148733497266E-2</v>
      </c>
      <c r="V25" s="770">
        <v>4.3991373616316914E-2</v>
      </c>
      <c r="W25" s="770">
        <v>4.5089566373019474E-2</v>
      </c>
      <c r="X25" s="770">
        <v>4.7413278582853866E-2</v>
      </c>
      <c r="Y25" s="770">
        <v>4.8630840117458878E-2</v>
      </c>
      <c r="Z25" s="770">
        <v>5.3684118381996007E-2</v>
      </c>
      <c r="AA25" s="770">
        <v>6.0607507500338213E-2</v>
      </c>
      <c r="AB25" s="770">
        <v>6.6949968566221818E-2</v>
      </c>
      <c r="AC25" s="770">
        <v>7.9101710156691415E-2</v>
      </c>
      <c r="AD25" s="770">
        <v>6.8461973086319544E-2</v>
      </c>
      <c r="AE25" s="770">
        <v>6.2326417902133516E-2</v>
      </c>
      <c r="AF25" s="770">
        <v>5.9262619269303922E-2</v>
      </c>
      <c r="AG25" s="770">
        <v>6.6257629654387598E-2</v>
      </c>
      <c r="AH25" s="770">
        <v>7.2170363119822376E-2</v>
      </c>
      <c r="AI25" s="770">
        <v>5.5800924710132815E-2</v>
      </c>
      <c r="AJ25" s="770"/>
      <c r="AK25" s="770">
        <f t="shared" si="0"/>
        <v>13.030691453902696</v>
      </c>
      <c r="AL25" s="770">
        <f t="shared" si="1"/>
        <v>18.194076716901552</v>
      </c>
      <c r="AM25" s="770">
        <f t="shared" si="2"/>
        <v>22.243612769047445</v>
      </c>
      <c r="AN25" s="770">
        <f t="shared" si="3"/>
        <v>24.89281718199604</v>
      </c>
      <c r="AO25" s="770">
        <f t="shared" si="4"/>
        <v>16.281195900331671</v>
      </c>
      <c r="AP25" s="770">
        <f t="shared" si="5"/>
        <v>19.314469237524101</v>
      </c>
      <c r="AQ25" s="770">
        <f t="shared" si="6"/>
        <v>20.074815508080189</v>
      </c>
      <c r="AR25" s="770">
        <f t="shared" si="7"/>
        <v>20.039957715925041</v>
      </c>
      <c r="AS25" s="770">
        <f t="shared" si="8"/>
        <v>17.121382304362523</v>
      </c>
      <c r="AT25" s="770">
        <f t="shared" si="9"/>
        <v>11.443907752767297</v>
      </c>
      <c r="AU25" s="770">
        <f t="shared" si="10"/>
        <v>10.763260602715471</v>
      </c>
      <c r="AV25" s="770">
        <f t="shared" si="11"/>
        <v>9.0401703380417935</v>
      </c>
      <c r="AW25" s="770">
        <f t="shared" si="12"/>
        <v>7.8948845988557155</v>
      </c>
      <c r="AX25" s="770">
        <f t="shared" si="13"/>
        <v>5.7945484953365698</v>
      </c>
      <c r="AY25" s="770">
        <f t="shared" si="14"/>
        <v>3.882907424730714</v>
      </c>
      <c r="AZ25" s="770">
        <f t="shared" si="15"/>
        <v>3.153855496796802</v>
      </c>
      <c r="BA25" s="770"/>
      <c r="BB25" s="770">
        <f t="shared" si="16"/>
        <v>13.947909593582228</v>
      </c>
    </row>
    <row r="26" spans="1:54" x14ac:dyDescent="0.75">
      <c r="A26" s="132" t="s">
        <v>516</v>
      </c>
      <c r="B26" s="132" t="str">
        <f>VLOOKUP(A26,'HCW + Staff Summary'!B:E,4,FALSE)</f>
        <v>High income</v>
      </c>
      <c r="C26" s="770">
        <v>6.5909913178782702</v>
      </c>
      <c r="D26" s="770">
        <v>16.458507845121002</v>
      </c>
      <c r="E26" s="770">
        <v>21.025815008742899</v>
      </c>
      <c r="F26" s="770">
        <v>24.0172351318441</v>
      </c>
      <c r="G26" s="770">
        <v>15.867297503148301</v>
      </c>
      <c r="H26" s="770">
        <v>17.509223189538002</v>
      </c>
      <c r="I26" s="770">
        <v>19.203245013171699</v>
      </c>
      <c r="J26" s="770">
        <v>20.4413036874295</v>
      </c>
      <c r="K26" s="770">
        <v>19.4831017902439</v>
      </c>
      <c r="L26" s="770">
        <v>15.819224977291601</v>
      </c>
      <c r="M26" s="770">
        <v>12.8188567940305</v>
      </c>
      <c r="N26" s="770">
        <v>8.6263418509292205</v>
      </c>
      <c r="O26" s="770">
        <v>4.9728785381344904</v>
      </c>
      <c r="P26" s="770">
        <v>2.8822642198187598</v>
      </c>
      <c r="Q26" s="770">
        <v>1.7755223913987701</v>
      </c>
      <c r="R26" s="770">
        <v>0.98567232220930801</v>
      </c>
      <c r="S26" s="770"/>
      <c r="T26" s="770">
        <v>4.4005544005544003E-2</v>
      </c>
      <c r="U26" s="770">
        <v>3.7768537768537766E-2</v>
      </c>
      <c r="V26" s="770">
        <v>4.1060291060291063E-2</v>
      </c>
      <c r="W26" s="770">
        <v>4.5391545391545392E-2</v>
      </c>
      <c r="X26" s="770">
        <v>6.7914067914067913E-2</v>
      </c>
      <c r="Y26" s="770">
        <v>7.4497574497574492E-2</v>
      </c>
      <c r="Z26" s="770">
        <v>7.4151074151074151E-2</v>
      </c>
      <c r="AA26" s="770">
        <v>7.9002079002079006E-2</v>
      </c>
      <c r="AB26" s="770">
        <v>8.0907830907830908E-2</v>
      </c>
      <c r="AC26" s="770">
        <v>8.4026334026334026E-2</v>
      </c>
      <c r="AD26" s="770">
        <v>7.969507969507969E-2</v>
      </c>
      <c r="AE26" s="770">
        <v>8.1947331947331947E-2</v>
      </c>
      <c r="AF26" s="770">
        <v>7.5883575883575888E-2</v>
      </c>
      <c r="AG26" s="770">
        <v>6.0810810810810814E-2</v>
      </c>
      <c r="AH26" s="770">
        <v>3.2571032571032568E-2</v>
      </c>
      <c r="AI26" s="770">
        <v>1.7151767151767153E-2</v>
      </c>
      <c r="AJ26" s="770"/>
      <c r="AK26" s="770">
        <f t="shared" si="0"/>
        <v>9.3610240863172685</v>
      </c>
      <c r="AL26" s="770">
        <f t="shared" si="1"/>
        <v>27.235810573978906</v>
      </c>
      <c r="AM26" s="770">
        <f t="shared" si="2"/>
        <v>32.004484237991562</v>
      </c>
      <c r="AN26" s="770">
        <f t="shared" si="3"/>
        <v>33.069532724476176</v>
      </c>
      <c r="AO26" s="770">
        <f t="shared" si="4"/>
        <v>14.602366260869259</v>
      </c>
      <c r="AP26" s="770">
        <f t="shared" si="5"/>
        <v>14.689423873548453</v>
      </c>
      <c r="AQ26" s="770">
        <f t="shared" si="6"/>
        <v>16.18591270677965</v>
      </c>
      <c r="AR26" s="770">
        <f t="shared" si="7"/>
        <v>16.171491897456562</v>
      </c>
      <c r="AS26" s="770">
        <f t="shared" si="8"/>
        <v>15.050383235183055</v>
      </c>
      <c r="AT26" s="770">
        <f t="shared" si="9"/>
        <v>11.766567856820505</v>
      </c>
      <c r="AU26" s="770">
        <f t="shared" si="10"/>
        <v>10.053049105318486</v>
      </c>
      <c r="AV26" s="770">
        <f t="shared" si="11"/>
        <v>6.5791814433884062</v>
      </c>
      <c r="AW26" s="770">
        <f t="shared" si="12"/>
        <v>4.0958126315799479</v>
      </c>
      <c r="AX26" s="770">
        <f t="shared" si="13"/>
        <v>2.9623271148137253</v>
      </c>
      <c r="AY26" s="770">
        <f t="shared" si="14"/>
        <v>3.4070196951973744</v>
      </c>
      <c r="AZ26" s="770">
        <f t="shared" si="15"/>
        <v>3.5917302044142208</v>
      </c>
      <c r="BA26" s="770"/>
      <c r="BB26" s="770">
        <f t="shared" si="16"/>
        <v>13.801632353008346</v>
      </c>
    </row>
    <row r="27" spans="1:54" x14ac:dyDescent="0.75">
      <c r="A27" s="132" t="s">
        <v>179</v>
      </c>
      <c r="B27" s="132" t="str">
        <f>VLOOKUP(A27,'HCW + Staff Summary'!B:E,4,FALSE)</f>
        <v>Low income</v>
      </c>
      <c r="C27" s="770">
        <v>11.521551259965401</v>
      </c>
      <c r="D27" s="770">
        <v>31.013232585484499</v>
      </c>
      <c r="E27" s="770">
        <v>37.379904000187302</v>
      </c>
      <c r="F27" s="770">
        <v>34.754189691465399</v>
      </c>
      <c r="G27" s="770">
        <v>20.207920629143601</v>
      </c>
      <c r="H27" s="770">
        <v>20.990768994444402</v>
      </c>
      <c r="I27" s="770">
        <v>20.039823054418701</v>
      </c>
      <c r="J27" s="770">
        <v>19.739086232119998</v>
      </c>
      <c r="K27" s="770">
        <v>18.358349009641199</v>
      </c>
      <c r="L27" s="770">
        <v>14.0833985136299</v>
      </c>
      <c r="M27" s="770">
        <v>11.250857226961701</v>
      </c>
      <c r="N27" s="770">
        <v>6.5465791658376</v>
      </c>
      <c r="O27" s="770">
        <v>3.8083269126409802</v>
      </c>
      <c r="P27" s="770">
        <v>1.71617894198409</v>
      </c>
      <c r="Q27" s="770">
        <v>0.84092696654371601</v>
      </c>
      <c r="R27" s="770">
        <v>0.47514461680507197</v>
      </c>
      <c r="S27" s="770"/>
      <c r="T27" s="770">
        <v>9.290592717163744E-2</v>
      </c>
      <c r="U27" s="770">
        <v>9.4587637711500847E-2</v>
      </c>
      <c r="V27" s="770">
        <v>0.10059374678244157</v>
      </c>
      <c r="W27" s="770">
        <v>0.10944846758417133</v>
      </c>
      <c r="X27" s="770">
        <v>0.11054672752857192</v>
      </c>
      <c r="Y27" s="770">
        <v>9.1464460994611668E-2</v>
      </c>
      <c r="Z27" s="770">
        <v>7.1009369530150662E-2</v>
      </c>
      <c r="AA27" s="770">
        <v>5.9168754504581804E-2</v>
      </c>
      <c r="AB27" s="770">
        <v>5.481003535024196E-2</v>
      </c>
      <c r="AC27" s="770">
        <v>4.9730583107389231E-2</v>
      </c>
      <c r="AD27" s="770">
        <v>4.3346947180560799E-2</v>
      </c>
      <c r="AE27" s="770">
        <v>3.5830730686069262E-2</v>
      </c>
      <c r="AF27" s="770">
        <v>2.8245872945052684E-2</v>
      </c>
      <c r="AG27" s="770">
        <v>2.2823214469574766E-2</v>
      </c>
      <c r="AH27" s="770">
        <v>1.6267975426433743E-2</v>
      </c>
      <c r="AI27" s="770">
        <v>1.1600370662731235E-2</v>
      </c>
      <c r="AJ27" s="770"/>
      <c r="AK27" s="770">
        <f t="shared" si="0"/>
        <v>7.7508182273183381</v>
      </c>
      <c r="AL27" s="770">
        <f t="shared" si="1"/>
        <v>20.492392911902709</v>
      </c>
      <c r="AM27" s="770">
        <f t="shared" si="2"/>
        <v>23.22454501137533</v>
      </c>
      <c r="AN27" s="770">
        <f t="shared" si="3"/>
        <v>19.846206197872124</v>
      </c>
      <c r="AO27" s="770">
        <f t="shared" si="4"/>
        <v>11.424988034992182</v>
      </c>
      <c r="AP27" s="770">
        <f t="shared" si="5"/>
        <v>14.343528053262816</v>
      </c>
      <c r="AQ27" s="770">
        <f t="shared" si="6"/>
        <v>17.638361658307083</v>
      </c>
      <c r="AR27" s="770">
        <f t="shared" si="7"/>
        <v>20.850411671450129</v>
      </c>
      <c r="AS27" s="770">
        <f t="shared" si="8"/>
        <v>20.934064460469457</v>
      </c>
      <c r="AT27" s="770">
        <f t="shared" si="9"/>
        <v>17.699619672689543</v>
      </c>
      <c r="AU27" s="770">
        <f t="shared" si="10"/>
        <v>16.222101495545481</v>
      </c>
      <c r="AV27" s="770">
        <f t="shared" si="11"/>
        <v>11.419281438877523</v>
      </c>
      <c r="AW27" s="770">
        <f t="shared" si="12"/>
        <v>8.4267330842664219</v>
      </c>
      <c r="AX27" s="770">
        <f t="shared" si="13"/>
        <v>4.6996528038148906</v>
      </c>
      <c r="AY27" s="770">
        <f t="shared" si="14"/>
        <v>3.2307606835685991</v>
      </c>
      <c r="AZ27" s="770">
        <f t="shared" si="15"/>
        <v>2.5599646264514391</v>
      </c>
      <c r="BA27" s="770"/>
      <c r="BB27" s="770">
        <f t="shared" si="16"/>
        <v>13.797714377010257</v>
      </c>
    </row>
    <row r="28" spans="1:54" x14ac:dyDescent="0.75">
      <c r="A28" s="132" t="s">
        <v>545</v>
      </c>
      <c r="B28" s="132" t="str">
        <f>VLOOKUP(A28,'HCW + Staff Summary'!B:E,4,FALSE)</f>
        <v>High income</v>
      </c>
      <c r="C28" s="770">
        <v>5.6491178461756197</v>
      </c>
      <c r="D28" s="770">
        <v>14.344650087576101</v>
      </c>
      <c r="E28" s="770">
        <v>20.2739706738633</v>
      </c>
      <c r="F28" s="770">
        <v>24.157767948515001</v>
      </c>
      <c r="G28" s="770">
        <v>14.8296689637576</v>
      </c>
      <c r="H28" s="770">
        <v>17.154615064396999</v>
      </c>
      <c r="I28" s="770">
        <v>18.506570486048201</v>
      </c>
      <c r="J28" s="770">
        <v>19.200355543657601</v>
      </c>
      <c r="K28" s="770">
        <v>20.343671092621701</v>
      </c>
      <c r="L28" s="770">
        <v>17.454078599612</v>
      </c>
      <c r="M28" s="770">
        <v>13.9804451498183</v>
      </c>
      <c r="N28" s="770">
        <v>8.8226773143135802</v>
      </c>
      <c r="O28" s="770">
        <v>5.3972964988313796</v>
      </c>
      <c r="P28" s="770">
        <v>4.5209851058509098</v>
      </c>
      <c r="Q28" s="770">
        <v>2.8592534138361998</v>
      </c>
      <c r="R28" s="770">
        <v>1.9637697688182101</v>
      </c>
      <c r="S28" s="770"/>
      <c r="T28" s="770">
        <v>5.2193033213748408E-2</v>
      </c>
      <c r="U28" s="770">
        <v>4.9994213632681403E-2</v>
      </c>
      <c r="V28" s="770">
        <v>4.7332484666126606E-2</v>
      </c>
      <c r="W28" s="770">
        <v>4.9068394861705819E-2</v>
      </c>
      <c r="X28" s="770">
        <v>5.6012035644022684E-2</v>
      </c>
      <c r="Y28" s="770">
        <v>6.422867723643097E-2</v>
      </c>
      <c r="Z28" s="770">
        <v>6.9089225784052771E-2</v>
      </c>
      <c r="AA28" s="770">
        <v>7.1866682096979523E-2</v>
      </c>
      <c r="AB28" s="770">
        <v>6.5964587432010183E-2</v>
      </c>
      <c r="AC28" s="770">
        <v>6.8857771091308875E-2</v>
      </c>
      <c r="AD28" s="770">
        <v>7.8115958801064686E-2</v>
      </c>
      <c r="AE28" s="770">
        <v>7.4412683717162365E-2</v>
      </c>
      <c r="AF28" s="770">
        <v>6.1914130308992017E-2</v>
      </c>
      <c r="AG28" s="770">
        <v>5.1035759750028935E-2</v>
      </c>
      <c r="AH28" s="770">
        <v>4.8721212822589975E-2</v>
      </c>
      <c r="AI28" s="770">
        <v>3.8190024302742737E-2</v>
      </c>
      <c r="AJ28" s="770"/>
      <c r="AK28" s="770">
        <f t="shared" si="0"/>
        <v>6.7646933631933939</v>
      </c>
      <c r="AL28" s="770">
        <f t="shared" si="1"/>
        <v>17.932887935003631</v>
      </c>
      <c r="AM28" s="770">
        <f t="shared" si="2"/>
        <v>26.770687743406597</v>
      </c>
      <c r="AN28" s="770">
        <f t="shared" si="3"/>
        <v>30.77052960541246</v>
      </c>
      <c r="AO28" s="770">
        <f t="shared" si="4"/>
        <v>16.547413418882932</v>
      </c>
      <c r="AP28" s="770">
        <f t="shared" si="5"/>
        <v>16.692908645434063</v>
      </c>
      <c r="AQ28" s="770">
        <f t="shared" si="6"/>
        <v>16.741548949952104</v>
      </c>
      <c r="AR28" s="770">
        <f t="shared" si="7"/>
        <v>16.697893745244095</v>
      </c>
      <c r="AS28" s="770">
        <f t="shared" si="8"/>
        <v>19.275182227121068</v>
      </c>
      <c r="AT28" s="770">
        <f t="shared" si="9"/>
        <v>15.842509787736061</v>
      </c>
      <c r="AU28" s="770">
        <f t="shared" si="10"/>
        <v>11.18565060551666</v>
      </c>
      <c r="AV28" s="770">
        <f t="shared" si="11"/>
        <v>7.4102599798778819</v>
      </c>
      <c r="AW28" s="770">
        <f t="shared" si="12"/>
        <v>5.4483690474768629</v>
      </c>
      <c r="AX28" s="770">
        <f t="shared" si="13"/>
        <v>5.5365408587950267</v>
      </c>
      <c r="AY28" s="770">
        <f t="shared" si="14"/>
        <v>3.667875408099555</v>
      </c>
      <c r="AZ28" s="770">
        <f t="shared" si="15"/>
        <v>3.213813365976923</v>
      </c>
      <c r="BA28" s="770"/>
      <c r="BB28" s="770">
        <f t="shared" si="16"/>
        <v>13.781172792945581</v>
      </c>
    </row>
    <row r="29" spans="1:54" x14ac:dyDescent="0.75">
      <c r="A29" s="132" t="s">
        <v>510</v>
      </c>
      <c r="B29" s="132" t="str">
        <f>VLOOKUP(A29,'HCW + Staff Summary'!B:E,4,FALSE)</f>
        <v>High income</v>
      </c>
      <c r="C29" s="770">
        <v>9.5159266734935404</v>
      </c>
      <c r="D29" s="770">
        <v>14.613599918523599</v>
      </c>
      <c r="E29" s="770">
        <v>15.0028306802941</v>
      </c>
      <c r="F29" s="770">
        <v>17.3921494151244</v>
      </c>
      <c r="G29" s="770">
        <v>24.760621595727098</v>
      </c>
      <c r="H29" s="770">
        <v>33.246693599333902</v>
      </c>
      <c r="I29" s="770">
        <v>31.594773272066401</v>
      </c>
      <c r="J29" s="770">
        <v>27.794267034598001</v>
      </c>
      <c r="K29" s="770">
        <v>21.797979610499699</v>
      </c>
      <c r="L29" s="770">
        <v>15.2678435752585</v>
      </c>
      <c r="M29" s="770">
        <v>11.2330762249375</v>
      </c>
      <c r="N29" s="770">
        <v>5.8866226570960496</v>
      </c>
      <c r="O29" s="770">
        <v>1.8831895640498699</v>
      </c>
      <c r="P29" s="770">
        <v>0.54613044233503205</v>
      </c>
      <c r="Q29" s="770">
        <v>0.25897794045915801</v>
      </c>
      <c r="R29" s="770">
        <v>0.27813991686669798</v>
      </c>
      <c r="S29" s="770"/>
      <c r="T29" s="770">
        <v>4.6858729607775075E-2</v>
      </c>
      <c r="U29" s="770">
        <v>4.7205831308573414E-2</v>
      </c>
      <c r="V29" s="770">
        <v>4.2346407497396737E-2</v>
      </c>
      <c r="W29" s="770">
        <v>3.6792780284623391E-2</v>
      </c>
      <c r="X29" s="770">
        <v>8.2263103089205133E-2</v>
      </c>
      <c r="Y29" s="770">
        <v>0.16660881638320027</v>
      </c>
      <c r="Z29" s="770">
        <v>0.17181534189517528</v>
      </c>
      <c r="AA29" s="770">
        <v>0.1218326969802152</v>
      </c>
      <c r="AB29" s="770">
        <v>8.8510933703575143E-2</v>
      </c>
      <c r="AC29" s="770">
        <v>7.1850052065255118E-2</v>
      </c>
      <c r="AD29" s="770">
        <v>5.4147865324540093E-2</v>
      </c>
      <c r="AE29" s="770">
        <v>3.4015966678236725E-2</v>
      </c>
      <c r="AF29" s="770">
        <v>1.8743491843110031E-2</v>
      </c>
      <c r="AG29" s="770">
        <v>9.6841374522735162E-3</v>
      </c>
      <c r="AH29" s="770">
        <v>4.4776119402985077E-3</v>
      </c>
      <c r="AI29" s="770">
        <v>1.3189864630336688E-3</v>
      </c>
      <c r="AJ29" s="770"/>
      <c r="AK29" s="770">
        <f t="shared" si="0"/>
        <v>12.69230775293282</v>
      </c>
      <c r="AL29" s="770">
        <f t="shared" si="1"/>
        <v>19.348245112714377</v>
      </c>
      <c r="AM29" s="770">
        <f t="shared" si="2"/>
        <v>22.143009830905381</v>
      </c>
      <c r="AN29" s="770">
        <f t="shared" si="3"/>
        <v>29.544093434536205</v>
      </c>
      <c r="AO29" s="770">
        <f t="shared" si="4"/>
        <v>18.812065088947726</v>
      </c>
      <c r="AP29" s="770">
        <f t="shared" si="5"/>
        <v>12.471839096312626</v>
      </c>
      <c r="AQ29" s="770">
        <f t="shared" si="6"/>
        <v>11.492997701619105</v>
      </c>
      <c r="AR29" s="770">
        <f t="shared" si="7"/>
        <v>14.258419395775791</v>
      </c>
      <c r="AS29" s="770">
        <f t="shared" si="8"/>
        <v>15.392151778884715</v>
      </c>
      <c r="AT29" s="770">
        <f t="shared" si="9"/>
        <v>13.280995573768037</v>
      </c>
      <c r="AU29" s="770">
        <f t="shared" si="10"/>
        <v>12.96574222918467</v>
      </c>
      <c r="AV29" s="770">
        <f t="shared" si="11"/>
        <v>10.815918287687319</v>
      </c>
      <c r="AW29" s="770">
        <f t="shared" si="12"/>
        <v>6.2794781643838835</v>
      </c>
      <c r="AX29" s="770">
        <f t="shared" si="13"/>
        <v>3.5246456191022117</v>
      </c>
      <c r="AY29" s="770">
        <f t="shared" si="14"/>
        <v>3.6149004189090803</v>
      </c>
      <c r="AZ29" s="770">
        <f t="shared" si="15"/>
        <v>13.179623363371002</v>
      </c>
      <c r="BA29" s="770"/>
      <c r="BB29" s="770">
        <f t="shared" si="16"/>
        <v>13.738527053064683</v>
      </c>
    </row>
    <row r="30" spans="1:54" x14ac:dyDescent="0.75">
      <c r="A30" s="132" t="s">
        <v>247</v>
      </c>
      <c r="B30" s="132" t="str">
        <f>VLOOKUP(A30,'HCW + Staff Summary'!B:E,4,FALSE)</f>
        <v>Lower middle income</v>
      </c>
      <c r="C30" s="770">
        <v>11.1633902055299</v>
      </c>
      <c r="D30" s="770">
        <v>21.640139534163701</v>
      </c>
      <c r="E30" s="770">
        <v>31.325572671448001</v>
      </c>
      <c r="F30" s="770">
        <v>40.5948457368685</v>
      </c>
      <c r="G30" s="770">
        <v>23.231002395950501</v>
      </c>
      <c r="H30" s="770">
        <v>21.946782828461899</v>
      </c>
      <c r="I30" s="770">
        <v>20.1397805864679</v>
      </c>
      <c r="J30" s="770">
        <v>17.342698459147599</v>
      </c>
      <c r="K30" s="770">
        <v>17.202094735684302</v>
      </c>
      <c r="L30" s="770">
        <v>14.018067965685701</v>
      </c>
      <c r="M30" s="770">
        <v>10.044727178377901</v>
      </c>
      <c r="N30" s="770">
        <v>6.7653985909888004</v>
      </c>
      <c r="O30" s="770">
        <v>3.3281786211401698</v>
      </c>
      <c r="P30" s="770">
        <v>1.3585456431719201</v>
      </c>
      <c r="Q30" s="770">
        <v>0.73228379873532601</v>
      </c>
      <c r="R30" s="770">
        <v>0.45684892616970502</v>
      </c>
      <c r="S30" s="770"/>
      <c r="T30" s="770">
        <v>0.10640588551946886</v>
      </c>
      <c r="U30" s="770">
        <v>0.10479095639691369</v>
      </c>
      <c r="V30" s="770">
        <v>9.8091991147795918E-2</v>
      </c>
      <c r="W30" s="770">
        <v>8.7325796997428082E-2</v>
      </c>
      <c r="X30" s="770">
        <v>9.1393025898678149E-2</v>
      </c>
      <c r="Y30" s="770">
        <v>9.5041569471858364E-2</v>
      </c>
      <c r="Z30" s="770">
        <v>7.4226927447813867E-2</v>
      </c>
      <c r="AA30" s="770">
        <v>9.8570488665590053E-2</v>
      </c>
      <c r="AB30" s="770">
        <v>3.7502242957114663E-2</v>
      </c>
      <c r="AC30" s="770">
        <v>4.7969376158861175E-2</v>
      </c>
      <c r="AD30" s="770">
        <v>4.3782522878162568E-2</v>
      </c>
      <c r="AE30" s="770">
        <v>3.9117172079669839E-2</v>
      </c>
      <c r="AF30" s="770">
        <v>2.7154734134816675E-2</v>
      </c>
      <c r="AG30" s="770">
        <v>2.1711824869908487E-2</v>
      </c>
      <c r="AH30" s="770">
        <v>1.3218493929062743E-2</v>
      </c>
      <c r="AI30" s="770">
        <v>7.8353968538788198E-3</v>
      </c>
      <c r="AJ30" s="770"/>
      <c r="AK30" s="770">
        <f t="shared" si="0"/>
        <v>6.5570798498543565</v>
      </c>
      <c r="AL30" s="770">
        <f t="shared" si="1"/>
        <v>12.906731338173621</v>
      </c>
      <c r="AM30" s="770">
        <f t="shared" si="2"/>
        <v>19.959308288640973</v>
      </c>
      <c r="AN30" s="770">
        <f t="shared" si="3"/>
        <v>29.054162066554127</v>
      </c>
      <c r="AO30" s="770">
        <f t="shared" si="4"/>
        <v>15.886744480444062</v>
      </c>
      <c r="AP30" s="770">
        <f t="shared" si="5"/>
        <v>14.432357697807367</v>
      </c>
      <c r="AQ30" s="770">
        <f t="shared" si="6"/>
        <v>16.957946798204915</v>
      </c>
      <c r="AR30" s="770">
        <f t="shared" si="7"/>
        <v>10.99638105045846</v>
      </c>
      <c r="AS30" s="770">
        <f t="shared" si="8"/>
        <v>28.668443170445158</v>
      </c>
      <c r="AT30" s="770">
        <f t="shared" si="9"/>
        <v>18.264345255478432</v>
      </c>
      <c r="AU30" s="770">
        <f t="shared" si="10"/>
        <v>14.338950964421118</v>
      </c>
      <c r="AV30" s="770">
        <f t="shared" si="11"/>
        <v>10.809508700567827</v>
      </c>
      <c r="AW30" s="770">
        <f t="shared" si="12"/>
        <v>7.660217286184265</v>
      </c>
      <c r="AX30" s="770">
        <f t="shared" si="13"/>
        <v>3.9107308209695821</v>
      </c>
      <c r="AY30" s="770">
        <f t="shared" si="14"/>
        <v>3.4624018187375327</v>
      </c>
      <c r="AZ30" s="770">
        <f t="shared" si="15"/>
        <v>3.6441112579347799</v>
      </c>
      <c r="BA30" s="770"/>
      <c r="BB30" s="770">
        <f t="shared" si="16"/>
        <v>13.594338802804785</v>
      </c>
    </row>
    <row r="31" spans="1:54" x14ac:dyDescent="0.75">
      <c r="A31" s="132" t="s">
        <v>341</v>
      </c>
      <c r="B31" s="132" t="str">
        <f>VLOOKUP(A31,'HCW + Staff Summary'!B:E,4,FALSE)</f>
        <v>Upper middle income</v>
      </c>
      <c r="C31" s="770">
        <v>10.2482144374833</v>
      </c>
      <c r="D31" s="770">
        <v>14.540625337551401</v>
      </c>
      <c r="E31" s="770">
        <v>16.1362106740896</v>
      </c>
      <c r="F31" s="770">
        <v>19.104776421262699</v>
      </c>
      <c r="G31" s="770">
        <v>14.418003230488001</v>
      </c>
      <c r="H31" s="770">
        <v>16.953551954473799</v>
      </c>
      <c r="I31" s="770">
        <v>18.655511148480201</v>
      </c>
      <c r="J31" s="770">
        <v>19.480074983959401</v>
      </c>
      <c r="K31" s="770">
        <v>18.178289790606801</v>
      </c>
      <c r="L31" s="770">
        <v>14.914513084602</v>
      </c>
      <c r="M31" s="770">
        <v>12.467861397713801</v>
      </c>
      <c r="N31" s="770">
        <v>8.5147453748558206</v>
      </c>
      <c r="O31" s="770">
        <v>6.6817692072944901</v>
      </c>
      <c r="P31" s="770">
        <v>5.2821087184422604</v>
      </c>
      <c r="Q31" s="770">
        <v>3.5998978541455999</v>
      </c>
      <c r="R31" s="770">
        <v>2.4049719878028899</v>
      </c>
      <c r="S31" s="770"/>
      <c r="T31" s="770">
        <v>4.4968189705031809E-2</v>
      </c>
      <c r="U31" s="770">
        <v>4.8438403701561598E-2</v>
      </c>
      <c r="V31" s="770">
        <v>5.3354540196645463E-2</v>
      </c>
      <c r="W31" s="770">
        <v>4.5401966454598035E-2</v>
      </c>
      <c r="X31" s="770">
        <v>4.3088490456911509E-2</v>
      </c>
      <c r="Y31" s="770">
        <v>5.6246385193753613E-2</v>
      </c>
      <c r="Z31" s="770">
        <v>6.9259687680740312E-2</v>
      </c>
      <c r="AA31" s="770">
        <v>6.8536726431463274E-2</v>
      </c>
      <c r="AB31" s="770">
        <v>7.6923076923076927E-2</v>
      </c>
      <c r="AC31" s="770">
        <v>7.5910931174089064E-2</v>
      </c>
      <c r="AD31" s="770">
        <v>6.8536726431463274E-2</v>
      </c>
      <c r="AE31" s="770">
        <v>6.7379988432620011E-2</v>
      </c>
      <c r="AF31" s="770">
        <v>6.7235396182764598E-2</v>
      </c>
      <c r="AG31" s="770">
        <v>6.550028918449971E-2</v>
      </c>
      <c r="AH31" s="770">
        <v>6.1162521688837478E-2</v>
      </c>
      <c r="AI31" s="770">
        <v>4.1064198958935802E-2</v>
      </c>
      <c r="AJ31" s="770"/>
      <c r="AK31" s="770">
        <f t="shared" si="0"/>
        <v>14.243699969781854</v>
      </c>
      <c r="AL31" s="770">
        <f t="shared" si="1"/>
        <v>18.761747170616694</v>
      </c>
      <c r="AM31" s="770">
        <f t="shared" si="2"/>
        <v>18.902105864160514</v>
      </c>
      <c r="AN31" s="770">
        <f t="shared" si="3"/>
        <v>26.299489197741405</v>
      </c>
      <c r="AO31" s="770">
        <f t="shared" si="4"/>
        <v>20.913362068384021</v>
      </c>
      <c r="AP31" s="770">
        <f t="shared" si="5"/>
        <v>18.838490571520051</v>
      </c>
      <c r="AQ31" s="770">
        <f t="shared" si="6"/>
        <v>16.834748839103479</v>
      </c>
      <c r="AR31" s="770">
        <f t="shared" si="7"/>
        <v>17.764266691595889</v>
      </c>
      <c r="AS31" s="770">
        <f t="shared" si="8"/>
        <v>14.769860454868025</v>
      </c>
      <c r="AT31" s="770">
        <f t="shared" si="9"/>
        <v>12.279615772988981</v>
      </c>
      <c r="AU31" s="770">
        <f t="shared" si="10"/>
        <v>11.369690061522764</v>
      </c>
      <c r="AV31" s="770">
        <f t="shared" si="11"/>
        <v>7.8980658546811773</v>
      </c>
      <c r="AW31" s="770">
        <f t="shared" si="12"/>
        <v>6.2111714835549323</v>
      </c>
      <c r="AX31" s="770">
        <f t="shared" si="13"/>
        <v>5.0401578223988235</v>
      </c>
      <c r="AY31" s="770">
        <f t="shared" si="14"/>
        <v>3.6786190247149779</v>
      </c>
      <c r="AZ31" s="770">
        <f t="shared" si="15"/>
        <v>3.6603843018584477</v>
      </c>
      <c r="BA31" s="770"/>
      <c r="BB31" s="770">
        <f t="shared" si="16"/>
        <v>13.59159219684325</v>
      </c>
    </row>
    <row r="32" spans="1:54" x14ac:dyDescent="0.75">
      <c r="A32" s="132" t="s">
        <v>177</v>
      </c>
      <c r="B32" s="132" t="str">
        <f>VLOOKUP(A32,'HCW + Staff Summary'!B:E,4,FALSE)</f>
        <v>Lower middle income</v>
      </c>
      <c r="C32" s="770">
        <v>19.8277755215755</v>
      </c>
      <c r="D32" s="770">
        <v>40.192717454067903</v>
      </c>
      <c r="E32" s="770">
        <v>35.568094431435199</v>
      </c>
      <c r="F32" s="770">
        <v>34.632939109226903</v>
      </c>
      <c r="G32" s="770">
        <v>18.9985926639892</v>
      </c>
      <c r="H32" s="770">
        <v>17.961918861010499</v>
      </c>
      <c r="I32" s="770">
        <v>15.9222497422315</v>
      </c>
      <c r="J32" s="770">
        <v>14.840991889859399</v>
      </c>
      <c r="K32" s="770">
        <v>13.1138863690351</v>
      </c>
      <c r="L32" s="770">
        <v>10.1541323752697</v>
      </c>
      <c r="M32" s="770">
        <v>8.2388768365735601</v>
      </c>
      <c r="N32" s="770">
        <v>5.2618797361161</v>
      </c>
      <c r="O32" s="770">
        <v>3.1812503354448798</v>
      </c>
      <c r="P32" s="770">
        <v>0.96814538560273899</v>
      </c>
      <c r="Q32" s="770">
        <v>0.60585570276237299</v>
      </c>
      <c r="R32" s="770">
        <v>0.33368610703630702</v>
      </c>
      <c r="S32" s="770"/>
      <c r="T32" s="770">
        <v>0.16463568448627147</v>
      </c>
      <c r="U32" s="770">
        <v>0.14511497040846028</v>
      </c>
      <c r="V32" s="770">
        <v>0.12511885126612982</v>
      </c>
      <c r="W32" s="770">
        <v>0.10628698942466284</v>
      </c>
      <c r="X32" s="770">
        <v>8.7649170466673129E-2</v>
      </c>
      <c r="Y32" s="770">
        <v>7.3294848161443674E-2</v>
      </c>
      <c r="Z32" s="770">
        <v>6.3282235374017656E-2</v>
      </c>
      <c r="AA32" s="770">
        <v>5.4928689240322112E-2</v>
      </c>
      <c r="AB32" s="770">
        <v>4.5886290870282335E-2</v>
      </c>
      <c r="AC32" s="770">
        <v>3.6761424274764726E-2</v>
      </c>
      <c r="AD32" s="770">
        <v>2.8834772484719124E-2</v>
      </c>
      <c r="AE32" s="770">
        <v>2.3071698845444844E-2</v>
      </c>
      <c r="AF32" s="770">
        <v>1.7740370621907441E-2</v>
      </c>
      <c r="AG32" s="770">
        <v>1.2617638498108081E-2</v>
      </c>
      <c r="AH32" s="770">
        <v>8.3292907732608907E-3</v>
      </c>
      <c r="AI32" s="770">
        <v>4.3950713107596779E-3</v>
      </c>
      <c r="AJ32" s="770"/>
      <c r="AK32" s="770">
        <f t="shared" si="0"/>
        <v>7.5271407530231107</v>
      </c>
      <c r="AL32" s="770">
        <f t="shared" si="1"/>
        <v>17.310721518314079</v>
      </c>
      <c r="AM32" s="770">
        <f t="shared" si="2"/>
        <v>17.767154025705771</v>
      </c>
      <c r="AN32" s="770">
        <f t="shared" si="3"/>
        <v>20.365227259173992</v>
      </c>
      <c r="AO32" s="770">
        <f t="shared" si="4"/>
        <v>13.547327774777003</v>
      </c>
      <c r="AP32" s="770">
        <f t="shared" si="5"/>
        <v>15.316491635816005</v>
      </c>
      <c r="AQ32" s="770">
        <f t="shared" si="6"/>
        <v>15.7254338916424</v>
      </c>
      <c r="AR32" s="770">
        <f t="shared" si="7"/>
        <v>16.886658064203484</v>
      </c>
      <c r="AS32" s="770">
        <f t="shared" si="8"/>
        <v>17.861933978967752</v>
      </c>
      <c r="AT32" s="770">
        <f t="shared" si="9"/>
        <v>17.263565979134466</v>
      </c>
      <c r="AU32" s="770">
        <f t="shared" si="10"/>
        <v>17.857945734051917</v>
      </c>
      <c r="AV32" s="770">
        <f t="shared" si="11"/>
        <v>14.254151188012154</v>
      </c>
      <c r="AW32" s="770">
        <f t="shared" si="12"/>
        <v>11.2076658488619</v>
      </c>
      <c r="AX32" s="770">
        <f t="shared" si="13"/>
        <v>4.7955951986771588</v>
      </c>
      <c r="AY32" s="770">
        <f t="shared" si="14"/>
        <v>4.5461231278187091</v>
      </c>
      <c r="AZ32" s="770">
        <f t="shared" si="15"/>
        <v>4.7451748140496912</v>
      </c>
      <c r="BA32" s="770"/>
      <c r="BB32" s="770">
        <f t="shared" si="16"/>
        <v>13.561144424514348</v>
      </c>
    </row>
    <row r="33" spans="1:54" x14ac:dyDescent="0.75">
      <c r="A33" s="132" t="s">
        <v>363</v>
      </c>
      <c r="B33" s="132" t="str">
        <f>VLOOKUP(A33,'HCW + Staff Summary'!B:E,4,FALSE)</f>
        <v>High income</v>
      </c>
      <c r="C33" s="770">
        <v>7.0521284950559897</v>
      </c>
      <c r="D33" s="770">
        <v>16.325874014199201</v>
      </c>
      <c r="E33" s="770">
        <v>17.0055856033418</v>
      </c>
      <c r="F33" s="770">
        <v>20.6508876694257</v>
      </c>
      <c r="G33" s="770">
        <v>14.2320593365317</v>
      </c>
      <c r="H33" s="770">
        <v>17.061031071599299</v>
      </c>
      <c r="I33" s="770">
        <v>20.0033356249143</v>
      </c>
      <c r="J33" s="770">
        <v>21.699297609071699</v>
      </c>
      <c r="K33" s="770">
        <v>19.143516434275401</v>
      </c>
      <c r="L33" s="770">
        <v>15.6786695342544</v>
      </c>
      <c r="M33" s="770">
        <v>12.156072956540701</v>
      </c>
      <c r="N33" s="770">
        <v>8.0670805812351407</v>
      </c>
      <c r="O33" s="770">
        <v>6.2746574179312304</v>
      </c>
      <c r="P33" s="770">
        <v>5.0198660876116099</v>
      </c>
      <c r="Q33" s="770">
        <v>2.8277386544538499</v>
      </c>
      <c r="R33" s="770">
        <v>1.73973859062584</v>
      </c>
      <c r="S33" s="770"/>
      <c r="T33" s="770">
        <v>5.220581318784686E-2</v>
      </c>
      <c r="U33" s="770">
        <v>5.1829555074781299E-2</v>
      </c>
      <c r="V33" s="770">
        <v>5.3522716583576331E-2</v>
      </c>
      <c r="W33" s="770">
        <v>4.5527231680933117E-2</v>
      </c>
      <c r="X33" s="770">
        <v>4.4022199228670865E-2</v>
      </c>
      <c r="Y33" s="770">
        <v>5.9166588279559777E-2</v>
      </c>
      <c r="Z33" s="770">
        <v>6.6879879597403824E-2</v>
      </c>
      <c r="AA33" s="770">
        <v>7.1018718841125011E-2</v>
      </c>
      <c r="AB33" s="770">
        <v>8.6915624118145046E-2</v>
      </c>
      <c r="AC33" s="770">
        <v>8.1083623365628826E-2</v>
      </c>
      <c r="AD33" s="770">
        <v>6.4810459975543216E-2</v>
      </c>
      <c r="AE33" s="770">
        <v>6.1424136957953158E-2</v>
      </c>
      <c r="AF33" s="770">
        <v>6.0107233562223687E-2</v>
      </c>
      <c r="AG33" s="770">
        <v>6.3587621108080139E-2</v>
      </c>
      <c r="AH33" s="770">
        <v>5.7285297714231964E-2</v>
      </c>
      <c r="AI33" s="770">
        <v>3.9036779230552161E-2</v>
      </c>
      <c r="AJ33" s="770"/>
      <c r="AK33" s="770">
        <f t="shared" si="0"/>
        <v>8.4427002287094854</v>
      </c>
      <c r="AL33" s="770">
        <f t="shared" si="1"/>
        <v>19.686974437948244</v>
      </c>
      <c r="AM33" s="770">
        <f t="shared" si="2"/>
        <v>19.857906475079819</v>
      </c>
      <c r="AN33" s="770">
        <f t="shared" si="3"/>
        <v>28.349636726971156</v>
      </c>
      <c r="AO33" s="770">
        <f t="shared" si="4"/>
        <v>20.205798985933296</v>
      </c>
      <c r="AP33" s="770">
        <f t="shared" si="5"/>
        <v>18.02223979751313</v>
      </c>
      <c r="AQ33" s="770">
        <f t="shared" si="6"/>
        <v>18.6933422141758</v>
      </c>
      <c r="AR33" s="770">
        <f t="shared" si="7"/>
        <v>19.096459675665667</v>
      </c>
      <c r="AS33" s="770">
        <f t="shared" si="8"/>
        <v>13.765876840691408</v>
      </c>
      <c r="AT33" s="770">
        <f t="shared" si="9"/>
        <v>12.085262167826169</v>
      </c>
      <c r="AU33" s="770">
        <f t="shared" si="10"/>
        <v>11.722715130713372</v>
      </c>
      <c r="AV33" s="770">
        <f t="shared" si="11"/>
        <v>8.2083780301599134</v>
      </c>
      <c r="AW33" s="770">
        <f t="shared" si="12"/>
        <v>6.5244408264893297</v>
      </c>
      <c r="AX33" s="770">
        <f t="shared" si="13"/>
        <v>4.9340048425849696</v>
      </c>
      <c r="AY33" s="770">
        <f t="shared" si="14"/>
        <v>3.0851487721160589</v>
      </c>
      <c r="AZ33" s="770">
        <f t="shared" si="15"/>
        <v>2.7854158067685697</v>
      </c>
      <c r="BA33" s="770"/>
      <c r="BB33" s="770">
        <f t="shared" si="16"/>
        <v>13.466643809959152</v>
      </c>
    </row>
    <row r="34" spans="1:54" x14ac:dyDescent="0.75">
      <c r="A34" s="132" t="s">
        <v>236</v>
      </c>
      <c r="B34" s="132" t="str">
        <f>VLOOKUP(A34,'HCW + Staff Summary'!B:E,4,FALSE)</f>
        <v>Upper middle income</v>
      </c>
      <c r="C34" s="770">
        <v>8.7950288383912607</v>
      </c>
      <c r="D34" s="770">
        <v>18.0583831457085</v>
      </c>
      <c r="E34" s="770">
        <v>20.664560648872399</v>
      </c>
      <c r="F34" s="770">
        <v>25.3725854989863</v>
      </c>
      <c r="G34" s="770">
        <v>17.228235330978901</v>
      </c>
      <c r="H34" s="770">
        <v>18.8688220480567</v>
      </c>
      <c r="I34" s="770">
        <v>18.806075322666601</v>
      </c>
      <c r="J34" s="770">
        <v>19.504738318925401</v>
      </c>
      <c r="K34" s="770">
        <v>18.480481554285898</v>
      </c>
      <c r="L34" s="770">
        <v>15.620346827224299</v>
      </c>
      <c r="M34" s="770">
        <v>13.3109449944712</v>
      </c>
      <c r="N34" s="770">
        <v>8.8566234685998708</v>
      </c>
      <c r="O34" s="770">
        <v>5.3078840847323896</v>
      </c>
      <c r="P34" s="770">
        <v>2.7894155566226</v>
      </c>
      <c r="Q34" s="770">
        <v>2.9126760113872301</v>
      </c>
      <c r="R34" s="770">
        <v>1.63895312098045</v>
      </c>
      <c r="S34" s="770"/>
      <c r="T34" s="770">
        <v>6.7367286445701974E-2</v>
      </c>
      <c r="U34" s="770">
        <v>7.1139854486661283E-2</v>
      </c>
      <c r="V34" s="770">
        <v>6.3594718404742651E-2</v>
      </c>
      <c r="W34" s="770">
        <v>5.4432767448127188E-2</v>
      </c>
      <c r="X34" s="770">
        <v>5.8744273780652112E-2</v>
      </c>
      <c r="Y34" s="770">
        <v>6.7097817299919163E-2</v>
      </c>
      <c r="Z34" s="770">
        <v>7.2487200215575323E-2</v>
      </c>
      <c r="AA34" s="770">
        <v>6.8984101320398811E-2</v>
      </c>
      <c r="AB34" s="770">
        <v>6.6019940716787934E-2</v>
      </c>
      <c r="AC34" s="770">
        <v>6.3594718404742651E-2</v>
      </c>
      <c r="AD34" s="770">
        <v>6.1438965238480192E-2</v>
      </c>
      <c r="AE34" s="770">
        <v>6.9792508757747243E-2</v>
      </c>
      <c r="AF34" s="770">
        <v>6.2516841821611421E-2</v>
      </c>
      <c r="AG34" s="770">
        <v>5.2815952573430344E-2</v>
      </c>
      <c r="AH34" s="770">
        <v>3.77256804095931E-2</v>
      </c>
      <c r="AI34" s="770">
        <v>2.4521692266235517E-2</v>
      </c>
      <c r="AJ34" s="770"/>
      <c r="AK34" s="770">
        <f t="shared" si="0"/>
        <v>8.1595880048174916</v>
      </c>
      <c r="AL34" s="770">
        <f t="shared" si="1"/>
        <v>15.86521303355214</v>
      </c>
      <c r="AM34" s="770">
        <f t="shared" si="2"/>
        <v>20.308841252109502</v>
      </c>
      <c r="AN34" s="770">
        <f t="shared" si="3"/>
        <v>29.132940837480866</v>
      </c>
      <c r="AO34" s="770">
        <f t="shared" si="4"/>
        <v>18.329696477426236</v>
      </c>
      <c r="AP34" s="770">
        <f t="shared" si="5"/>
        <v>17.575853067354018</v>
      </c>
      <c r="AQ34" s="770">
        <f t="shared" si="6"/>
        <v>16.214996636249012</v>
      </c>
      <c r="AR34" s="770">
        <f t="shared" si="7"/>
        <v>17.671407202522502</v>
      </c>
      <c r="AS34" s="770">
        <f t="shared" si="8"/>
        <v>17.495170165294635</v>
      </c>
      <c r="AT34" s="770">
        <f t="shared" si="9"/>
        <v>15.351458441692102</v>
      </c>
      <c r="AU34" s="770">
        <f t="shared" si="10"/>
        <v>13.540821511645456</v>
      </c>
      <c r="AV34" s="770">
        <f t="shared" si="11"/>
        <v>7.9312089025034069</v>
      </c>
      <c r="AW34" s="770">
        <f t="shared" si="12"/>
        <v>5.3064541590630112</v>
      </c>
      <c r="AX34" s="770">
        <f t="shared" si="13"/>
        <v>3.3008677074701747</v>
      </c>
      <c r="AY34" s="770">
        <f t="shared" si="14"/>
        <v>4.8254199456508982</v>
      </c>
      <c r="AZ34" s="770">
        <f t="shared" si="15"/>
        <v>4.177304280191243</v>
      </c>
      <c r="BA34" s="770"/>
      <c r="BB34" s="770">
        <f t="shared" si="16"/>
        <v>13.449202601563918</v>
      </c>
    </row>
    <row r="35" spans="1:54" x14ac:dyDescent="0.75">
      <c r="A35" s="132" t="s">
        <v>355</v>
      </c>
      <c r="B35" s="132" t="str">
        <f>VLOOKUP(A35,'HCW + Staff Summary'!B:E,4,FALSE)</f>
        <v>Low income</v>
      </c>
      <c r="C35" s="770">
        <v>18.633646111357201</v>
      </c>
      <c r="D35" s="770">
        <v>35.037200727985898</v>
      </c>
      <c r="E35" s="770">
        <v>31.992196428901099</v>
      </c>
      <c r="F35" s="770">
        <v>24.771817708290399</v>
      </c>
      <c r="G35" s="770">
        <v>17.879980987571301</v>
      </c>
      <c r="H35" s="770">
        <v>18.8151999368608</v>
      </c>
      <c r="I35" s="770">
        <v>17.8285970789806</v>
      </c>
      <c r="J35" s="770">
        <v>16.462954358164701</v>
      </c>
      <c r="K35" s="770">
        <v>13.506696674761001</v>
      </c>
      <c r="L35" s="770">
        <v>10.4372072167711</v>
      </c>
      <c r="M35" s="770">
        <v>7.9047439348667101</v>
      </c>
      <c r="N35" s="770">
        <v>3.92261520493168</v>
      </c>
      <c r="O35" s="770">
        <v>2.35017522860077</v>
      </c>
      <c r="P35" s="770">
        <v>1.2555147792546699</v>
      </c>
      <c r="Q35" s="770">
        <v>0.64000294450739603</v>
      </c>
      <c r="R35" s="770">
        <v>0.37552886137416802</v>
      </c>
      <c r="S35" s="770"/>
      <c r="T35" s="770">
        <v>0.17672871004120097</v>
      </c>
      <c r="U35" s="770">
        <v>0.1525105793816505</v>
      </c>
      <c r="V35" s="770">
        <v>0.12871674054554996</v>
      </c>
      <c r="W35" s="770">
        <v>0.10577148535634931</v>
      </c>
      <c r="X35" s="770">
        <v>8.6309889349158675E-2</v>
      </c>
      <c r="Y35" s="770">
        <v>7.189513292616205E-2</v>
      </c>
      <c r="Z35" s="770">
        <v>5.9635332343319081E-2</v>
      </c>
      <c r="AA35" s="770">
        <v>4.9363003986110023E-2</v>
      </c>
      <c r="AB35" s="770">
        <v>4.0519869139469186E-2</v>
      </c>
      <c r="AC35" s="770">
        <v>3.3239914695012335E-2</v>
      </c>
      <c r="AD35" s="770">
        <v>2.703185538348165E-2</v>
      </c>
      <c r="AE35" s="770">
        <v>2.1493730530029811E-2</v>
      </c>
      <c r="AF35" s="770">
        <v>1.6592043411752883E-2</v>
      </c>
      <c r="AG35" s="770">
        <v>1.2270966157144294E-2</v>
      </c>
      <c r="AH35" s="770">
        <v>8.8096381237368938E-3</v>
      </c>
      <c r="AI35" s="770">
        <v>5.3594756646308103E-3</v>
      </c>
      <c r="AJ35" s="770"/>
      <c r="AK35" s="770">
        <f t="shared" si="0"/>
        <v>6.5897775278748982</v>
      </c>
      <c r="AL35" s="770">
        <f t="shared" si="1"/>
        <v>14.358512402075302</v>
      </c>
      <c r="AM35" s="770">
        <f t="shared" si="2"/>
        <v>15.534205328161928</v>
      </c>
      <c r="AN35" s="770">
        <f t="shared" si="3"/>
        <v>14.637580266099681</v>
      </c>
      <c r="AO35" s="770">
        <f t="shared" si="4"/>
        <v>12.94751760371825</v>
      </c>
      <c r="AP35" s="770">
        <f t="shared" si="5"/>
        <v>16.356461810308183</v>
      </c>
      <c r="AQ35" s="770">
        <f t="shared" si="6"/>
        <v>18.685018992119705</v>
      </c>
      <c r="AR35" s="770">
        <f t="shared" si="7"/>
        <v>20.844246992642912</v>
      </c>
      <c r="AS35" s="770">
        <f t="shared" si="8"/>
        <v>20.833446901492664</v>
      </c>
      <c r="AT35" s="770">
        <f t="shared" si="9"/>
        <v>19.624763090805267</v>
      </c>
      <c r="AU35" s="770">
        <f t="shared" si="10"/>
        <v>18.276455275469779</v>
      </c>
      <c r="AV35" s="770">
        <f t="shared" si="11"/>
        <v>11.406277284704098</v>
      </c>
      <c r="AW35" s="770">
        <f t="shared" si="12"/>
        <v>8.8527945679977105</v>
      </c>
      <c r="AX35" s="770">
        <f t="shared" si="13"/>
        <v>6.3947428995011082</v>
      </c>
      <c r="AY35" s="770">
        <f t="shared" si="14"/>
        <v>4.5405025121219031</v>
      </c>
      <c r="AZ35" s="770">
        <f t="shared" si="15"/>
        <v>4.3792630668661277</v>
      </c>
      <c r="BA35" s="770"/>
      <c r="BB35" s="770">
        <f t="shared" si="16"/>
        <v>13.391347907622466</v>
      </c>
    </row>
    <row r="36" spans="1:54" x14ac:dyDescent="0.75">
      <c r="A36" s="132" t="s">
        <v>326</v>
      </c>
      <c r="B36" s="132" t="str">
        <f>VLOOKUP(A36,'HCW + Staff Summary'!B:E,4,FALSE)</f>
        <v>High income</v>
      </c>
      <c r="C36" s="770">
        <v>5.8137957071791497</v>
      </c>
      <c r="D36" s="770">
        <v>14.7184668303412</v>
      </c>
      <c r="E36" s="770">
        <v>18.7432308307501</v>
      </c>
      <c r="F36" s="770">
        <v>24.850372398981001</v>
      </c>
      <c r="G36" s="770">
        <v>14.657010007940499</v>
      </c>
      <c r="H36" s="770">
        <v>16.587794437317299</v>
      </c>
      <c r="I36" s="770">
        <v>17.426417168236799</v>
      </c>
      <c r="J36" s="770">
        <v>18.536415042719501</v>
      </c>
      <c r="K36" s="770">
        <v>19.5499400236165</v>
      </c>
      <c r="L36" s="770">
        <v>16.398364872585599</v>
      </c>
      <c r="M36" s="770">
        <v>12.005199278425801</v>
      </c>
      <c r="N36" s="770">
        <v>6.7380178346898703</v>
      </c>
      <c r="O36" s="770">
        <v>5.0906593967053402</v>
      </c>
      <c r="P36" s="770">
        <v>4.2923403689020398</v>
      </c>
      <c r="Q36" s="770">
        <v>3.5091008956311098</v>
      </c>
      <c r="R36" s="770">
        <v>1.83639351114806</v>
      </c>
      <c r="S36" s="770"/>
      <c r="T36" s="770">
        <v>4.9757964651581672E-2</v>
      </c>
      <c r="U36" s="770">
        <v>4.7281323877068557E-2</v>
      </c>
      <c r="V36" s="770">
        <v>4.7056174715749181E-2</v>
      </c>
      <c r="W36" s="770">
        <v>5.0208262974220423E-2</v>
      </c>
      <c r="X36" s="770">
        <v>5.6512439491162893E-2</v>
      </c>
      <c r="Y36" s="770">
        <v>6.7432173815152541E-2</v>
      </c>
      <c r="Z36" s="770">
        <v>6.8783068783068779E-2</v>
      </c>
      <c r="AA36" s="770">
        <v>6.9120792525047839E-2</v>
      </c>
      <c r="AB36" s="770">
        <v>6.2816616008105369E-2</v>
      </c>
      <c r="AC36" s="770">
        <v>6.7995046718450969E-2</v>
      </c>
      <c r="AD36" s="770">
        <v>7.9139930203759992E-2</v>
      </c>
      <c r="AE36" s="770">
        <v>7.7001013171225943E-2</v>
      </c>
      <c r="AF36" s="770">
        <v>6.473038387932005E-2</v>
      </c>
      <c r="AG36" s="770">
        <v>5.0095688393560732E-2</v>
      </c>
      <c r="AH36" s="770">
        <v>4.5254981425194192E-2</v>
      </c>
      <c r="AI36" s="770">
        <v>4.2553191489361701E-2</v>
      </c>
      <c r="AJ36" s="770"/>
      <c r="AK36" s="770">
        <f t="shared" ref="AK36:AK67" si="17">C36/T36/16</f>
        <v>7.3025943533473399</v>
      </c>
      <c r="AL36" s="770">
        <f t="shared" ref="AL36:AL67" si="18">D36/U36/16</f>
        <v>19.455973341357275</v>
      </c>
      <c r="AM36" s="770">
        <f t="shared" ref="AM36:AM67" si="19">E36/V36/16</f>
        <v>24.894754705375771</v>
      </c>
      <c r="AN36" s="770">
        <f t="shared" ref="AN36:AN67" si="20">F36/W36/16</f>
        <v>30.93411687502077</v>
      </c>
      <c r="AO36" s="770">
        <f t="shared" ref="AO36:AO67" si="21">G36/X36/16</f>
        <v>16.20993773662045</v>
      </c>
      <c r="AP36" s="770">
        <f t="shared" ref="AP36:AP67" si="22">H36/Y36/16</f>
        <v>15.374517736507675</v>
      </c>
      <c r="AQ36" s="770">
        <f t="shared" ref="AQ36:AQ67" si="23">I36/Z36/16</f>
        <v>15.834580984599786</v>
      </c>
      <c r="AR36" s="770">
        <f t="shared" ref="AR36:AR67" si="24">J36/AA36/16</f>
        <v>16.76088913115608</v>
      </c>
      <c r="AS36" s="770">
        <f t="shared" ref="AS36:AS67" si="25">K36/AB36/16</f>
        <v>19.451402019465206</v>
      </c>
      <c r="AT36" s="770">
        <f t="shared" ref="AT36:AT67" si="26">L36/AC36/16</f>
        <v>15.073124499501024</v>
      </c>
      <c r="AU36" s="770">
        <f t="shared" ref="AU36:AU67" si="27">M36/AD36/16</f>
        <v>9.480990859731186</v>
      </c>
      <c r="AV36" s="770">
        <f t="shared" ref="AV36:AV67" si="28">N36/AE36/16</f>
        <v>5.4690983575977805</v>
      </c>
      <c r="AW36" s="770">
        <f t="shared" ref="AW36:AW67" si="29">O36/AF36/16</f>
        <v>4.9152529805362537</v>
      </c>
      <c r="AX36" s="770">
        <f t="shared" ref="AX36:AX67" si="30">P36/AG36/16</f>
        <v>5.3551768956400032</v>
      </c>
      <c r="AY36" s="770">
        <f t="shared" ref="AY36:AY67" si="31">Q36/AH36/16</f>
        <v>4.8462909290875542</v>
      </c>
      <c r="AZ36" s="770">
        <f t="shared" ref="AZ36:AZ67" si="32">R36/AI36/16</f>
        <v>2.6972029694987132</v>
      </c>
      <c r="BA36" s="770"/>
      <c r="BB36" s="770">
        <f t="shared" ref="BB36:BB67" si="33">IFERROR(AVERAGE(AK36:AZ36),"")</f>
        <v>13.378494023440179</v>
      </c>
    </row>
    <row r="37" spans="1:54" x14ac:dyDescent="0.75">
      <c r="A37" s="132" t="s">
        <v>419</v>
      </c>
      <c r="B37" s="132" t="str">
        <f>VLOOKUP(A37,'HCW + Staff Summary'!B:E,4,FALSE)</f>
        <v>Upper middle income</v>
      </c>
      <c r="C37" s="770">
        <v>18.498253750038</v>
      </c>
      <c r="D37" s="770">
        <v>34.904678464527102</v>
      </c>
      <c r="E37" s="770">
        <v>36.313068671956103</v>
      </c>
      <c r="F37" s="770">
        <v>36.800408064111203</v>
      </c>
      <c r="G37" s="770">
        <v>18.952928677028499</v>
      </c>
      <c r="H37" s="770">
        <v>18.0252971242837</v>
      </c>
      <c r="I37" s="770">
        <v>16.9841296608598</v>
      </c>
      <c r="J37" s="770">
        <v>16.2421743789759</v>
      </c>
      <c r="K37" s="770">
        <v>14.2276954889391</v>
      </c>
      <c r="L37" s="770">
        <v>11.1976491866817</v>
      </c>
      <c r="M37" s="770">
        <v>8.8333779450608905</v>
      </c>
      <c r="N37" s="770">
        <v>5.9377861715039302</v>
      </c>
      <c r="O37" s="770">
        <v>3.3625533489217001</v>
      </c>
      <c r="P37" s="770">
        <v>1.0655174010006301</v>
      </c>
      <c r="Q37" s="770">
        <v>0.52663514947239798</v>
      </c>
      <c r="R37" s="770">
        <v>0.33000968653059198</v>
      </c>
      <c r="S37" s="770"/>
      <c r="T37" s="770">
        <v>0.13375764506986226</v>
      </c>
      <c r="U37" s="770">
        <v>0.13000348068221371</v>
      </c>
      <c r="V37" s="770">
        <v>0.11334593008801154</v>
      </c>
      <c r="W37" s="770">
        <v>0.10322708965242902</v>
      </c>
      <c r="X37" s="770">
        <v>9.4450798070707567E-2</v>
      </c>
      <c r="Y37" s="770">
        <v>8.3685545224006758E-2</v>
      </c>
      <c r="Z37" s="770">
        <v>7.2795982298244744E-2</v>
      </c>
      <c r="AA37" s="770">
        <v>6.1558351151111329E-2</v>
      </c>
      <c r="AB37" s="770">
        <v>5.3453333996320421E-2</v>
      </c>
      <c r="AC37" s="770">
        <v>4.4403560240664317E-2</v>
      </c>
      <c r="AD37" s="770">
        <v>3.5179752374322512E-2</v>
      </c>
      <c r="AE37" s="770">
        <v>2.3022226642136143E-2</v>
      </c>
      <c r="AF37" s="770">
        <v>1.6632688578389936E-2</v>
      </c>
      <c r="AG37" s="770">
        <v>1.5489035851026801E-2</v>
      </c>
      <c r="AH37" s="770">
        <v>8.2541892496643624E-3</v>
      </c>
      <c r="AI37" s="770">
        <v>6.0166078265625773E-3</v>
      </c>
      <c r="AJ37" s="770"/>
      <c r="AK37" s="770">
        <f t="shared" si="17"/>
        <v>8.6435497483042329</v>
      </c>
      <c r="AL37" s="770">
        <f t="shared" si="18"/>
        <v>16.780646122588081</v>
      </c>
      <c r="AM37" s="770">
        <f t="shared" si="19"/>
        <v>20.023363787609924</v>
      </c>
      <c r="AN37" s="770">
        <f t="shared" si="20"/>
        <v>22.281220092044208</v>
      </c>
      <c r="AO37" s="770">
        <f t="shared" si="21"/>
        <v>12.541535556189793</v>
      </c>
      <c r="AP37" s="770">
        <f t="shared" si="22"/>
        <v>13.462074809360869</v>
      </c>
      <c r="AQ37" s="770">
        <f t="shared" si="23"/>
        <v>14.581960024314867</v>
      </c>
      <c r="AR37" s="770">
        <f t="shared" si="24"/>
        <v>16.490628480189031</v>
      </c>
      <c r="AS37" s="770">
        <f t="shared" si="25"/>
        <v>16.635650231282224</v>
      </c>
      <c r="AT37" s="770">
        <f t="shared" si="26"/>
        <v>15.761192804686145</v>
      </c>
      <c r="AU37" s="770">
        <f t="shared" si="27"/>
        <v>15.693291859816215</v>
      </c>
      <c r="AV37" s="770">
        <f t="shared" si="28"/>
        <v>16.11971081197564</v>
      </c>
      <c r="AW37" s="770">
        <f t="shared" si="29"/>
        <v>12.635334529178683</v>
      </c>
      <c r="AX37" s="770">
        <f t="shared" si="30"/>
        <v>4.2994824340938349</v>
      </c>
      <c r="AY37" s="770">
        <f t="shared" si="31"/>
        <v>3.9876353505419413</v>
      </c>
      <c r="AZ37" s="770">
        <f t="shared" si="32"/>
        <v>3.4281119864755869</v>
      </c>
      <c r="BA37" s="770"/>
      <c r="BB37" s="770">
        <f t="shared" si="33"/>
        <v>13.335336789290706</v>
      </c>
    </row>
    <row r="38" spans="1:54" x14ac:dyDescent="0.75">
      <c r="A38" s="132" t="s">
        <v>379</v>
      </c>
      <c r="B38" s="132" t="str">
        <f>VLOOKUP(A38,'HCW + Staff Summary'!B:E,4,FALSE)</f>
        <v>High income</v>
      </c>
      <c r="C38" s="770">
        <v>10.584485163232401</v>
      </c>
      <c r="D38" s="770">
        <v>13.463581945955299</v>
      </c>
      <c r="E38" s="770">
        <v>14.5032176523698</v>
      </c>
      <c r="F38" s="770">
        <v>18.350283073936399</v>
      </c>
      <c r="G38" s="770">
        <v>15.803409599432801</v>
      </c>
      <c r="H38" s="770">
        <v>18.096253943760601</v>
      </c>
      <c r="I38" s="770">
        <v>18.980020059168702</v>
      </c>
      <c r="J38" s="770">
        <v>19.785725900557001</v>
      </c>
      <c r="K38" s="770">
        <v>18.800110326938601</v>
      </c>
      <c r="L38" s="770">
        <v>15.6351202425758</v>
      </c>
      <c r="M38" s="770">
        <v>12.9821901035948</v>
      </c>
      <c r="N38" s="770">
        <v>8.4762215807279695</v>
      </c>
      <c r="O38" s="770">
        <v>5.6708535592290197</v>
      </c>
      <c r="P38" s="770">
        <v>4.2265314863084997</v>
      </c>
      <c r="Q38" s="770">
        <v>3.7878453515208399</v>
      </c>
      <c r="R38" s="770">
        <v>2.1570243052511699</v>
      </c>
      <c r="S38" s="770"/>
      <c r="T38" s="770">
        <v>5.1789794364051789E-2</v>
      </c>
      <c r="U38" s="770">
        <v>5.6359482102056359E-2</v>
      </c>
      <c r="V38" s="770">
        <v>5.6359482102056359E-2</v>
      </c>
      <c r="W38" s="770">
        <v>4.7220106626047219E-2</v>
      </c>
      <c r="X38" s="770">
        <v>4.3412033511043412E-2</v>
      </c>
      <c r="Y38" s="770">
        <v>6.6260472201066262E-2</v>
      </c>
      <c r="Z38" s="770">
        <v>7.6161462300076158E-2</v>
      </c>
      <c r="AA38" s="770">
        <v>6.9306930693069313E-2</v>
      </c>
      <c r="AB38" s="770">
        <v>6.6260472201066262E-2</v>
      </c>
      <c r="AC38" s="770">
        <v>7.311500380807312E-2</v>
      </c>
      <c r="AD38" s="770">
        <v>5.7882711348057884E-2</v>
      </c>
      <c r="AE38" s="770">
        <v>6.7022086824067018E-2</v>
      </c>
      <c r="AF38" s="770">
        <v>6.4737242955064736E-2</v>
      </c>
      <c r="AG38" s="770">
        <v>6.321401370906321E-2</v>
      </c>
      <c r="AH38" s="770">
        <v>3.9603960396039604E-2</v>
      </c>
      <c r="AI38" s="770">
        <v>4.112718964204113E-2</v>
      </c>
      <c r="AJ38" s="770"/>
      <c r="AK38" s="770">
        <f t="shared" si="17"/>
        <v>12.77337226040822</v>
      </c>
      <c r="AL38" s="770">
        <f t="shared" si="18"/>
        <v>14.930475587026443</v>
      </c>
      <c r="AM38" s="770">
        <f t="shared" si="19"/>
        <v>16.083382413481036</v>
      </c>
      <c r="AN38" s="770">
        <f t="shared" si="20"/>
        <v>24.288227496046868</v>
      </c>
      <c r="AO38" s="770">
        <f t="shared" si="21"/>
        <v>22.752057899183406</v>
      </c>
      <c r="AP38" s="770">
        <f t="shared" si="22"/>
        <v>17.069239531722463</v>
      </c>
      <c r="AQ38" s="770">
        <f t="shared" si="23"/>
        <v>15.575478961055316</v>
      </c>
      <c r="AR38" s="770">
        <f t="shared" si="24"/>
        <v>17.842484963895149</v>
      </c>
      <c r="AS38" s="770">
        <f t="shared" si="25"/>
        <v>17.733150042579297</v>
      </c>
      <c r="AT38" s="770">
        <f t="shared" si="26"/>
        <v>13.365177655274755</v>
      </c>
      <c r="AU38" s="770">
        <f t="shared" si="27"/>
        <v>14.017775991792739</v>
      </c>
      <c r="AV38" s="770">
        <f t="shared" si="28"/>
        <v>7.9043174257782844</v>
      </c>
      <c r="AW38" s="770">
        <f t="shared" si="29"/>
        <v>5.4748755318144875</v>
      </c>
      <c r="AX38" s="770">
        <f t="shared" si="30"/>
        <v>4.1787920493396538</v>
      </c>
      <c r="AY38" s="770">
        <f t="shared" si="31"/>
        <v>5.9776934453688257</v>
      </c>
      <c r="AZ38" s="770">
        <f t="shared" si="32"/>
        <v>3.2779779083272986</v>
      </c>
      <c r="BA38" s="770"/>
      <c r="BB38" s="770">
        <f t="shared" si="33"/>
        <v>13.32777994769339</v>
      </c>
    </row>
    <row r="39" spans="1:54" x14ac:dyDescent="0.75">
      <c r="A39" s="132" t="s">
        <v>416</v>
      </c>
      <c r="B39" s="132" t="str">
        <f>VLOOKUP(A39,'HCW + Staff Summary'!B:E,4,FALSE)</f>
        <v>High income</v>
      </c>
      <c r="C39" s="770">
        <v>11.8457660379439</v>
      </c>
      <c r="D39" s="770">
        <v>15.910682715738901</v>
      </c>
      <c r="E39" s="770">
        <v>20.849644741398301</v>
      </c>
      <c r="F39" s="770">
        <v>25.368387455755599</v>
      </c>
      <c r="G39" s="770">
        <v>16.7675146455889</v>
      </c>
      <c r="H39" s="770">
        <v>18.252732487816399</v>
      </c>
      <c r="I39" s="770">
        <v>19.557019192249602</v>
      </c>
      <c r="J39" s="770">
        <v>20.1912448605847</v>
      </c>
      <c r="K39" s="770">
        <v>19.192806337318501</v>
      </c>
      <c r="L39" s="770">
        <v>16.399523092028002</v>
      </c>
      <c r="M39" s="770">
        <v>13.2747411371393</v>
      </c>
      <c r="N39" s="770">
        <v>9.1138738616505002</v>
      </c>
      <c r="O39" s="770">
        <v>4.90481383661034</v>
      </c>
      <c r="P39" s="770">
        <v>3.1754847209077299</v>
      </c>
      <c r="Q39" s="770">
        <v>1.8456122130052599</v>
      </c>
      <c r="R39" s="770">
        <v>1.2917856369699801</v>
      </c>
      <c r="S39" s="770"/>
      <c r="T39" s="770">
        <v>5.8495821727019497E-2</v>
      </c>
      <c r="U39" s="770">
        <v>6.6852367688022288E-2</v>
      </c>
      <c r="V39" s="770">
        <v>6.9637883008356549E-2</v>
      </c>
      <c r="W39" s="770">
        <v>6.1281337047353758E-2</v>
      </c>
      <c r="X39" s="770">
        <v>6.4066852367688026E-2</v>
      </c>
      <c r="Y39" s="770">
        <v>7.5208913649025072E-2</v>
      </c>
      <c r="Z39" s="770">
        <v>6.6852367688022288E-2</v>
      </c>
      <c r="AA39" s="770">
        <v>6.9637883008356549E-2</v>
      </c>
      <c r="AB39" s="770">
        <v>6.4066852367688026E-2</v>
      </c>
      <c r="AC39" s="770">
        <v>6.1281337047353758E-2</v>
      </c>
      <c r="AD39" s="770">
        <v>6.1281337047353758E-2</v>
      </c>
      <c r="AE39" s="770">
        <v>6.1281337047353758E-2</v>
      </c>
      <c r="AF39" s="770">
        <v>6.1281337047353758E-2</v>
      </c>
      <c r="AG39" s="770">
        <v>5.0139275766016712E-2</v>
      </c>
      <c r="AH39" s="770">
        <v>4.094707520891365E-2</v>
      </c>
      <c r="AI39" s="770">
        <v>2.7576601671309191E-2</v>
      </c>
      <c r="AJ39" s="770"/>
      <c r="AK39" s="770">
        <f t="shared" si="17"/>
        <v>12.656636927446012</v>
      </c>
      <c r="AL39" s="770">
        <f t="shared" si="18"/>
        <v>14.874830976432982</v>
      </c>
      <c r="AM39" s="770">
        <f t="shared" si="19"/>
        <v>18.712556155404975</v>
      </c>
      <c r="AN39" s="770">
        <f t="shared" si="20"/>
        <v>25.872872433568922</v>
      </c>
      <c r="AO39" s="770">
        <f t="shared" si="21"/>
        <v>16.357439559147867</v>
      </c>
      <c r="AP39" s="770">
        <f t="shared" si="22"/>
        <v>15.168358710940016</v>
      </c>
      <c r="AQ39" s="770">
        <f t="shared" si="23"/>
        <v>18.283775755254183</v>
      </c>
      <c r="AR39" s="770">
        <f t="shared" si="24"/>
        <v>18.121642262374767</v>
      </c>
      <c r="AS39" s="770">
        <f t="shared" si="25"/>
        <v>18.723417051894948</v>
      </c>
      <c r="AT39" s="770">
        <f t="shared" si="26"/>
        <v>16.725649971699013</v>
      </c>
      <c r="AU39" s="770">
        <f t="shared" si="27"/>
        <v>13.538727466571048</v>
      </c>
      <c r="AV39" s="770">
        <f t="shared" si="28"/>
        <v>9.2951156713992322</v>
      </c>
      <c r="AW39" s="770">
        <f t="shared" si="29"/>
        <v>5.0023527481338412</v>
      </c>
      <c r="AX39" s="770">
        <f t="shared" si="30"/>
        <v>3.9583299125203997</v>
      </c>
      <c r="AY39" s="770">
        <f t="shared" si="31"/>
        <v>2.8170696618575182</v>
      </c>
      <c r="AZ39" s="770">
        <f t="shared" si="32"/>
        <v>2.9277212353044373</v>
      </c>
      <c r="BA39" s="770"/>
      <c r="BB39" s="770">
        <f t="shared" si="33"/>
        <v>13.314781031246886</v>
      </c>
    </row>
    <row r="40" spans="1:54" x14ac:dyDescent="0.75">
      <c r="A40" s="132" t="s">
        <v>196</v>
      </c>
      <c r="B40" s="132" t="str">
        <f>VLOOKUP(A40,'HCW + Staff Summary'!B:E,4,FALSE)</f>
        <v>Lower middle income</v>
      </c>
      <c r="C40" s="770">
        <v>18.3133798196247</v>
      </c>
      <c r="D40" s="770">
        <v>30.1421788642282</v>
      </c>
      <c r="E40" s="770">
        <v>31.423523609852001</v>
      </c>
      <c r="F40" s="770">
        <v>28.915976755637502</v>
      </c>
      <c r="G40" s="770">
        <v>19.191936366316099</v>
      </c>
      <c r="H40" s="770">
        <v>19.688568753254799</v>
      </c>
      <c r="I40" s="770">
        <v>18.488186897426999</v>
      </c>
      <c r="J40" s="770">
        <v>18.212124293919999</v>
      </c>
      <c r="K40" s="770">
        <v>16.671769937206498</v>
      </c>
      <c r="L40" s="770">
        <v>13.156062486579099</v>
      </c>
      <c r="M40" s="770">
        <v>10.358344107510399</v>
      </c>
      <c r="N40" s="770">
        <v>6.0288373073915196</v>
      </c>
      <c r="O40" s="770">
        <v>3.1443623760335799</v>
      </c>
      <c r="P40" s="770">
        <v>1.0830111761219801</v>
      </c>
      <c r="Q40" s="770">
        <v>0.79360200990934104</v>
      </c>
      <c r="R40" s="770">
        <v>0.39171528908532899</v>
      </c>
      <c r="S40" s="770"/>
      <c r="T40" s="770">
        <v>0.13416792713931711</v>
      </c>
      <c r="U40" s="770">
        <v>0.12512470633669101</v>
      </c>
      <c r="V40" s="770">
        <v>0.1119621536382068</v>
      </c>
      <c r="W40" s="770">
        <v>0.10095581372896083</v>
      </c>
      <c r="X40" s="770">
        <v>9.2041322048080326E-2</v>
      </c>
      <c r="Y40" s="770">
        <v>8.1710810027998584E-2</v>
      </c>
      <c r="Z40" s="770">
        <v>7.2957229749300037E-2</v>
      </c>
      <c r="AA40" s="770">
        <v>6.1918707559617675E-2</v>
      </c>
      <c r="AB40" s="770">
        <v>5.2328387989572941E-2</v>
      </c>
      <c r="AC40" s="770">
        <v>4.5216104013130372E-2</v>
      </c>
      <c r="AD40" s="770">
        <v>3.8296913719306151E-2</v>
      </c>
      <c r="AE40" s="770">
        <v>3.044443729282657E-2</v>
      </c>
      <c r="AF40" s="770">
        <v>2.1465581051073278E-2</v>
      </c>
      <c r="AG40" s="770">
        <v>1.364528690503009E-2</v>
      </c>
      <c r="AH40" s="770">
        <v>9.5903195700447336E-3</v>
      </c>
      <c r="AI40" s="770">
        <v>5.1169825893862837E-3</v>
      </c>
      <c r="AJ40" s="770"/>
      <c r="AK40" s="770">
        <f t="shared" si="17"/>
        <v>8.5309974084792248</v>
      </c>
      <c r="AL40" s="770">
        <f t="shared" si="18"/>
        <v>15.056068734699121</v>
      </c>
      <c r="AM40" s="770">
        <f t="shared" si="19"/>
        <v>17.541375918527795</v>
      </c>
      <c r="AN40" s="770">
        <f t="shared" si="20"/>
        <v>17.901381609179236</v>
      </c>
      <c r="AO40" s="770">
        <f t="shared" si="21"/>
        <v>13.032146824968098</v>
      </c>
      <c r="AP40" s="770">
        <f t="shared" si="22"/>
        <v>15.059642006446593</v>
      </c>
      <c r="AQ40" s="770">
        <f t="shared" si="23"/>
        <v>15.838206646001023</v>
      </c>
      <c r="AR40" s="770">
        <f t="shared" si="24"/>
        <v>18.383099603202187</v>
      </c>
      <c r="AS40" s="770">
        <f t="shared" si="25"/>
        <v>19.912434934610143</v>
      </c>
      <c r="AT40" s="770">
        <f t="shared" si="26"/>
        <v>18.184979076755887</v>
      </c>
      <c r="AU40" s="770">
        <f t="shared" si="27"/>
        <v>16.904665254867155</v>
      </c>
      <c r="AV40" s="770">
        <f t="shared" si="28"/>
        <v>12.376721832226261</v>
      </c>
      <c r="AW40" s="770">
        <f t="shared" si="29"/>
        <v>9.1552447629770839</v>
      </c>
      <c r="AX40" s="770">
        <f t="shared" si="30"/>
        <v>4.9605551703476252</v>
      </c>
      <c r="AY40" s="770">
        <f t="shared" si="31"/>
        <v>5.1718949777501999</v>
      </c>
      <c r="AZ40" s="770">
        <f t="shared" si="32"/>
        <v>4.7845004629514261</v>
      </c>
      <c r="BA40" s="770"/>
      <c r="BB40" s="770">
        <f t="shared" si="33"/>
        <v>13.299619701499315</v>
      </c>
    </row>
    <row r="41" spans="1:54" x14ac:dyDescent="0.75">
      <c r="A41" s="132" t="s">
        <v>430</v>
      </c>
      <c r="B41" s="132" t="str">
        <f>VLOOKUP(A41,'HCW + Staff Summary'!B:E,4,FALSE)</f>
        <v>High income</v>
      </c>
      <c r="C41" s="770">
        <v>6.2851747122138502</v>
      </c>
      <c r="D41" s="770">
        <v>13.852040874859</v>
      </c>
      <c r="E41" s="770">
        <v>21.039026702129199</v>
      </c>
      <c r="F41" s="770">
        <v>25.008325657643201</v>
      </c>
      <c r="G41" s="770">
        <v>14.219284009188099</v>
      </c>
      <c r="H41" s="770">
        <v>15.8679643205804</v>
      </c>
      <c r="I41" s="770">
        <v>17.758673380136901</v>
      </c>
      <c r="J41" s="770">
        <v>18.607223096541201</v>
      </c>
      <c r="K41" s="770">
        <v>19.266900682035999</v>
      </c>
      <c r="L41" s="770">
        <v>15.697122783924399</v>
      </c>
      <c r="M41" s="770">
        <v>13.062920272526</v>
      </c>
      <c r="N41" s="770">
        <v>8.3571721760084792</v>
      </c>
      <c r="O41" s="770">
        <v>4.7818216659270103</v>
      </c>
      <c r="P41" s="770">
        <v>3.1934652656002598</v>
      </c>
      <c r="Q41" s="770">
        <v>2.2765722913258402</v>
      </c>
      <c r="R41" s="770">
        <v>1.4376860152423501</v>
      </c>
      <c r="S41" s="770"/>
      <c r="T41" s="770">
        <v>3.6997804398906049E-2</v>
      </c>
      <c r="U41" s="770">
        <v>4.4008320172566541E-2</v>
      </c>
      <c r="V41" s="770">
        <v>4.4412773005662341E-2</v>
      </c>
      <c r="W41" s="770">
        <v>4.8303224066869536E-2</v>
      </c>
      <c r="X41" s="770">
        <v>6.2747968106005164E-2</v>
      </c>
      <c r="Y41" s="770">
        <v>6.8275490158314397E-2</v>
      </c>
      <c r="Z41" s="770">
        <v>6.4038365240167941E-2</v>
      </c>
      <c r="AA41" s="770">
        <v>7.4072647432687488E-2</v>
      </c>
      <c r="AB41" s="770">
        <v>7.6537883748699978E-2</v>
      </c>
      <c r="AC41" s="770">
        <v>8.3740996109548937E-2</v>
      </c>
      <c r="AD41" s="770">
        <v>8.4164708601363589E-2</v>
      </c>
      <c r="AE41" s="770">
        <v>8.116020184122337E-2</v>
      </c>
      <c r="AF41" s="770">
        <v>7.3629675282154E-2</v>
      </c>
      <c r="AG41" s="770">
        <v>5.2251454104233271E-2</v>
      </c>
      <c r="AH41" s="770">
        <v>3.8981549246947342E-2</v>
      </c>
      <c r="AI41" s="770">
        <v>3.0468780093216748E-2</v>
      </c>
      <c r="AJ41" s="770"/>
      <c r="AK41" s="770">
        <f t="shared" si="17"/>
        <v>10.617479223307116</v>
      </c>
      <c r="AL41" s="770">
        <f t="shared" si="18"/>
        <v>19.672474461280881</v>
      </c>
      <c r="AM41" s="770">
        <f t="shared" si="19"/>
        <v>29.607229629985696</v>
      </c>
      <c r="AN41" s="770">
        <f t="shared" si="20"/>
        <v>32.358509888261324</v>
      </c>
      <c r="AO41" s="770">
        <f t="shared" si="21"/>
        <v>14.163092087267197</v>
      </c>
      <c r="AP41" s="770">
        <f t="shared" si="22"/>
        <v>14.52567777597277</v>
      </c>
      <c r="AQ41" s="770">
        <f t="shared" si="23"/>
        <v>17.332064647433615</v>
      </c>
      <c r="AR41" s="770">
        <f t="shared" si="24"/>
        <v>15.700146867177137</v>
      </c>
      <c r="AS41" s="770">
        <f t="shared" si="25"/>
        <v>15.733140683390053</v>
      </c>
      <c r="AT41" s="770">
        <f t="shared" si="26"/>
        <v>11.71553026085158</v>
      </c>
      <c r="AU41" s="770">
        <f t="shared" si="27"/>
        <v>9.7004139929933491</v>
      </c>
      <c r="AV41" s="770">
        <f t="shared" si="28"/>
        <v>6.4357067768556044</v>
      </c>
      <c r="AW41" s="770">
        <f t="shared" si="29"/>
        <v>4.0590136106830732</v>
      </c>
      <c r="AX41" s="770">
        <f t="shared" si="30"/>
        <v>3.8198282233804068</v>
      </c>
      <c r="AY41" s="770">
        <f t="shared" si="31"/>
        <v>3.6500798700043315</v>
      </c>
      <c r="AZ41" s="770">
        <f t="shared" si="32"/>
        <v>2.9490966056974282</v>
      </c>
      <c r="BA41" s="770"/>
      <c r="BB41" s="770">
        <f t="shared" si="33"/>
        <v>13.252467787783848</v>
      </c>
    </row>
    <row r="42" spans="1:54" x14ac:dyDescent="0.75">
      <c r="A42" s="132" t="s">
        <v>428</v>
      </c>
      <c r="B42" s="132" t="str">
        <f>VLOOKUP(A42,'HCW + Staff Summary'!B:E,4,FALSE)</f>
        <v>Upper middle income</v>
      </c>
      <c r="C42" s="770">
        <v>11.944009752582501</v>
      </c>
      <c r="D42" s="770">
        <v>16.571864753338598</v>
      </c>
      <c r="E42" s="770">
        <v>23.313202995353699</v>
      </c>
      <c r="F42" s="770">
        <v>31.6401837560283</v>
      </c>
      <c r="G42" s="770">
        <v>21.856920552988399</v>
      </c>
      <c r="H42" s="770">
        <v>21.5585999641605</v>
      </c>
      <c r="I42" s="770">
        <v>20.530845378787301</v>
      </c>
      <c r="J42" s="770">
        <v>20.423006266900199</v>
      </c>
      <c r="K42" s="770">
        <v>18.7562324267018</v>
      </c>
      <c r="L42" s="770">
        <v>15.6295483952228</v>
      </c>
      <c r="M42" s="770">
        <v>11.414653328369599</v>
      </c>
      <c r="N42" s="770">
        <v>5.6846965929205897</v>
      </c>
      <c r="O42" s="770">
        <v>2.4404149154350199</v>
      </c>
      <c r="P42" s="770">
        <v>2.1941900505207399</v>
      </c>
      <c r="Q42" s="770">
        <v>1.34533272101344</v>
      </c>
      <c r="R42" s="770">
        <v>0.70944685359639104</v>
      </c>
      <c r="S42" s="770"/>
      <c r="T42" s="770">
        <v>0.10228369250562883</v>
      </c>
      <c r="U42" s="770">
        <v>0.10373110324863299</v>
      </c>
      <c r="V42" s="770">
        <v>8.5450841642543157E-2</v>
      </c>
      <c r="W42" s="770">
        <v>5.9451056073764337E-2</v>
      </c>
      <c r="X42" s="770">
        <v>5.8593331189021124E-2</v>
      </c>
      <c r="Y42" s="770">
        <v>7.8428219148708053E-2</v>
      </c>
      <c r="Z42" s="770">
        <v>8.829205532325507E-2</v>
      </c>
      <c r="AA42" s="770">
        <v>7.1137557628390691E-2</v>
      </c>
      <c r="AB42" s="770">
        <v>6.3042779028626567E-2</v>
      </c>
      <c r="AC42" s="770">
        <v>5.8700546799614027E-2</v>
      </c>
      <c r="AD42" s="770">
        <v>5.210678674815053E-2</v>
      </c>
      <c r="AE42" s="770">
        <v>5.655623458775598E-2</v>
      </c>
      <c r="AF42" s="770">
        <v>4.3207891068939637E-2</v>
      </c>
      <c r="AG42" s="770">
        <v>3.3397662699689072E-2</v>
      </c>
      <c r="AH42" s="770">
        <v>1.7047282084271469E-2</v>
      </c>
      <c r="AI42" s="770">
        <v>1.2383403023480219E-2</v>
      </c>
      <c r="AJ42" s="770"/>
      <c r="AK42" s="770">
        <f t="shared" si="17"/>
        <v>7.2983345756248017</v>
      </c>
      <c r="AL42" s="770">
        <f t="shared" si="18"/>
        <v>9.984869674056144</v>
      </c>
      <c r="AM42" s="770">
        <f t="shared" si="19"/>
        <v>17.051618909791713</v>
      </c>
      <c r="AN42" s="770">
        <f t="shared" si="20"/>
        <v>33.262848725481959</v>
      </c>
      <c r="AO42" s="770">
        <f t="shared" si="21"/>
        <v>23.314215233042404</v>
      </c>
      <c r="AP42" s="770">
        <f t="shared" si="22"/>
        <v>17.180200091056474</v>
      </c>
      <c r="AQ42" s="770">
        <f t="shared" si="23"/>
        <v>14.533332942315509</v>
      </c>
      <c r="AR42" s="770">
        <f t="shared" si="24"/>
        <v>17.9432346883363</v>
      </c>
      <c r="AS42" s="770">
        <f t="shared" si="25"/>
        <v>18.594747007211701</v>
      </c>
      <c r="AT42" s="770">
        <f t="shared" si="26"/>
        <v>16.641186972858794</v>
      </c>
      <c r="AU42" s="770">
        <f t="shared" si="27"/>
        <v>13.691418672029739</v>
      </c>
      <c r="AV42" s="770">
        <f t="shared" si="28"/>
        <v>6.2821285689775284</v>
      </c>
      <c r="AW42" s="770">
        <f t="shared" si="29"/>
        <v>3.5300480639364813</v>
      </c>
      <c r="AX42" s="770">
        <f t="shared" si="30"/>
        <v>4.1061819023288404</v>
      </c>
      <c r="AY42" s="770">
        <f t="shared" si="31"/>
        <v>4.9323578179608321</v>
      </c>
      <c r="AZ42" s="770">
        <f t="shared" si="32"/>
        <v>3.5806335516739929</v>
      </c>
      <c r="BA42" s="770"/>
      <c r="BB42" s="770">
        <f t="shared" si="33"/>
        <v>13.245459837292701</v>
      </c>
    </row>
    <row r="43" spans="1:54" x14ac:dyDescent="0.75">
      <c r="A43" s="132" t="s">
        <v>503</v>
      </c>
      <c r="B43" s="132" t="str">
        <f>VLOOKUP(A43,'HCW + Staff Summary'!B:E,4,FALSE)</f>
        <v>High income</v>
      </c>
      <c r="C43" s="770">
        <v>7.6618412774173299</v>
      </c>
      <c r="D43" s="770">
        <v>12.963366524567199</v>
      </c>
      <c r="E43" s="770">
        <v>16.505900360264899</v>
      </c>
      <c r="F43" s="770">
        <v>18.036926013195899</v>
      </c>
      <c r="G43" s="770">
        <v>13.143157571563499</v>
      </c>
      <c r="H43" s="770">
        <v>16.510225940335399</v>
      </c>
      <c r="I43" s="770">
        <v>18.745553942273801</v>
      </c>
      <c r="J43" s="770">
        <v>20.191246764283399</v>
      </c>
      <c r="K43" s="770">
        <v>18.8002961722203</v>
      </c>
      <c r="L43" s="770">
        <v>14.8429032535142</v>
      </c>
      <c r="M43" s="770">
        <v>11.2747339360076</v>
      </c>
      <c r="N43" s="770">
        <v>7.4159658021604002</v>
      </c>
      <c r="O43" s="770">
        <v>5.4232363654986102</v>
      </c>
      <c r="P43" s="770">
        <v>4.8100081872560496</v>
      </c>
      <c r="Q43" s="770">
        <v>3.4036880307079902</v>
      </c>
      <c r="R43" s="770">
        <v>2.2698574187967799</v>
      </c>
      <c r="S43" s="770"/>
      <c r="T43" s="770">
        <v>3.9234919077979401E-2</v>
      </c>
      <c r="U43" s="770">
        <v>4.3256498283472292E-2</v>
      </c>
      <c r="V43" s="770">
        <v>4.8062775870524765E-2</v>
      </c>
      <c r="W43" s="770">
        <v>5.1495831289847964E-2</v>
      </c>
      <c r="X43" s="770">
        <v>5.2967140755272195E-2</v>
      </c>
      <c r="Y43" s="770">
        <v>5.2378616969102502E-2</v>
      </c>
      <c r="Z43" s="770">
        <v>5.5026974006866111E-2</v>
      </c>
      <c r="AA43" s="770">
        <v>6.4247179990191264E-2</v>
      </c>
      <c r="AB43" s="770">
        <v>7.503678273663561E-2</v>
      </c>
      <c r="AC43" s="770">
        <v>7.9450711132908289E-2</v>
      </c>
      <c r="AD43" s="770">
        <v>7.2878862187346738E-2</v>
      </c>
      <c r="AE43" s="770">
        <v>7.2388425698871994E-2</v>
      </c>
      <c r="AF43" s="770">
        <v>6.6012751348700341E-2</v>
      </c>
      <c r="AG43" s="770">
        <v>6.0912211868563021E-2</v>
      </c>
      <c r="AH43" s="770">
        <v>5.5615497793035804E-2</v>
      </c>
      <c r="AI43" s="770">
        <v>4.4237371260421772E-2</v>
      </c>
      <c r="AJ43" s="770"/>
      <c r="AK43" s="770">
        <f t="shared" si="17"/>
        <v>12.205073722385887</v>
      </c>
      <c r="AL43" s="770">
        <f t="shared" si="18"/>
        <v>18.730374393135289</v>
      </c>
      <c r="AM43" s="770">
        <f t="shared" si="19"/>
        <v>21.46398650164549</v>
      </c>
      <c r="AN43" s="770">
        <f t="shared" si="20"/>
        <v>21.891245321968118</v>
      </c>
      <c r="AO43" s="770">
        <f t="shared" si="21"/>
        <v>15.508621694686328</v>
      </c>
      <c r="AP43" s="770">
        <f t="shared" si="22"/>
        <v>19.700579759096371</v>
      </c>
      <c r="AQ43" s="770">
        <f t="shared" si="23"/>
        <v>21.291323801412812</v>
      </c>
      <c r="AR43" s="770">
        <f t="shared" si="24"/>
        <v>19.642152744453174</v>
      </c>
      <c r="AS43" s="770">
        <f t="shared" si="25"/>
        <v>15.659233617302773</v>
      </c>
      <c r="AT43" s="770">
        <f t="shared" si="26"/>
        <v>11.676188168948864</v>
      </c>
      <c r="AU43" s="770">
        <f t="shared" si="27"/>
        <v>9.6690706996633136</v>
      </c>
      <c r="AV43" s="770">
        <f t="shared" si="28"/>
        <v>6.4029277907372357</v>
      </c>
      <c r="AW43" s="770">
        <f t="shared" si="29"/>
        <v>5.1346484719779282</v>
      </c>
      <c r="AX43" s="770">
        <f t="shared" si="30"/>
        <v>4.9353898418956748</v>
      </c>
      <c r="AY43" s="770">
        <f t="shared" si="31"/>
        <v>3.8250219877720415</v>
      </c>
      <c r="AZ43" s="770">
        <f t="shared" si="32"/>
        <v>3.2069285455422913</v>
      </c>
      <c r="BA43" s="770"/>
      <c r="BB43" s="770">
        <f t="shared" si="33"/>
        <v>13.183922941413972</v>
      </c>
    </row>
    <row r="44" spans="1:54" x14ac:dyDescent="0.75">
      <c r="A44" s="132" t="s">
        <v>544</v>
      </c>
      <c r="B44" s="132" t="str">
        <f>VLOOKUP(A44,'HCW + Staff Summary'!B:E,4,FALSE)</f>
        <v>High income</v>
      </c>
      <c r="C44" s="770">
        <v>9.7002815234252306</v>
      </c>
      <c r="D44" s="770">
        <v>13.231674128525199</v>
      </c>
      <c r="E44" s="770">
        <v>15.5932129437124</v>
      </c>
      <c r="F44" s="770">
        <v>21.765502191271899</v>
      </c>
      <c r="G44" s="770">
        <v>15.201380434852799</v>
      </c>
      <c r="H44" s="770">
        <v>16.920881859828398</v>
      </c>
      <c r="I44" s="770">
        <v>18.516799508365001</v>
      </c>
      <c r="J44" s="770">
        <v>19.769201381724201</v>
      </c>
      <c r="K44" s="770">
        <v>19.385205241088801</v>
      </c>
      <c r="L44" s="770">
        <v>16.1045673164455</v>
      </c>
      <c r="M44" s="770">
        <v>12.7493828462786</v>
      </c>
      <c r="N44" s="770">
        <v>8.6905305689049506</v>
      </c>
      <c r="O44" s="770">
        <v>5.8134477475113497</v>
      </c>
      <c r="P44" s="770">
        <v>5.2186755495585304</v>
      </c>
      <c r="Q44" s="770">
        <v>3.1178345687626501</v>
      </c>
      <c r="R44" s="770">
        <v>1.8338114835603001</v>
      </c>
      <c r="S44" s="770"/>
      <c r="T44" s="770">
        <v>5.9598798333171818E-2</v>
      </c>
      <c r="U44" s="770">
        <v>5.8726620796588816E-2</v>
      </c>
      <c r="V44" s="770">
        <v>5.8048260490357592E-2</v>
      </c>
      <c r="W44" s="770">
        <v>5.3590464192266693E-2</v>
      </c>
      <c r="X44" s="770">
        <v>5.3784281422618471E-2</v>
      </c>
      <c r="Y44" s="770">
        <v>7.2681461381916848E-2</v>
      </c>
      <c r="Z44" s="770">
        <v>6.8611299544529505E-2</v>
      </c>
      <c r="AA44" s="770">
        <v>6.2118422327744935E-2</v>
      </c>
      <c r="AB44" s="770">
        <v>6.0277158639403042E-2</v>
      </c>
      <c r="AC44" s="770">
        <v>6.483186355266983E-2</v>
      </c>
      <c r="AD44" s="770">
        <v>6.7254578932067058E-2</v>
      </c>
      <c r="AE44" s="770">
        <v>6.1052427560810155E-2</v>
      </c>
      <c r="AF44" s="770">
        <v>5.6206996802015699E-2</v>
      </c>
      <c r="AG44" s="770">
        <v>5.2136834964628356E-2</v>
      </c>
      <c r="AH44" s="770">
        <v>5.5916270956488032E-2</v>
      </c>
      <c r="AI44" s="770">
        <v>4.2639790677391223E-2</v>
      </c>
      <c r="AJ44" s="770"/>
      <c r="AK44" s="770">
        <f t="shared" si="17"/>
        <v>10.172480187014731</v>
      </c>
      <c r="AL44" s="770">
        <f t="shared" si="18"/>
        <v>14.081852860174457</v>
      </c>
      <c r="AM44" s="770">
        <f t="shared" si="19"/>
        <v>16.78906139045996</v>
      </c>
      <c r="AN44" s="770">
        <f t="shared" si="20"/>
        <v>25.384066129264774</v>
      </c>
      <c r="AO44" s="770">
        <f t="shared" si="21"/>
        <v>17.66475728685203</v>
      </c>
      <c r="AP44" s="770">
        <f t="shared" si="22"/>
        <v>14.550548325964105</v>
      </c>
      <c r="AQ44" s="770">
        <f t="shared" si="23"/>
        <v>16.867483591703607</v>
      </c>
      <c r="AR44" s="770">
        <f t="shared" si="24"/>
        <v>19.890638558698523</v>
      </c>
      <c r="AS44" s="770">
        <f t="shared" si="25"/>
        <v>20.100073641759984</v>
      </c>
      <c r="AT44" s="770">
        <f t="shared" si="26"/>
        <v>15.525320453886502</v>
      </c>
      <c r="AU44" s="770">
        <f t="shared" si="27"/>
        <v>11.848062102913264</v>
      </c>
      <c r="AV44" s="770">
        <f t="shared" si="28"/>
        <v>8.896585807592281</v>
      </c>
      <c r="AW44" s="770">
        <f t="shared" si="29"/>
        <v>6.4643283735527604</v>
      </c>
      <c r="AX44" s="770">
        <f t="shared" si="30"/>
        <v>6.255984316437555</v>
      </c>
      <c r="AY44" s="770">
        <f t="shared" si="31"/>
        <v>3.4849366242484603</v>
      </c>
      <c r="AZ44" s="770">
        <f t="shared" si="32"/>
        <v>2.6879404401787976</v>
      </c>
      <c r="BA44" s="770"/>
      <c r="BB44" s="770">
        <f t="shared" si="33"/>
        <v>13.166507505668864</v>
      </c>
    </row>
    <row r="45" spans="1:54" x14ac:dyDescent="0.75">
      <c r="A45" s="132" t="s">
        <v>519</v>
      </c>
      <c r="B45" s="132" t="str">
        <f>VLOOKUP(A45,'HCW + Staff Summary'!B:E,4,FALSE)</f>
        <v>High income</v>
      </c>
      <c r="C45" s="770">
        <v>6.5485355843318098</v>
      </c>
      <c r="D45" s="770">
        <v>14.950782602810699</v>
      </c>
      <c r="E45" s="770">
        <v>18.987486706584299</v>
      </c>
      <c r="F45" s="770">
        <v>23.917205937722699</v>
      </c>
      <c r="G45" s="770">
        <v>16.111340026131501</v>
      </c>
      <c r="H45" s="770">
        <v>19.294165808060999</v>
      </c>
      <c r="I45" s="770">
        <v>20.677269486119201</v>
      </c>
      <c r="J45" s="770">
        <v>20.729964650594301</v>
      </c>
      <c r="K45" s="770">
        <v>18.1647994062908</v>
      </c>
      <c r="L45" s="770">
        <v>15.3455318390341</v>
      </c>
      <c r="M45" s="770">
        <v>12.180233848183899</v>
      </c>
      <c r="N45" s="770">
        <v>7.3620183882102301</v>
      </c>
      <c r="O45" s="770">
        <v>4.9124496766595698</v>
      </c>
      <c r="P45" s="770">
        <v>3.59387969378579</v>
      </c>
      <c r="Q45" s="770">
        <v>2.2834320828472898</v>
      </c>
      <c r="R45" s="770">
        <v>1.51647317813975</v>
      </c>
      <c r="S45" s="770"/>
      <c r="T45" s="770">
        <v>5.1945668135095449E-2</v>
      </c>
      <c r="U45" s="770">
        <v>5.1762114537444934E-2</v>
      </c>
      <c r="V45" s="770">
        <v>5.1762114537444934E-2</v>
      </c>
      <c r="W45" s="770">
        <v>4.8091042584434654E-2</v>
      </c>
      <c r="X45" s="770">
        <v>5.3230543318649043E-2</v>
      </c>
      <c r="Y45" s="770">
        <v>6.6997063142437585E-2</v>
      </c>
      <c r="Z45" s="770">
        <v>7.5073421439060206E-2</v>
      </c>
      <c r="AA45" s="770">
        <v>8.002936857562408E-2</v>
      </c>
      <c r="AB45" s="770">
        <v>8.3883994126284875E-2</v>
      </c>
      <c r="AC45" s="770">
        <v>7.3788546255506612E-2</v>
      </c>
      <c r="AD45" s="770">
        <v>6.3509544787077821E-2</v>
      </c>
      <c r="AE45" s="770">
        <v>6.6262848751835537E-2</v>
      </c>
      <c r="AF45" s="770">
        <v>6.6262848751835537E-2</v>
      </c>
      <c r="AG45" s="770">
        <v>6.1123348017621149E-2</v>
      </c>
      <c r="AH45" s="770">
        <v>4.3318649045521289E-2</v>
      </c>
      <c r="AI45" s="770">
        <v>2.9735682819383259E-2</v>
      </c>
      <c r="AJ45" s="770"/>
      <c r="AK45" s="770">
        <f t="shared" si="17"/>
        <v>7.8790684327384497</v>
      </c>
      <c r="AL45" s="770">
        <f t="shared" si="18"/>
        <v>18.052274738500152</v>
      </c>
      <c r="AM45" s="770">
        <f t="shared" si="19"/>
        <v>22.926380225503383</v>
      </c>
      <c r="AN45" s="770">
        <f t="shared" si="20"/>
        <v>31.083239014483127</v>
      </c>
      <c r="AO45" s="770">
        <f t="shared" si="21"/>
        <v>18.91693544447509</v>
      </c>
      <c r="AP45" s="770">
        <f t="shared" si="22"/>
        <v>17.999077966150058</v>
      </c>
      <c r="AQ45" s="770">
        <f t="shared" si="23"/>
        <v>17.214206014727598</v>
      </c>
      <c r="AR45" s="770">
        <f t="shared" si="24"/>
        <v>16.189341659466422</v>
      </c>
      <c r="AS45" s="770">
        <f t="shared" si="25"/>
        <v>13.534166734884066</v>
      </c>
      <c r="AT45" s="770">
        <f t="shared" si="26"/>
        <v>12.997894505450525</v>
      </c>
      <c r="AU45" s="770">
        <f t="shared" si="27"/>
        <v>11.986617414180976</v>
      </c>
      <c r="AV45" s="770">
        <f t="shared" si="28"/>
        <v>6.9439536320930282</v>
      </c>
      <c r="AW45" s="770">
        <f t="shared" si="29"/>
        <v>4.6334878529157439</v>
      </c>
      <c r="AX45" s="770">
        <f t="shared" si="30"/>
        <v>3.6748229301323168</v>
      </c>
      <c r="AY45" s="770">
        <f t="shared" si="31"/>
        <v>3.2945280686843317</v>
      </c>
      <c r="AZ45" s="770">
        <f t="shared" si="32"/>
        <v>3.187401957756697</v>
      </c>
      <c r="BA45" s="770"/>
      <c r="BB45" s="770">
        <f t="shared" si="33"/>
        <v>13.157087287008874</v>
      </c>
    </row>
    <row r="46" spans="1:54" x14ac:dyDescent="0.75">
      <c r="A46" s="132" t="s">
        <v>461</v>
      </c>
      <c r="B46" s="132" t="str">
        <f>VLOOKUP(A46,'HCW + Staff Summary'!B:E,4,FALSE)</f>
        <v>High income</v>
      </c>
      <c r="C46" s="770">
        <v>6.0811975912082303</v>
      </c>
      <c r="D46" s="770">
        <v>14.486981664253999</v>
      </c>
      <c r="E46" s="770">
        <v>19.024142630271999</v>
      </c>
      <c r="F46" s="770">
        <v>24.939963030113201</v>
      </c>
      <c r="G46" s="770">
        <v>15.8676924060227</v>
      </c>
      <c r="H46" s="770">
        <v>16.838994911365099</v>
      </c>
      <c r="I46" s="770">
        <v>17.244333873014298</v>
      </c>
      <c r="J46" s="770">
        <v>16.520992102276001</v>
      </c>
      <c r="K46" s="770">
        <v>15.3541246710236</v>
      </c>
      <c r="L46" s="770">
        <v>12.9213523671099</v>
      </c>
      <c r="M46" s="770">
        <v>11.332510935523301</v>
      </c>
      <c r="N46" s="770">
        <v>7.7155237136602404</v>
      </c>
      <c r="O46" s="770">
        <v>6.5266031462304497</v>
      </c>
      <c r="P46" s="770">
        <v>4.8178705901258398</v>
      </c>
      <c r="Q46" s="770">
        <v>2.8753395136404101</v>
      </c>
      <c r="R46" s="770">
        <v>1.9278241968171901</v>
      </c>
      <c r="S46" s="770"/>
      <c r="T46" s="770">
        <v>4.9382716049382713E-2</v>
      </c>
      <c r="U46" s="770">
        <v>4.7325102880658436E-2</v>
      </c>
      <c r="V46" s="770">
        <v>4.7325102880658436E-2</v>
      </c>
      <c r="W46" s="770">
        <v>4.7325102880658436E-2</v>
      </c>
      <c r="X46" s="770">
        <v>5.5555555555555552E-2</v>
      </c>
      <c r="Y46" s="770">
        <v>6.7901234567901231E-2</v>
      </c>
      <c r="Z46" s="770">
        <v>7.407407407407407E-2</v>
      </c>
      <c r="AA46" s="770">
        <v>7.407407407407407E-2</v>
      </c>
      <c r="AB46" s="770">
        <v>7.2016460905349799E-2</v>
      </c>
      <c r="AC46" s="770">
        <v>6.3786008230452676E-2</v>
      </c>
      <c r="AD46" s="770">
        <v>5.7613168724279837E-2</v>
      </c>
      <c r="AE46" s="770">
        <v>6.3786008230452676E-2</v>
      </c>
      <c r="AF46" s="770">
        <v>6.7901234567901231E-2</v>
      </c>
      <c r="AG46" s="770">
        <v>6.1728395061728392E-2</v>
      </c>
      <c r="AH46" s="770">
        <v>6.3786008230452676E-2</v>
      </c>
      <c r="AI46" s="770">
        <v>3.847736625514403E-2</v>
      </c>
      <c r="AJ46" s="770"/>
      <c r="AK46" s="770">
        <f t="shared" si="17"/>
        <v>7.6965157013729169</v>
      </c>
      <c r="AL46" s="770">
        <f t="shared" si="18"/>
        <v>19.132263828335446</v>
      </c>
      <c r="AM46" s="770">
        <f t="shared" si="19"/>
        <v>25.124275321500519</v>
      </c>
      <c r="AN46" s="770">
        <f t="shared" si="20"/>
        <v>32.937016393029936</v>
      </c>
      <c r="AO46" s="770">
        <f t="shared" si="21"/>
        <v>17.851153956775537</v>
      </c>
      <c r="AP46" s="770">
        <f t="shared" si="22"/>
        <v>15.499529407051966</v>
      </c>
      <c r="AQ46" s="770">
        <f t="shared" si="23"/>
        <v>14.549906705355815</v>
      </c>
      <c r="AR46" s="770">
        <f t="shared" si="24"/>
        <v>13.939587086295376</v>
      </c>
      <c r="AS46" s="770">
        <f t="shared" si="25"/>
        <v>13.325186768066908</v>
      </c>
      <c r="AT46" s="770">
        <f t="shared" si="26"/>
        <v>12.660841230676233</v>
      </c>
      <c r="AU46" s="770">
        <f t="shared" si="27"/>
        <v>12.293750702375723</v>
      </c>
      <c r="AV46" s="770">
        <f t="shared" si="28"/>
        <v>7.5599688000783809</v>
      </c>
      <c r="AW46" s="770">
        <f t="shared" si="29"/>
        <v>6.0074415323257551</v>
      </c>
      <c r="AX46" s="770">
        <f t="shared" si="30"/>
        <v>4.8780939725024135</v>
      </c>
      <c r="AY46" s="770">
        <f t="shared" si="31"/>
        <v>2.8173689589299178</v>
      </c>
      <c r="AZ46" s="770">
        <f t="shared" si="32"/>
        <v>3.1314256672899545</v>
      </c>
      <c r="BA46" s="770"/>
      <c r="BB46" s="770">
        <f t="shared" si="33"/>
        <v>13.087770376997675</v>
      </c>
    </row>
    <row r="47" spans="1:54" x14ac:dyDescent="0.75">
      <c r="A47" s="132" t="s">
        <v>239</v>
      </c>
      <c r="B47" s="132" t="str">
        <f>VLOOKUP(A47,'HCW + Staff Summary'!B:E,4,FALSE)</f>
        <v>Lower middle income</v>
      </c>
      <c r="C47" s="770">
        <v>6.9144110142766904</v>
      </c>
      <c r="D47" s="770">
        <v>16.071233159164098</v>
      </c>
      <c r="E47" s="770">
        <v>16.693548504870002</v>
      </c>
      <c r="F47" s="770">
        <v>22.929265626897902</v>
      </c>
      <c r="G47" s="770">
        <v>16.206193084612998</v>
      </c>
      <c r="H47" s="770">
        <v>18.8971804304669</v>
      </c>
      <c r="I47" s="770">
        <v>18.406041848604399</v>
      </c>
      <c r="J47" s="770">
        <v>18.4599101762382</v>
      </c>
      <c r="K47" s="770">
        <v>17.530490169000899</v>
      </c>
      <c r="L47" s="770">
        <v>14.7718367884763</v>
      </c>
      <c r="M47" s="770">
        <v>11.8769014058099</v>
      </c>
      <c r="N47" s="770">
        <v>7.7585821521570697</v>
      </c>
      <c r="O47" s="770">
        <v>5.73687741467125</v>
      </c>
      <c r="P47" s="770">
        <v>3.3739968691546101</v>
      </c>
      <c r="Q47" s="770">
        <v>3.6946337602547601</v>
      </c>
      <c r="R47" s="770">
        <v>1.8063056617639</v>
      </c>
      <c r="S47" s="770"/>
      <c r="T47" s="770">
        <v>4.8326464060872321E-2</v>
      </c>
      <c r="U47" s="770">
        <v>5.6614882920422119E-2</v>
      </c>
      <c r="V47" s="770">
        <v>5.4961728339145796E-2</v>
      </c>
      <c r="W47" s="770">
        <v>4.5269260383169529E-2</v>
      </c>
      <c r="X47" s="770">
        <v>4.9051134562253726E-2</v>
      </c>
      <c r="Y47" s="770">
        <v>6.2933103854341227E-2</v>
      </c>
      <c r="Z47" s="770">
        <v>8.1978350468771236E-2</v>
      </c>
      <c r="AA47" s="770">
        <v>8.2884188595497982E-2</v>
      </c>
      <c r="AB47" s="770">
        <v>7.631686217672902E-2</v>
      </c>
      <c r="AC47" s="770">
        <v>7.0179808868155266E-2</v>
      </c>
      <c r="AD47" s="770">
        <v>6.4110693419086012E-2</v>
      </c>
      <c r="AE47" s="770">
        <v>7.0949771275873E-2</v>
      </c>
      <c r="AF47" s="770">
        <v>6.694143756510712E-2</v>
      </c>
      <c r="AG47" s="770">
        <v>5.9717378504461252E-2</v>
      </c>
      <c r="AH47" s="770">
        <v>4.0468318311517731E-2</v>
      </c>
      <c r="AI47" s="770">
        <v>2.7763938584175009E-2</v>
      </c>
      <c r="AJ47" s="770"/>
      <c r="AK47" s="770">
        <f t="shared" si="17"/>
        <v>8.9423196335646118</v>
      </c>
      <c r="AL47" s="770">
        <f t="shared" si="18"/>
        <v>17.741837846059205</v>
      </c>
      <c r="AM47" s="770">
        <f t="shared" si="19"/>
        <v>18.98315087757647</v>
      </c>
      <c r="AN47" s="770">
        <f t="shared" si="20"/>
        <v>31.6567818769559</v>
      </c>
      <c r="AO47" s="770">
        <f t="shared" si="21"/>
        <v>20.649615484485825</v>
      </c>
      <c r="AP47" s="770">
        <f t="shared" si="22"/>
        <v>18.767130565143876</v>
      </c>
      <c r="AQ47" s="770">
        <f t="shared" si="23"/>
        <v>14.032700206330681</v>
      </c>
      <c r="AR47" s="770">
        <f t="shared" si="24"/>
        <v>13.919957540340274</v>
      </c>
      <c r="AS47" s="770">
        <f t="shared" si="25"/>
        <v>14.356665149902479</v>
      </c>
      <c r="AT47" s="770">
        <f t="shared" si="26"/>
        <v>13.155347872409171</v>
      </c>
      <c r="AU47" s="770">
        <f t="shared" si="27"/>
        <v>11.578510514786151</v>
      </c>
      <c r="AV47" s="770">
        <f t="shared" si="28"/>
        <v>6.834572906857483</v>
      </c>
      <c r="AW47" s="770">
        <f t="shared" si="29"/>
        <v>5.3562464664464864</v>
      </c>
      <c r="AX47" s="770">
        <f t="shared" si="30"/>
        <v>3.5312133520129234</v>
      </c>
      <c r="AY47" s="770">
        <f t="shared" si="31"/>
        <v>5.7060589530403503</v>
      </c>
      <c r="AZ47" s="770">
        <f t="shared" si="32"/>
        <v>4.0662135711750764</v>
      </c>
      <c r="BA47" s="770"/>
      <c r="BB47" s="770">
        <f t="shared" si="33"/>
        <v>13.079895176067936</v>
      </c>
    </row>
    <row r="48" spans="1:54" x14ac:dyDescent="0.75">
      <c r="A48" s="132" t="s">
        <v>548</v>
      </c>
      <c r="B48" s="132" t="str">
        <f>VLOOKUP(A48,'HCW + Staff Summary'!B:E,4,FALSE)</f>
        <v>Upper middle income</v>
      </c>
      <c r="C48" s="770">
        <v>10.6056219100674</v>
      </c>
      <c r="D48" s="770">
        <v>16.926809418657001</v>
      </c>
      <c r="E48" s="770">
        <v>20.3068651049316</v>
      </c>
      <c r="F48" s="770">
        <v>23.262210417836702</v>
      </c>
      <c r="G48" s="770">
        <v>17.468207007369401</v>
      </c>
      <c r="H48" s="770">
        <v>19.514312534424398</v>
      </c>
      <c r="I48" s="770">
        <v>20.561419126987101</v>
      </c>
      <c r="J48" s="770">
        <v>21.352742188540301</v>
      </c>
      <c r="K48" s="770">
        <v>20.407761829610301</v>
      </c>
      <c r="L48" s="770">
        <v>16.1196369921973</v>
      </c>
      <c r="M48" s="770">
        <v>12.613699123876501</v>
      </c>
      <c r="N48" s="770">
        <v>7.6662019183671504</v>
      </c>
      <c r="O48" s="770">
        <v>4.0492260442045396</v>
      </c>
      <c r="P48" s="770">
        <v>2.57702906932166</v>
      </c>
      <c r="Q48" s="770">
        <v>1.51241834325195</v>
      </c>
      <c r="R48" s="770">
        <v>0.89721590890781799</v>
      </c>
      <c r="S48" s="770"/>
      <c r="T48" s="770">
        <v>5.1518624641833814E-2</v>
      </c>
      <c r="U48" s="770">
        <v>5.5071633237822347E-2</v>
      </c>
      <c r="V48" s="770">
        <v>5.8939828080229226E-2</v>
      </c>
      <c r="W48" s="770">
        <v>6.2736389684813751E-2</v>
      </c>
      <c r="X48" s="770">
        <v>6.8882521489971343E-2</v>
      </c>
      <c r="Y48" s="770">
        <v>6.9083094555873928E-2</v>
      </c>
      <c r="Z48" s="770">
        <v>6.3997134670487107E-2</v>
      </c>
      <c r="AA48" s="770">
        <v>6.8237822349570196E-2</v>
      </c>
      <c r="AB48" s="770">
        <v>7.60458452722063E-2</v>
      </c>
      <c r="AC48" s="770">
        <v>8.0300859598853871E-2</v>
      </c>
      <c r="AD48" s="770">
        <v>8.0214899713467055E-2</v>
      </c>
      <c r="AE48" s="770">
        <v>7.2822349570200576E-2</v>
      </c>
      <c r="AF48" s="770">
        <v>6.2578796561604588E-2</v>
      </c>
      <c r="AG48" s="770">
        <v>4.666189111747851E-2</v>
      </c>
      <c r="AH48" s="770">
        <v>3.2693409742120344E-2</v>
      </c>
      <c r="AI48" s="770">
        <v>2.2693409742120346E-2</v>
      </c>
      <c r="AJ48" s="770"/>
      <c r="AK48" s="770">
        <f t="shared" si="17"/>
        <v>12.866247381164914</v>
      </c>
      <c r="AL48" s="770">
        <f t="shared" si="18"/>
        <v>19.209991178171482</v>
      </c>
      <c r="AM48" s="770">
        <f t="shared" si="19"/>
        <v>21.533470836233374</v>
      </c>
      <c r="AN48" s="770">
        <f t="shared" si="20"/>
        <v>23.174558791462118</v>
      </c>
      <c r="AO48" s="770">
        <f t="shared" si="21"/>
        <v>15.849636661740643</v>
      </c>
      <c r="AP48" s="770">
        <f t="shared" si="22"/>
        <v>17.654746667653761</v>
      </c>
      <c r="AQ48" s="770">
        <f t="shared" si="23"/>
        <v>20.080409881683732</v>
      </c>
      <c r="AR48" s="770">
        <f t="shared" si="24"/>
        <v>19.557282762441123</v>
      </c>
      <c r="AS48" s="770">
        <f t="shared" si="25"/>
        <v>16.772581194739061</v>
      </c>
      <c r="AT48" s="770">
        <f t="shared" si="26"/>
        <v>12.546283029163375</v>
      </c>
      <c r="AU48" s="770">
        <f t="shared" si="27"/>
        <v>9.8280518713897536</v>
      </c>
      <c r="AV48" s="770">
        <f t="shared" si="28"/>
        <v>6.5795407965525659</v>
      </c>
      <c r="AW48" s="770">
        <f t="shared" si="29"/>
        <v>4.0441274308247026</v>
      </c>
      <c r="AX48" s="770">
        <f t="shared" si="30"/>
        <v>3.4517314445550329</v>
      </c>
      <c r="AY48" s="770">
        <f t="shared" si="31"/>
        <v>2.8912905444507588</v>
      </c>
      <c r="AZ48" s="770">
        <f t="shared" si="32"/>
        <v>2.471025506698457</v>
      </c>
      <c r="BA48" s="770"/>
      <c r="BB48" s="770">
        <f t="shared" si="33"/>
        <v>13.031935998682805</v>
      </c>
    </row>
    <row r="49" spans="1:54" x14ac:dyDescent="0.75">
      <c r="A49" s="132" t="s">
        <v>512</v>
      </c>
      <c r="B49" s="132" t="str">
        <f>VLOOKUP(A49,'HCW + Staff Summary'!B:E,4,FALSE)</f>
        <v>Upper middle income</v>
      </c>
      <c r="C49" s="770">
        <v>9.7349438011301803</v>
      </c>
      <c r="D49" s="770">
        <v>13.714624070426501</v>
      </c>
      <c r="E49" s="770">
        <v>15.5038299245253</v>
      </c>
      <c r="F49" s="770">
        <v>21.199868282762399</v>
      </c>
      <c r="G49" s="770">
        <v>18.245517250504601</v>
      </c>
      <c r="H49" s="770">
        <v>19.9408344497873</v>
      </c>
      <c r="I49" s="770">
        <v>19.640328365227798</v>
      </c>
      <c r="J49" s="770">
        <v>19.7147111596115</v>
      </c>
      <c r="K49" s="770">
        <v>18.112770507213099</v>
      </c>
      <c r="L49" s="770">
        <v>15.5431292324218</v>
      </c>
      <c r="M49" s="770">
        <v>12.166465267089</v>
      </c>
      <c r="N49" s="770">
        <v>7.43898221239475</v>
      </c>
      <c r="O49" s="770">
        <v>4.7872447416420103</v>
      </c>
      <c r="P49" s="770">
        <v>2.6971676603163499</v>
      </c>
      <c r="Q49" s="770">
        <v>3.0136017702482198</v>
      </c>
      <c r="R49" s="770">
        <v>1.4076415360113901</v>
      </c>
      <c r="S49" s="770"/>
      <c r="T49" s="770">
        <v>6.3533996200302312E-2</v>
      </c>
      <c r="U49" s="770">
        <v>6.407482908294157E-2</v>
      </c>
      <c r="V49" s="770">
        <v>5.6010872127692034E-2</v>
      </c>
      <c r="W49" s="770">
        <v>4.8522416829609907E-2</v>
      </c>
      <c r="X49" s="770">
        <v>4.5325955818113745E-2</v>
      </c>
      <c r="Y49" s="770">
        <v>6.1620279846347992E-2</v>
      </c>
      <c r="Z49" s="770">
        <v>8.5957759565114894E-2</v>
      </c>
      <c r="AA49" s="770">
        <v>8.1714301562868352E-2</v>
      </c>
      <c r="AB49" s="770">
        <v>7.2665751411019122E-2</v>
      </c>
      <c r="AC49" s="770">
        <v>6.6952337368778689E-2</v>
      </c>
      <c r="AD49" s="770">
        <v>5.8104866109192771E-2</v>
      </c>
      <c r="AE49" s="770">
        <v>7.1389940508382904E-2</v>
      </c>
      <c r="AF49" s="770">
        <v>6.903246384046817E-2</v>
      </c>
      <c r="AG49" s="770">
        <v>5.7751244609005561E-2</v>
      </c>
      <c r="AH49" s="770">
        <v>3.6936112382299512E-2</v>
      </c>
      <c r="AI49" s="770">
        <v>2.1647182815381843E-2</v>
      </c>
      <c r="AJ49" s="770"/>
      <c r="AK49" s="770">
        <f t="shared" si="17"/>
        <v>9.5765105921</v>
      </c>
      <c r="AL49" s="770">
        <f t="shared" si="18"/>
        <v>13.377546482287164</v>
      </c>
      <c r="AM49" s="770">
        <f t="shared" si="19"/>
        <v>17.300022896871809</v>
      </c>
      <c r="AN49" s="770">
        <f t="shared" si="20"/>
        <v>27.30679661578807</v>
      </c>
      <c r="AO49" s="770">
        <f t="shared" si="21"/>
        <v>25.15875964607498</v>
      </c>
      <c r="AP49" s="770">
        <f t="shared" si="22"/>
        <v>20.225519199513503</v>
      </c>
      <c r="AQ49" s="770">
        <f t="shared" si="23"/>
        <v>14.280508578133235</v>
      </c>
      <c r="AR49" s="770">
        <f t="shared" si="24"/>
        <v>15.078993810253976</v>
      </c>
      <c r="AS49" s="770">
        <f t="shared" si="25"/>
        <v>15.578840577834493</v>
      </c>
      <c r="AT49" s="770">
        <f t="shared" si="26"/>
        <v>14.509509528779624</v>
      </c>
      <c r="AU49" s="770">
        <f t="shared" si="27"/>
        <v>13.08675383166848</v>
      </c>
      <c r="AV49" s="770">
        <f t="shared" si="28"/>
        <v>6.5126316812111238</v>
      </c>
      <c r="AW49" s="770">
        <f t="shared" si="29"/>
        <v>4.3342331956175544</v>
      </c>
      <c r="AX49" s="770">
        <f t="shared" si="30"/>
        <v>2.9189497111458804</v>
      </c>
      <c r="AY49" s="770">
        <f t="shared" si="31"/>
        <v>5.099348537037014</v>
      </c>
      <c r="AZ49" s="770">
        <f t="shared" si="32"/>
        <v>4.0641591449118089</v>
      </c>
      <c r="BA49" s="770"/>
      <c r="BB49" s="770">
        <f t="shared" si="33"/>
        <v>13.025567751826793</v>
      </c>
    </row>
    <row r="50" spans="1:54" x14ac:dyDescent="0.75">
      <c r="A50" s="132" t="s">
        <v>403</v>
      </c>
      <c r="B50" s="132" t="str">
        <f>VLOOKUP(A50,'HCW + Staff Summary'!B:E,4,FALSE)</f>
        <v>High income</v>
      </c>
      <c r="C50" s="770">
        <v>6.0925179567108101</v>
      </c>
      <c r="D50" s="770">
        <v>15.0565796280051</v>
      </c>
      <c r="E50" s="770">
        <v>17.826324608367301</v>
      </c>
      <c r="F50" s="770">
        <v>19.829448820254399</v>
      </c>
      <c r="G50" s="770">
        <v>12.5126326592196</v>
      </c>
      <c r="H50" s="770">
        <v>15.9682655803692</v>
      </c>
      <c r="I50" s="770">
        <v>18.043940067112501</v>
      </c>
      <c r="J50" s="770">
        <v>19.132067332836499</v>
      </c>
      <c r="K50" s="770">
        <v>18.1912477937496</v>
      </c>
      <c r="L50" s="770">
        <v>13.4793549802628</v>
      </c>
      <c r="M50" s="770">
        <v>10.427844311751601</v>
      </c>
      <c r="N50" s="770">
        <v>6.8322459302195702</v>
      </c>
      <c r="O50" s="770">
        <v>5.1801790022716396</v>
      </c>
      <c r="P50" s="770">
        <v>4.5885342773958904</v>
      </c>
      <c r="Q50" s="770">
        <v>3.6682488010194398</v>
      </c>
      <c r="R50" s="770">
        <v>2.54029922677271</v>
      </c>
      <c r="S50" s="770"/>
      <c r="T50" s="770">
        <v>3.9287388654477264E-2</v>
      </c>
      <c r="U50" s="770">
        <v>4.5194561650257856E-2</v>
      </c>
      <c r="V50" s="770">
        <v>5.2039381153305204E-2</v>
      </c>
      <c r="W50" s="770">
        <v>5.0539146741678385E-2</v>
      </c>
      <c r="X50" s="770">
        <v>5.0820440693858417E-2</v>
      </c>
      <c r="Y50" s="770">
        <v>5.0632911392405063E-2</v>
      </c>
      <c r="Z50" s="770">
        <v>5.7290201593999064E-2</v>
      </c>
      <c r="AA50" s="770">
        <v>7.0886075949367092E-2</v>
      </c>
      <c r="AB50" s="770">
        <v>7.4917955930614163E-2</v>
      </c>
      <c r="AC50" s="770">
        <v>7.6136896390060951E-2</v>
      </c>
      <c r="AD50" s="770">
        <v>7.6418190342240969E-2</v>
      </c>
      <c r="AE50" s="770">
        <v>6.8073136427566808E-2</v>
      </c>
      <c r="AF50" s="770">
        <v>6.4978902953586493E-2</v>
      </c>
      <c r="AG50" s="770">
        <v>5.5696202531645568E-2</v>
      </c>
      <c r="AH50" s="770">
        <v>5.2789498359118614E-2</v>
      </c>
      <c r="AI50" s="770">
        <v>3.9006094702297232E-2</v>
      </c>
      <c r="AJ50" s="770"/>
      <c r="AK50" s="770">
        <f t="shared" si="17"/>
        <v>9.6922291181862743</v>
      </c>
      <c r="AL50" s="770">
        <f t="shared" si="18"/>
        <v>20.821890784838484</v>
      </c>
      <c r="AM50" s="770">
        <f t="shared" si="19"/>
        <v>21.409656750927621</v>
      </c>
      <c r="AN50" s="770">
        <f t="shared" si="20"/>
        <v>24.52238771660635</v>
      </c>
      <c r="AO50" s="770">
        <f t="shared" si="21"/>
        <v>15.388287282123734</v>
      </c>
      <c r="AP50" s="770">
        <f t="shared" si="22"/>
        <v>19.710827825768231</v>
      </c>
      <c r="AQ50" s="770">
        <f t="shared" si="23"/>
        <v>19.684801638272791</v>
      </c>
      <c r="AR50" s="770">
        <f t="shared" si="24"/>
        <v>16.868675438550039</v>
      </c>
      <c r="AS50" s="770">
        <f t="shared" si="25"/>
        <v>15.175974477498395</v>
      </c>
      <c r="AT50" s="770">
        <f t="shared" si="26"/>
        <v>11.065064721713574</v>
      </c>
      <c r="AU50" s="770">
        <f t="shared" si="27"/>
        <v>8.5286011951557388</v>
      </c>
      <c r="AV50" s="770">
        <f t="shared" si="28"/>
        <v>6.2728910852093422</v>
      </c>
      <c r="AW50" s="770">
        <f t="shared" si="29"/>
        <v>4.9825585370875762</v>
      </c>
      <c r="AX50" s="770">
        <f t="shared" si="30"/>
        <v>5.1490654533277747</v>
      </c>
      <c r="AY50" s="770">
        <f t="shared" si="31"/>
        <v>4.3430143719884908</v>
      </c>
      <c r="AZ50" s="770">
        <f t="shared" si="32"/>
        <v>4.0703562580425112</v>
      </c>
      <c r="BA50" s="770"/>
      <c r="BB50" s="770">
        <f t="shared" si="33"/>
        <v>12.98039266595606</v>
      </c>
    </row>
    <row r="51" spans="1:54" x14ac:dyDescent="0.75">
      <c r="A51" s="132" t="s">
        <v>364</v>
      </c>
      <c r="B51" s="132" t="str">
        <f>VLOOKUP(A51,'HCW + Staff Summary'!B:E,4,FALSE)</f>
        <v>High income</v>
      </c>
      <c r="C51" s="770">
        <v>9.1311871306395105</v>
      </c>
      <c r="D51" s="770">
        <v>13.682767005139899</v>
      </c>
      <c r="E51" s="770">
        <v>18.069724535695499</v>
      </c>
      <c r="F51" s="770">
        <v>22.145564163175401</v>
      </c>
      <c r="G51" s="770">
        <v>13.9802564014851</v>
      </c>
      <c r="H51" s="770">
        <v>15.6022367283849</v>
      </c>
      <c r="I51" s="770">
        <v>17.254140524738801</v>
      </c>
      <c r="J51" s="770">
        <v>19.002406016547301</v>
      </c>
      <c r="K51" s="770">
        <v>18.632325284014701</v>
      </c>
      <c r="L51" s="770">
        <v>16.133771095978599</v>
      </c>
      <c r="M51" s="770">
        <v>12.512019279910101</v>
      </c>
      <c r="N51" s="770">
        <v>7.7264641307136204</v>
      </c>
      <c r="O51" s="770">
        <v>5.4773644579537297</v>
      </c>
      <c r="P51" s="770">
        <v>5.48582413915699</v>
      </c>
      <c r="Q51" s="770">
        <v>3.1609349237628801</v>
      </c>
      <c r="R51" s="770">
        <v>1.76615864628453</v>
      </c>
      <c r="S51" s="770"/>
      <c r="T51" s="770">
        <v>5.325342465753425E-2</v>
      </c>
      <c r="U51" s="770">
        <v>5.1369863013698627E-2</v>
      </c>
      <c r="V51" s="770">
        <v>5.8219178082191778E-2</v>
      </c>
      <c r="W51" s="770">
        <v>5.8561643835616441E-2</v>
      </c>
      <c r="X51" s="770">
        <v>6.4554794520547951E-2</v>
      </c>
      <c r="Y51" s="770">
        <v>6.934931506849315E-2</v>
      </c>
      <c r="Z51" s="770">
        <v>6.1301369863013697E-2</v>
      </c>
      <c r="AA51" s="770">
        <v>5.4794520547945202E-2</v>
      </c>
      <c r="AB51" s="770">
        <v>6.2328767123287672E-2</v>
      </c>
      <c r="AC51" s="770">
        <v>6.5068493150684928E-2</v>
      </c>
      <c r="AD51" s="770">
        <v>7.294520547945206E-2</v>
      </c>
      <c r="AE51" s="770">
        <v>6.6952054794520544E-2</v>
      </c>
      <c r="AF51" s="770">
        <v>5.9760273972602737E-2</v>
      </c>
      <c r="AG51" s="770">
        <v>5.325342465753425E-2</v>
      </c>
      <c r="AH51" s="770">
        <v>6.0616438356164384E-2</v>
      </c>
      <c r="AI51" s="770">
        <v>4.0582191780821918E-2</v>
      </c>
      <c r="AJ51" s="770"/>
      <c r="AK51" s="770">
        <f t="shared" si="17"/>
        <v>10.716666568113894</v>
      </c>
      <c r="AL51" s="770">
        <f t="shared" si="18"/>
        <v>16.647366522920212</v>
      </c>
      <c r="AM51" s="770">
        <f t="shared" si="19"/>
        <v>19.398380751555464</v>
      </c>
      <c r="AN51" s="770">
        <f t="shared" si="20"/>
        <v>23.634885729704738</v>
      </c>
      <c r="AO51" s="770">
        <f t="shared" si="21"/>
        <v>13.535261502764088</v>
      </c>
      <c r="AP51" s="770">
        <f t="shared" si="22"/>
        <v>14.061275076198738</v>
      </c>
      <c r="AQ51" s="770">
        <f t="shared" si="23"/>
        <v>17.591511987513023</v>
      </c>
      <c r="AR51" s="770">
        <f t="shared" si="24"/>
        <v>21.674619362624266</v>
      </c>
      <c r="AS51" s="770">
        <f t="shared" si="25"/>
        <v>18.683512990838917</v>
      </c>
      <c r="AT51" s="770">
        <f t="shared" si="26"/>
        <v>15.496911710611023</v>
      </c>
      <c r="AU51" s="770">
        <f t="shared" si="27"/>
        <v>10.72039210602626</v>
      </c>
      <c r="AV51" s="770">
        <f t="shared" si="28"/>
        <v>7.2126839071879072</v>
      </c>
      <c r="AW51" s="770">
        <f t="shared" si="29"/>
        <v>5.7284757225017522</v>
      </c>
      <c r="AX51" s="770">
        <f t="shared" si="30"/>
        <v>6.4383466584961457</v>
      </c>
      <c r="AY51" s="770">
        <f t="shared" si="31"/>
        <v>3.2591560654617266</v>
      </c>
      <c r="AZ51" s="770">
        <f t="shared" si="32"/>
        <v>2.7200333582019134</v>
      </c>
      <c r="BA51" s="770"/>
      <c r="BB51" s="770">
        <f t="shared" si="33"/>
        <v>12.969967501295002</v>
      </c>
    </row>
    <row r="52" spans="1:54" x14ac:dyDescent="0.75">
      <c r="A52" s="132" t="s">
        <v>481</v>
      </c>
      <c r="B52" s="132" t="str">
        <f>VLOOKUP(A52,'HCW + Staff Summary'!B:E,4,FALSE)</f>
        <v>High income</v>
      </c>
      <c r="C52" s="770">
        <v>10.9669052547797</v>
      </c>
      <c r="D52" s="770">
        <v>15.676112981292199</v>
      </c>
      <c r="E52" s="770">
        <v>19.524644586526499</v>
      </c>
      <c r="F52" s="770">
        <v>24.176994794195501</v>
      </c>
      <c r="G52" s="770">
        <v>16.407591767411699</v>
      </c>
      <c r="H52" s="770">
        <v>17.126067203963</v>
      </c>
      <c r="I52" s="770">
        <v>17.713599450200199</v>
      </c>
      <c r="J52" s="770">
        <v>18.740198976928799</v>
      </c>
      <c r="K52" s="770">
        <v>19.1201730219754</v>
      </c>
      <c r="L52" s="770">
        <v>16.021041832440499</v>
      </c>
      <c r="M52" s="770">
        <v>13.0659318295692</v>
      </c>
      <c r="N52" s="770">
        <v>8.6155493841127893</v>
      </c>
      <c r="O52" s="770">
        <v>5.0098153058066401</v>
      </c>
      <c r="P52" s="770">
        <v>3.7390721936825799</v>
      </c>
      <c r="Q52" s="770">
        <v>2.4409066881768999</v>
      </c>
      <c r="R52" s="770">
        <v>1.41692762628352</v>
      </c>
      <c r="S52" s="770"/>
      <c r="T52" s="770">
        <v>6.2361697847515593E-2</v>
      </c>
      <c r="U52" s="770">
        <v>6.5178032589016291E-2</v>
      </c>
      <c r="V52" s="770">
        <v>6.658619995976664E-2</v>
      </c>
      <c r="W52" s="770">
        <v>6.2764031382015695E-2</v>
      </c>
      <c r="X52" s="770">
        <v>6.7189700261516799E-2</v>
      </c>
      <c r="Y52" s="770">
        <v>7.2017702675518006E-2</v>
      </c>
      <c r="Z52" s="770">
        <v>6.7189700261516799E-2</v>
      </c>
      <c r="AA52" s="770">
        <v>6.1154697244015288E-2</v>
      </c>
      <c r="AB52" s="770">
        <v>5.7734862200764431E-2</v>
      </c>
      <c r="AC52" s="770">
        <v>6.4976865821766247E-2</v>
      </c>
      <c r="AD52" s="770">
        <v>6.4574532287266145E-2</v>
      </c>
      <c r="AE52" s="770">
        <v>6.578153289076645E-2</v>
      </c>
      <c r="AF52" s="770">
        <v>5.8539529269764634E-2</v>
      </c>
      <c r="AG52" s="770">
        <v>4.9889358278012469E-2</v>
      </c>
      <c r="AH52" s="770">
        <v>4.4256688795011066E-2</v>
      </c>
      <c r="AI52" s="770">
        <v>3.0778515389257695E-2</v>
      </c>
      <c r="AJ52" s="770"/>
      <c r="AK52" s="770">
        <f t="shared" si="17"/>
        <v>10.991227020465702</v>
      </c>
      <c r="AL52" s="770">
        <f t="shared" si="18"/>
        <v>15.032013431713644</v>
      </c>
      <c r="AM52" s="770">
        <f t="shared" si="19"/>
        <v>18.326474365487773</v>
      </c>
      <c r="AN52" s="770">
        <f t="shared" si="20"/>
        <v>24.075288686287227</v>
      </c>
      <c r="AO52" s="770">
        <f t="shared" si="21"/>
        <v>15.262376249214736</v>
      </c>
      <c r="AP52" s="770">
        <f t="shared" si="22"/>
        <v>14.862723476064957</v>
      </c>
      <c r="AQ52" s="770">
        <f t="shared" si="23"/>
        <v>16.47722733288645</v>
      </c>
      <c r="AR52" s="770">
        <f t="shared" si="24"/>
        <v>19.152452531725547</v>
      </c>
      <c r="AS52" s="770">
        <f t="shared" si="25"/>
        <v>20.698253504407603</v>
      </c>
      <c r="AT52" s="770">
        <f t="shared" si="26"/>
        <v>15.410332613982531</v>
      </c>
      <c r="AU52" s="770">
        <f t="shared" si="27"/>
        <v>12.646173505605235</v>
      </c>
      <c r="AV52" s="770">
        <f t="shared" si="28"/>
        <v>8.1857599366255105</v>
      </c>
      <c r="AW52" s="770">
        <f t="shared" si="29"/>
        <v>5.3487525526556716</v>
      </c>
      <c r="AX52" s="770">
        <f t="shared" si="30"/>
        <v>4.6842056136078893</v>
      </c>
      <c r="AY52" s="770">
        <f t="shared" si="31"/>
        <v>3.4470872576498208</v>
      </c>
      <c r="AZ52" s="770">
        <f t="shared" si="32"/>
        <v>2.8772660254311182</v>
      </c>
      <c r="BA52" s="770"/>
      <c r="BB52" s="770">
        <f t="shared" si="33"/>
        <v>12.967350881488214</v>
      </c>
    </row>
    <row r="53" spans="1:54" x14ac:dyDescent="0.75">
      <c r="A53" s="132" t="s">
        <v>521</v>
      </c>
      <c r="B53" s="132" t="str">
        <f>VLOOKUP(A53,'HCW + Staff Summary'!B:E,4,FALSE)</f>
        <v>High income</v>
      </c>
      <c r="C53" s="770">
        <v>9.7986388280358003</v>
      </c>
      <c r="D53" s="770">
        <v>12.794163310163199</v>
      </c>
      <c r="E53" s="770">
        <v>15.5628960760003</v>
      </c>
      <c r="F53" s="770">
        <v>17.7974149563446</v>
      </c>
      <c r="G53" s="770">
        <v>13.5752664002293</v>
      </c>
      <c r="H53" s="770">
        <v>17.4790790137681</v>
      </c>
      <c r="I53" s="770">
        <v>19.293468273356002</v>
      </c>
      <c r="J53" s="770">
        <v>19.607348168626501</v>
      </c>
      <c r="K53" s="770">
        <v>18.462553678270801</v>
      </c>
      <c r="L53" s="770">
        <v>15.2470116027395</v>
      </c>
      <c r="M53" s="770">
        <v>10.819091619989001</v>
      </c>
      <c r="N53" s="770">
        <v>7.1864871204220604</v>
      </c>
      <c r="O53" s="770">
        <v>5.2225723288827899</v>
      </c>
      <c r="P53" s="770">
        <v>4.2295974502172902</v>
      </c>
      <c r="Q53" s="770">
        <v>3.0389325889651202</v>
      </c>
      <c r="R53" s="770">
        <v>2.0768710010599598</v>
      </c>
      <c r="S53" s="770"/>
      <c r="T53" s="770">
        <v>4.8863086598935658E-2</v>
      </c>
      <c r="U53" s="770">
        <v>5.2733430091920656E-2</v>
      </c>
      <c r="V53" s="770">
        <v>5.0314465408805034E-2</v>
      </c>
      <c r="W53" s="770">
        <v>4.40251572327044E-2</v>
      </c>
      <c r="X53" s="770">
        <v>4.6444121915820029E-2</v>
      </c>
      <c r="Y53" s="770">
        <v>5.2733430091920656E-2</v>
      </c>
      <c r="Z53" s="770">
        <v>6.4344460570875658E-2</v>
      </c>
      <c r="AA53" s="770">
        <v>7.2085147556845669E-2</v>
      </c>
      <c r="AB53" s="770">
        <v>7.5955491049830667E-2</v>
      </c>
      <c r="AC53" s="770">
        <v>7.06337687469763E-2</v>
      </c>
      <c r="AD53" s="770">
        <v>7.2568940493468792E-2</v>
      </c>
      <c r="AE53" s="770">
        <v>7.2085147556845669E-2</v>
      </c>
      <c r="AF53" s="770">
        <v>6.966618287373004E-2</v>
      </c>
      <c r="AG53" s="770">
        <v>6.6763425253991288E-2</v>
      </c>
      <c r="AH53" s="770">
        <v>4.6927914852443152E-2</v>
      </c>
      <c r="AI53" s="770">
        <v>3.8703434929850025E-2</v>
      </c>
      <c r="AJ53" s="770"/>
      <c r="AK53" s="770">
        <f t="shared" si="17"/>
        <v>12.533283698978959</v>
      </c>
      <c r="AL53" s="770">
        <f t="shared" si="18"/>
        <v>15.163724519556958</v>
      </c>
      <c r="AM53" s="770">
        <f t="shared" si="19"/>
        <v>19.332034969406621</v>
      </c>
      <c r="AN53" s="770">
        <f t="shared" si="20"/>
        <v>25.265973018382066</v>
      </c>
      <c r="AO53" s="770">
        <f t="shared" si="21"/>
        <v>18.26827841749607</v>
      </c>
      <c r="AP53" s="770">
        <f t="shared" si="22"/>
        <v>20.716316698084096</v>
      </c>
      <c r="AQ53" s="770">
        <f t="shared" si="23"/>
        <v>18.740413026798336</v>
      </c>
      <c r="AR53" s="770">
        <f t="shared" si="24"/>
        <v>17.000163030432457</v>
      </c>
      <c r="AS53" s="770">
        <f t="shared" si="25"/>
        <v>15.191918173959294</v>
      </c>
      <c r="AT53" s="770">
        <f t="shared" si="26"/>
        <v>13.491255557732254</v>
      </c>
      <c r="AU53" s="770">
        <f t="shared" si="27"/>
        <v>9.3179426577155269</v>
      </c>
      <c r="AV53" s="770">
        <f t="shared" si="28"/>
        <v>6.2309013749632545</v>
      </c>
      <c r="AW53" s="770">
        <f t="shared" si="29"/>
        <v>4.6853546023440655</v>
      </c>
      <c r="AX53" s="770">
        <f t="shared" si="30"/>
        <v>3.9595008739126536</v>
      </c>
      <c r="AY53" s="770">
        <f t="shared" si="31"/>
        <v>4.047341276669397</v>
      </c>
      <c r="AZ53" s="770">
        <f t="shared" si="32"/>
        <v>3.3538221556179195</v>
      </c>
      <c r="BA53" s="770"/>
      <c r="BB53" s="770">
        <f t="shared" si="33"/>
        <v>12.956139003253117</v>
      </c>
    </row>
    <row r="54" spans="1:54" x14ac:dyDescent="0.75">
      <c r="A54" s="132" t="s">
        <v>208</v>
      </c>
      <c r="B54" s="132" t="str">
        <f>VLOOKUP(A54,'HCW + Staff Summary'!B:E,4,FALSE)</f>
        <v>Upper middle income</v>
      </c>
      <c r="C54" s="770">
        <v>13.469788009642301</v>
      </c>
      <c r="D54" s="770">
        <v>28.585277542169599</v>
      </c>
      <c r="E54" s="770">
        <v>33.527078265394202</v>
      </c>
      <c r="F54" s="770">
        <v>28.6023028079303</v>
      </c>
      <c r="G54" s="770">
        <v>21.538518589743301</v>
      </c>
      <c r="H54" s="770">
        <v>21.009856231486499</v>
      </c>
      <c r="I54" s="770">
        <v>19.602842334540799</v>
      </c>
      <c r="J54" s="770">
        <v>18.520115278931598</v>
      </c>
      <c r="K54" s="770">
        <v>15.973795140501</v>
      </c>
      <c r="L54" s="770">
        <v>11.9270565859584</v>
      </c>
      <c r="M54" s="770">
        <v>9.0064888962630292</v>
      </c>
      <c r="N54" s="770">
        <v>4.8889693712435101</v>
      </c>
      <c r="O54" s="770">
        <v>2.59188285254164</v>
      </c>
      <c r="P54" s="770">
        <v>2.1572899987262</v>
      </c>
      <c r="Q54" s="770">
        <v>0.25938909306216701</v>
      </c>
      <c r="R54" s="770">
        <v>0.14598259507974901</v>
      </c>
      <c r="S54" s="770"/>
      <c r="T54" s="770">
        <v>0.13223140495867769</v>
      </c>
      <c r="U54" s="770">
        <v>0.12514757969303425</v>
      </c>
      <c r="V54" s="770">
        <v>0.11097992916174734</v>
      </c>
      <c r="W54" s="770">
        <v>9.6418732782369149E-2</v>
      </c>
      <c r="X54" s="770">
        <v>9.6418732782369149E-2</v>
      </c>
      <c r="Y54" s="770">
        <v>9.012199921290831E-2</v>
      </c>
      <c r="Z54" s="770">
        <v>7.752853207398662E-2</v>
      </c>
      <c r="AA54" s="770">
        <v>6.2967335694608426E-2</v>
      </c>
      <c r="AB54" s="770">
        <v>5.1160960251869343E-2</v>
      </c>
      <c r="AC54" s="770">
        <v>4.2109405745769379E-2</v>
      </c>
      <c r="AD54" s="770">
        <v>3.2664305391578122E-2</v>
      </c>
      <c r="AE54" s="770">
        <v>2.6761117670208581E-2</v>
      </c>
      <c r="AF54" s="770">
        <v>2.0070838252656435E-2</v>
      </c>
      <c r="AG54" s="770">
        <v>1.4167650531286895E-2</v>
      </c>
      <c r="AH54" s="770">
        <v>9.5631641086186547E-3</v>
      </c>
      <c r="AI54" s="770">
        <v>6.7296340023612752E-3</v>
      </c>
      <c r="AJ54" s="770"/>
      <c r="AK54" s="770">
        <f t="shared" si="17"/>
        <v>6.3665794889324934</v>
      </c>
      <c r="AL54" s="770">
        <f t="shared" si="18"/>
        <v>14.275784244232105</v>
      </c>
      <c r="AM54" s="770">
        <f t="shared" si="19"/>
        <v>18.881273464620271</v>
      </c>
      <c r="AN54" s="770">
        <f t="shared" si="20"/>
        <v>18.540421284426248</v>
      </c>
      <c r="AO54" s="770">
        <f t="shared" si="21"/>
        <v>13.961575442994318</v>
      </c>
      <c r="AP54" s="770">
        <f t="shared" si="22"/>
        <v>14.570427042632966</v>
      </c>
      <c r="AQ54" s="770">
        <f t="shared" si="23"/>
        <v>15.802925879463253</v>
      </c>
      <c r="AR54" s="770">
        <f t="shared" si="24"/>
        <v>18.382661298345777</v>
      </c>
      <c r="AS54" s="770">
        <f t="shared" si="25"/>
        <v>19.514141082698579</v>
      </c>
      <c r="AT54" s="770">
        <f t="shared" si="26"/>
        <v>17.702482935116997</v>
      </c>
      <c r="AU54" s="770">
        <f t="shared" si="27"/>
        <v>17.233048407684002</v>
      </c>
      <c r="AV54" s="770">
        <f t="shared" si="28"/>
        <v>11.418080121626616</v>
      </c>
      <c r="AW54" s="770">
        <f t="shared" si="29"/>
        <v>8.0710469709660622</v>
      </c>
      <c r="AX54" s="770">
        <f t="shared" si="30"/>
        <v>9.5167949422973503</v>
      </c>
      <c r="AY54" s="770">
        <f t="shared" si="31"/>
        <v>1.6952358165405512</v>
      </c>
      <c r="AZ54" s="770">
        <f t="shared" si="32"/>
        <v>1.3557813380761776</v>
      </c>
      <c r="BA54" s="770"/>
      <c r="BB54" s="770">
        <f t="shared" si="33"/>
        <v>12.955516235040859</v>
      </c>
    </row>
    <row r="55" spans="1:54" x14ac:dyDescent="0.75">
      <c r="A55" s="132" t="s">
        <v>234</v>
      </c>
      <c r="B55" s="132" t="str">
        <f>VLOOKUP(A55,'HCW + Staff Summary'!B:E,4,FALSE)</f>
        <v>Upper middle income</v>
      </c>
      <c r="C55" s="770">
        <v>8.4252202827997795</v>
      </c>
      <c r="D55" s="770">
        <v>17.8379897492845</v>
      </c>
      <c r="E55" s="770">
        <v>20.2048295904656</v>
      </c>
      <c r="F55" s="770">
        <v>28.0874469572123</v>
      </c>
      <c r="G55" s="770">
        <v>19.0928736041975</v>
      </c>
      <c r="H55" s="770">
        <v>19.4333608076535</v>
      </c>
      <c r="I55" s="770">
        <v>18.162129014717902</v>
      </c>
      <c r="J55" s="770">
        <v>17.504995508417501</v>
      </c>
      <c r="K55" s="770">
        <v>16.362890126004999</v>
      </c>
      <c r="L55" s="770">
        <v>14.758606446284199</v>
      </c>
      <c r="M55" s="770">
        <v>12.7296999884106</v>
      </c>
      <c r="N55" s="770">
        <v>8.0580716267184904</v>
      </c>
      <c r="O55" s="770">
        <v>4.3585193012743897</v>
      </c>
      <c r="P55" s="770">
        <v>2.1146337241137201</v>
      </c>
      <c r="Q55" s="770">
        <v>2.2934684623671102</v>
      </c>
      <c r="R55" s="770">
        <v>1.3781876259325501</v>
      </c>
      <c r="S55" s="770"/>
      <c r="T55" s="770">
        <v>6.9186635167060417E-2</v>
      </c>
      <c r="U55" s="770">
        <v>7.2224097198785017E-2</v>
      </c>
      <c r="V55" s="770">
        <v>6.7161660479244004E-2</v>
      </c>
      <c r="W55" s="770">
        <v>5.7374282821464728E-2</v>
      </c>
      <c r="X55" s="770">
        <v>5.9736753290583866E-2</v>
      </c>
      <c r="Y55" s="770">
        <v>7.8299021262234217E-2</v>
      </c>
      <c r="Z55" s="770">
        <v>9.0111373607829906E-2</v>
      </c>
      <c r="AA55" s="770">
        <v>7.9649004387445155E-2</v>
      </c>
      <c r="AB55" s="770">
        <v>6.4461694228822142E-2</v>
      </c>
      <c r="AC55" s="770">
        <v>5.4674316571042859E-2</v>
      </c>
      <c r="AD55" s="770">
        <v>5.5011812352345597E-2</v>
      </c>
      <c r="AE55" s="770">
        <v>6.7161660479244004E-2</v>
      </c>
      <c r="AF55" s="770">
        <v>6.6486668916638542E-2</v>
      </c>
      <c r="AG55" s="770">
        <v>4.4549443131960853E-2</v>
      </c>
      <c r="AH55" s="770">
        <v>2.8687141410732364E-2</v>
      </c>
      <c r="AI55" s="770">
        <v>1.4174822814714817E-2</v>
      </c>
      <c r="AJ55" s="770"/>
      <c r="AK55" s="770">
        <f t="shared" si="17"/>
        <v>7.6109535664438246</v>
      </c>
      <c r="AL55" s="770">
        <f t="shared" si="18"/>
        <v>15.436321152783286</v>
      </c>
      <c r="AM55" s="770">
        <f t="shared" si="19"/>
        <v>18.802421506454014</v>
      </c>
      <c r="AN55" s="770">
        <f t="shared" si="20"/>
        <v>30.596729902286782</v>
      </c>
      <c r="AO55" s="770">
        <f t="shared" si="21"/>
        <v>19.976053845069632</v>
      </c>
      <c r="AP55" s="770">
        <f t="shared" si="22"/>
        <v>15.512135795548849</v>
      </c>
      <c r="AQ55" s="770">
        <f t="shared" si="23"/>
        <v>12.597000999674425</v>
      </c>
      <c r="AR55" s="770">
        <f t="shared" si="24"/>
        <v>13.736043880148586</v>
      </c>
      <c r="AS55" s="770">
        <f t="shared" si="25"/>
        <v>15.864935681725395</v>
      </c>
      <c r="AT55" s="770">
        <f t="shared" si="26"/>
        <v>16.871045872044785</v>
      </c>
      <c r="AU55" s="770">
        <f t="shared" si="27"/>
        <v>14.462462065053913</v>
      </c>
      <c r="AV55" s="770">
        <f t="shared" si="28"/>
        <v>7.4987645194619628</v>
      </c>
      <c r="AW55" s="770">
        <f t="shared" si="29"/>
        <v>4.0971740766738636</v>
      </c>
      <c r="AX55" s="770">
        <f t="shared" si="30"/>
        <v>2.9666949453356781</v>
      </c>
      <c r="AY55" s="770">
        <f t="shared" si="31"/>
        <v>4.9967257749954026</v>
      </c>
      <c r="AZ55" s="770">
        <f t="shared" si="32"/>
        <v>6.0767409756520028</v>
      </c>
      <c r="BA55" s="770"/>
      <c r="BB55" s="770">
        <f t="shared" si="33"/>
        <v>12.943887784959527</v>
      </c>
    </row>
    <row r="56" spans="1:54" x14ac:dyDescent="0.75">
      <c r="A56" s="132" t="s">
        <v>212</v>
      </c>
      <c r="B56" s="132" t="str">
        <f>VLOOKUP(A56,'HCW + Staff Summary'!B:E,4,FALSE)</f>
        <v>Lower middle income</v>
      </c>
      <c r="C56" s="770">
        <v>21.117687142856798</v>
      </c>
      <c r="D56" s="770">
        <v>35.725721935914898</v>
      </c>
      <c r="E56" s="770">
        <v>43.589615301962397</v>
      </c>
      <c r="F56" s="770">
        <v>32.315102005232802</v>
      </c>
      <c r="G56" s="770">
        <v>18.0095383289589</v>
      </c>
      <c r="H56" s="770">
        <v>16.836953735415001</v>
      </c>
      <c r="I56" s="770">
        <v>15.0675203755961</v>
      </c>
      <c r="J56" s="770">
        <v>14.481176175265199</v>
      </c>
      <c r="K56" s="770">
        <v>12.2988449777858</v>
      </c>
      <c r="L56" s="770">
        <v>9.4219135475397309</v>
      </c>
      <c r="M56" s="770">
        <v>7.1103384549199697</v>
      </c>
      <c r="N56" s="770">
        <v>4.3143414549649703</v>
      </c>
      <c r="O56" s="770">
        <v>2.1283114325527599</v>
      </c>
      <c r="P56" s="770">
        <v>1.1616852619548499</v>
      </c>
      <c r="Q56" s="770">
        <v>0.66670609523801505</v>
      </c>
      <c r="R56" s="770">
        <v>0.38679902239340302</v>
      </c>
      <c r="S56" s="770"/>
      <c r="T56" s="770">
        <v>0.1561753463927377</v>
      </c>
      <c r="U56" s="770">
        <v>0.14435021500238893</v>
      </c>
      <c r="V56" s="770">
        <v>0.12535833731485904</v>
      </c>
      <c r="W56" s="770">
        <v>0.10541089345437171</v>
      </c>
      <c r="X56" s="770">
        <v>9.0719063545150497E-2</v>
      </c>
      <c r="Y56" s="770">
        <v>7.793836598184424E-2</v>
      </c>
      <c r="Z56" s="770">
        <v>6.6292403248924991E-2</v>
      </c>
      <c r="AA56" s="770">
        <v>5.6139512661251792E-2</v>
      </c>
      <c r="AB56" s="770">
        <v>4.4314381270903008E-2</v>
      </c>
      <c r="AC56" s="770">
        <v>3.5236502627806976E-2</v>
      </c>
      <c r="AD56" s="770">
        <v>2.7890587673196368E-2</v>
      </c>
      <c r="AE56" s="770">
        <v>2.197802197802198E-2</v>
      </c>
      <c r="AF56" s="770">
        <v>1.7080745341614908E-2</v>
      </c>
      <c r="AG56" s="770">
        <v>1.307931199235547E-2</v>
      </c>
      <c r="AH56" s="770">
        <v>8.659818442427138E-3</v>
      </c>
      <c r="AI56" s="770">
        <v>5.613951266125179E-3</v>
      </c>
      <c r="AJ56" s="770"/>
      <c r="AK56" s="770">
        <f t="shared" si="17"/>
        <v>8.4511126558316025</v>
      </c>
      <c r="AL56" s="770">
        <f t="shared" si="18"/>
        <v>15.468335956117061</v>
      </c>
      <c r="AM56" s="770">
        <f t="shared" si="19"/>
        <v>21.732507105051763</v>
      </c>
      <c r="AN56" s="770">
        <f t="shared" si="20"/>
        <v>19.160200707351915</v>
      </c>
      <c r="AO56" s="770">
        <f t="shared" si="21"/>
        <v>12.407492996218229</v>
      </c>
      <c r="AP56" s="770">
        <f t="shared" si="22"/>
        <v>13.501817688974558</v>
      </c>
      <c r="AQ56" s="770">
        <f t="shared" si="23"/>
        <v>14.205549615370556</v>
      </c>
      <c r="AR56" s="770">
        <f t="shared" si="24"/>
        <v>16.121862624909607</v>
      </c>
      <c r="AS56" s="770">
        <f t="shared" si="25"/>
        <v>17.346012492254502</v>
      </c>
      <c r="AT56" s="770">
        <f t="shared" si="26"/>
        <v>16.711919538136151</v>
      </c>
      <c r="AU56" s="770">
        <f t="shared" si="27"/>
        <v>15.933552875960917</v>
      </c>
      <c r="AV56" s="770">
        <f t="shared" si="28"/>
        <v>12.268908512556633</v>
      </c>
      <c r="AW56" s="770">
        <f t="shared" si="29"/>
        <v>7.7876850145680532</v>
      </c>
      <c r="AX56" s="770">
        <f t="shared" si="30"/>
        <v>5.5511581124920113</v>
      </c>
      <c r="AY56" s="770">
        <f t="shared" si="31"/>
        <v>4.8117788183902261</v>
      </c>
      <c r="AZ56" s="770">
        <f t="shared" si="32"/>
        <v>4.3062252865393225</v>
      </c>
      <c r="BA56" s="770"/>
      <c r="BB56" s="770">
        <f t="shared" si="33"/>
        <v>12.860382500045194</v>
      </c>
    </row>
    <row r="57" spans="1:54" x14ac:dyDescent="0.75">
      <c r="A57" s="132" t="s">
        <v>201</v>
      </c>
      <c r="B57" s="132" t="str">
        <f>VLOOKUP(A57,'HCW + Staff Summary'!B:E,4,FALSE)</f>
        <v>Low income</v>
      </c>
      <c r="C57" s="770">
        <v>18.549605594809201</v>
      </c>
      <c r="D57" s="770">
        <v>36.924590251338302</v>
      </c>
      <c r="E57" s="770">
        <v>35.6603234535349</v>
      </c>
      <c r="F57" s="770">
        <v>31.149811957828501</v>
      </c>
      <c r="G57" s="770">
        <v>18.397647945902801</v>
      </c>
      <c r="H57" s="770">
        <v>17.9400710898109</v>
      </c>
      <c r="I57" s="770">
        <v>15.8861784403052</v>
      </c>
      <c r="J57" s="770">
        <v>16.072153213724199</v>
      </c>
      <c r="K57" s="770">
        <v>13.8338202779927</v>
      </c>
      <c r="L57" s="770">
        <v>10.4979952303375</v>
      </c>
      <c r="M57" s="770">
        <v>7.9369395614081704</v>
      </c>
      <c r="N57" s="770">
        <v>4.8806014553536201</v>
      </c>
      <c r="O57" s="770">
        <v>2.7208086355370198</v>
      </c>
      <c r="P57" s="770">
        <v>1.20267850462267</v>
      </c>
      <c r="Q57" s="770">
        <v>0.57131202842629603</v>
      </c>
      <c r="R57" s="770">
        <v>0.395695262366626</v>
      </c>
      <c r="S57" s="770"/>
      <c r="T57" s="770">
        <v>0.1465005931198102</v>
      </c>
      <c r="U57" s="770">
        <v>0.13404507710557534</v>
      </c>
      <c r="V57" s="770">
        <v>0.12317121391854488</v>
      </c>
      <c r="W57" s="770">
        <v>0.10913404507710557</v>
      </c>
      <c r="X57" s="770">
        <v>9.1538157374456308E-2</v>
      </c>
      <c r="Y57" s="770">
        <v>7.4733096085409248E-2</v>
      </c>
      <c r="Z57" s="770">
        <v>6.6034005535784895E-2</v>
      </c>
      <c r="AA57" s="770">
        <v>5.852115460656386E-2</v>
      </c>
      <c r="AB57" s="770">
        <v>4.8438117833135626E-2</v>
      </c>
      <c r="AC57" s="770">
        <v>3.9343614076710165E-2</v>
      </c>
      <c r="AD57" s="770">
        <v>3.1237643337287464E-2</v>
      </c>
      <c r="AE57" s="770">
        <v>2.491103202846975E-2</v>
      </c>
      <c r="AF57" s="770">
        <v>1.937524713325425E-2</v>
      </c>
      <c r="AG57" s="770">
        <v>1.4037168841439305E-2</v>
      </c>
      <c r="AH57" s="770">
        <v>8.8967971530249119E-3</v>
      </c>
      <c r="AI57" s="770">
        <v>6.3266113088177147E-3</v>
      </c>
      <c r="AJ57" s="770"/>
      <c r="AK57" s="770">
        <f t="shared" si="17"/>
        <v>7.91362222491101</v>
      </c>
      <c r="AL57" s="770">
        <f t="shared" si="18"/>
        <v>17.216498662543245</v>
      </c>
      <c r="AM57" s="770">
        <f t="shared" si="19"/>
        <v>18.094895267654447</v>
      </c>
      <c r="AN57" s="770">
        <f t="shared" si="20"/>
        <v>17.839192581827056</v>
      </c>
      <c r="AO57" s="770">
        <f t="shared" si="21"/>
        <v>12.561461030018407</v>
      </c>
      <c r="AP57" s="770">
        <f t="shared" si="22"/>
        <v>15.003452310228759</v>
      </c>
      <c r="AQ57" s="770">
        <f t="shared" si="23"/>
        <v>15.035982513297848</v>
      </c>
      <c r="AR57" s="770">
        <f t="shared" si="24"/>
        <v>17.164896738812711</v>
      </c>
      <c r="AS57" s="770">
        <f t="shared" si="25"/>
        <v>17.849863001552826</v>
      </c>
      <c r="AT57" s="770">
        <f t="shared" si="26"/>
        <v>16.676777598946945</v>
      </c>
      <c r="AU57" s="770">
        <f t="shared" si="27"/>
        <v>15.880158347152898</v>
      </c>
      <c r="AV57" s="770">
        <f t="shared" si="28"/>
        <v>12.245080437092565</v>
      </c>
      <c r="AW57" s="770">
        <f t="shared" si="29"/>
        <v>8.7766901011136778</v>
      </c>
      <c r="AX57" s="770">
        <f t="shared" si="30"/>
        <v>5.3548836939977686</v>
      </c>
      <c r="AY57" s="770">
        <f t="shared" si="31"/>
        <v>4.013466999694729</v>
      </c>
      <c r="AZ57" s="770">
        <f t="shared" si="32"/>
        <v>3.9090364004890512</v>
      </c>
      <c r="BA57" s="770"/>
      <c r="BB57" s="770">
        <f t="shared" si="33"/>
        <v>12.845997369333373</v>
      </c>
    </row>
    <row r="58" spans="1:54" x14ac:dyDescent="0.75">
      <c r="A58" s="132" t="s">
        <v>555</v>
      </c>
      <c r="B58" s="132" t="str">
        <f>VLOOKUP(A58,'HCW + Staff Summary'!B:E,4,FALSE)</f>
        <v>High income</v>
      </c>
      <c r="C58" s="770">
        <v>11.195001906218</v>
      </c>
      <c r="D58" s="770">
        <v>16.456209310131701</v>
      </c>
      <c r="E58" s="770">
        <v>16.927970790179899</v>
      </c>
      <c r="F58" s="770">
        <v>17.735322361141499</v>
      </c>
      <c r="G58" s="770">
        <v>22.030781405656999</v>
      </c>
      <c r="H58" s="770">
        <v>31.067652754033201</v>
      </c>
      <c r="I58" s="770">
        <v>29.682685917754402</v>
      </c>
      <c r="J58" s="770">
        <v>24.184241400644499</v>
      </c>
      <c r="K58" s="770">
        <v>17.5149571932124</v>
      </c>
      <c r="L58" s="770">
        <v>12.303542356123</v>
      </c>
      <c r="M58" s="770">
        <v>8.5292570211787009</v>
      </c>
      <c r="N58" s="770">
        <v>4.08502934506767</v>
      </c>
      <c r="O58" s="770">
        <v>1.6068573143390601</v>
      </c>
      <c r="P58" s="770">
        <v>0.53793702711769797</v>
      </c>
      <c r="Q58" s="770">
        <v>0.27497892498722498</v>
      </c>
      <c r="R58" s="770">
        <v>0.27968512371727899</v>
      </c>
      <c r="S58" s="770"/>
      <c r="T58" s="770">
        <v>5.0455005055611728E-2</v>
      </c>
      <c r="U58" s="770">
        <v>5.1870576339737108E-2</v>
      </c>
      <c r="V58" s="770">
        <v>4.5803842264914053E-2</v>
      </c>
      <c r="W58" s="770">
        <v>3.9433771486349849E-2</v>
      </c>
      <c r="X58" s="770">
        <v>7.2396359959555109E-2</v>
      </c>
      <c r="Y58" s="770">
        <v>0.14489383215369059</v>
      </c>
      <c r="Z58" s="770">
        <v>0.18159757330637008</v>
      </c>
      <c r="AA58" s="770">
        <v>0.13892821031344793</v>
      </c>
      <c r="AB58" s="770">
        <v>9.2618806875631954E-2</v>
      </c>
      <c r="AC58" s="770">
        <v>6.9969666329625882E-2</v>
      </c>
      <c r="AD58" s="770">
        <v>4.6208291203235594E-2</v>
      </c>
      <c r="AE58" s="770">
        <v>3.4479271991911024E-2</v>
      </c>
      <c r="AF58" s="770">
        <v>1.8806875631951468E-2</v>
      </c>
      <c r="AG58" s="770">
        <v>5.7633973710819013E-3</v>
      </c>
      <c r="AH58" s="770">
        <v>3.640040444893832E-3</v>
      </c>
      <c r="AI58" s="770">
        <v>2.0222446916076846E-3</v>
      </c>
      <c r="AJ58" s="770"/>
      <c r="AK58" s="770">
        <f t="shared" si="17"/>
        <v>13.867556219000003</v>
      </c>
      <c r="AL58" s="770">
        <f t="shared" si="18"/>
        <v>19.828449083479839</v>
      </c>
      <c r="AM58" s="770">
        <f t="shared" si="19"/>
        <v>23.098459039028587</v>
      </c>
      <c r="AN58" s="770">
        <f t="shared" si="20"/>
        <v>28.10934906277074</v>
      </c>
      <c r="AO58" s="770">
        <f t="shared" si="21"/>
        <v>19.019241279848789</v>
      </c>
      <c r="AP58" s="770">
        <f t="shared" si="22"/>
        <v>13.401041771519033</v>
      </c>
      <c r="AQ58" s="770">
        <f t="shared" si="23"/>
        <v>10.215818615207093</v>
      </c>
      <c r="AR58" s="770">
        <f t="shared" si="24"/>
        <v>10.879828395759375</v>
      </c>
      <c r="AS58" s="770">
        <f t="shared" si="25"/>
        <v>11.819249907264645</v>
      </c>
      <c r="AT58" s="770">
        <f t="shared" si="26"/>
        <v>10.990068090864927</v>
      </c>
      <c r="AU58" s="770">
        <f t="shared" si="27"/>
        <v>11.536426687562548</v>
      </c>
      <c r="AV58" s="770">
        <f t="shared" si="28"/>
        <v>7.4048644103224435</v>
      </c>
      <c r="AW58" s="770">
        <f t="shared" si="29"/>
        <v>5.339992889386191</v>
      </c>
      <c r="AX58" s="770">
        <f t="shared" si="30"/>
        <v>5.8335495594232816</v>
      </c>
      <c r="AY58" s="770">
        <f t="shared" si="31"/>
        <v>4.7214263335480124</v>
      </c>
      <c r="AZ58" s="770">
        <f t="shared" si="32"/>
        <v>8.6440183548871534</v>
      </c>
      <c r="BA58" s="770"/>
      <c r="BB58" s="770">
        <f t="shared" si="33"/>
        <v>12.794333731242039</v>
      </c>
    </row>
    <row r="59" spans="1:54" x14ac:dyDescent="0.75">
      <c r="A59" s="132" t="s">
        <v>530</v>
      </c>
      <c r="B59" s="132" t="str">
        <f>VLOOKUP(A59,'HCW + Staff Summary'!B:E,4,FALSE)</f>
        <v>High income</v>
      </c>
      <c r="C59" s="770">
        <v>9.6917826867591099</v>
      </c>
      <c r="D59" s="770">
        <v>13.575947668548899</v>
      </c>
      <c r="E59" s="770">
        <v>14.3308178458791</v>
      </c>
      <c r="F59" s="770">
        <v>15.8373101640197</v>
      </c>
      <c r="G59" s="770">
        <v>12.964780874093099</v>
      </c>
      <c r="H59" s="770">
        <v>16.4586321596651</v>
      </c>
      <c r="I59" s="770">
        <v>19.510481236152199</v>
      </c>
      <c r="J59" s="770">
        <v>20.4065809681546</v>
      </c>
      <c r="K59" s="770">
        <v>19.300376374099301</v>
      </c>
      <c r="L59" s="770">
        <v>15.2259401809763</v>
      </c>
      <c r="M59" s="770">
        <v>11.885104546366</v>
      </c>
      <c r="N59" s="770">
        <v>7.3072705263042401</v>
      </c>
      <c r="O59" s="770">
        <v>4.8555108368859896</v>
      </c>
      <c r="P59" s="770">
        <v>4.1628735694752397</v>
      </c>
      <c r="Q59" s="770">
        <v>2.7302201750874699</v>
      </c>
      <c r="R59" s="770">
        <v>2.1020914401241</v>
      </c>
      <c r="S59" s="770"/>
      <c r="T59" s="770">
        <v>4.2580976643617138E-2</v>
      </c>
      <c r="U59" s="770">
        <v>4.8018667979704992E-2</v>
      </c>
      <c r="V59" s="770">
        <v>5.3413542848579562E-2</v>
      </c>
      <c r="W59" s="770">
        <v>4.786881034445848E-2</v>
      </c>
      <c r="X59" s="770">
        <v>4.825415854937809E-2</v>
      </c>
      <c r="Y59" s="770">
        <v>5.0502023078075831E-2</v>
      </c>
      <c r="Z59" s="770">
        <v>5.6025347348590271E-2</v>
      </c>
      <c r="AA59" s="770">
        <v>7.0219006229795974E-2</v>
      </c>
      <c r="AB59" s="770">
        <v>8.5590117959367176E-2</v>
      </c>
      <c r="AC59" s="770">
        <v>8.4219991008541883E-2</v>
      </c>
      <c r="AD59" s="770">
        <v>7.7690479758515119E-2</v>
      </c>
      <c r="AE59" s="770">
        <v>7.3023484832266491E-2</v>
      </c>
      <c r="AF59" s="770">
        <v>6.2875982102716707E-2</v>
      </c>
      <c r="AG59" s="770">
        <v>5.135835242234163E-2</v>
      </c>
      <c r="AH59" s="770">
        <v>4.7140930401832544E-2</v>
      </c>
      <c r="AI59" s="770">
        <v>3.8727494594421014E-2</v>
      </c>
      <c r="AJ59" s="770"/>
      <c r="AK59" s="770">
        <f t="shared" si="17"/>
        <v>14.225517253682904</v>
      </c>
      <c r="AL59" s="770">
        <f t="shared" si="18"/>
        <v>17.670142987783873</v>
      </c>
      <c r="AM59" s="770">
        <f t="shared" si="19"/>
        <v>16.768708226424316</v>
      </c>
      <c r="AN59" s="770">
        <f t="shared" si="20"/>
        <v>20.678013055442872</v>
      </c>
      <c r="AO59" s="770">
        <f t="shared" si="21"/>
        <v>16.792310320811968</v>
      </c>
      <c r="AP59" s="770">
        <f t="shared" si="22"/>
        <v>20.368778264362984</v>
      </c>
      <c r="AQ59" s="770">
        <f t="shared" si="23"/>
        <v>21.765239038543783</v>
      </c>
      <c r="AR59" s="770">
        <f t="shared" si="24"/>
        <v>18.163334672322211</v>
      </c>
      <c r="AS59" s="770">
        <f t="shared" si="25"/>
        <v>14.093607441385574</v>
      </c>
      <c r="AT59" s="770">
        <f t="shared" si="26"/>
        <v>11.29923252086909</v>
      </c>
      <c r="AU59" s="770">
        <f t="shared" si="27"/>
        <v>9.5612620292315764</v>
      </c>
      <c r="AV59" s="770">
        <f t="shared" si="28"/>
        <v>6.2542127227022384</v>
      </c>
      <c r="AW59" s="770">
        <f t="shared" si="29"/>
        <v>4.8264761385295678</v>
      </c>
      <c r="AX59" s="770">
        <f t="shared" si="30"/>
        <v>5.0659646546414629</v>
      </c>
      <c r="AY59" s="770">
        <f t="shared" si="31"/>
        <v>3.6197580210748983</v>
      </c>
      <c r="AZ59" s="770">
        <f t="shared" si="32"/>
        <v>3.3924403420272538</v>
      </c>
      <c r="BA59" s="770"/>
      <c r="BB59" s="770">
        <f t="shared" si="33"/>
        <v>12.784062355614786</v>
      </c>
    </row>
    <row r="60" spans="1:54" x14ac:dyDescent="0.75">
      <c r="A60" s="132" t="s">
        <v>343</v>
      </c>
      <c r="B60" s="132" t="str">
        <f>VLOOKUP(A60,'HCW + Staff Summary'!B:E,4,FALSE)</f>
        <v>High income</v>
      </c>
      <c r="C60" s="770">
        <v>8.7420896435365893</v>
      </c>
      <c r="D60" s="770">
        <v>13.287164514153099</v>
      </c>
      <c r="E60" s="770">
        <v>17.282081731730901</v>
      </c>
      <c r="F60" s="770">
        <v>22.9570884189163</v>
      </c>
      <c r="G60" s="770">
        <v>15.4743363225582</v>
      </c>
      <c r="H60" s="770">
        <v>17.227675939916502</v>
      </c>
      <c r="I60" s="770">
        <v>18.199809007417102</v>
      </c>
      <c r="J60" s="770">
        <v>18.454431396172598</v>
      </c>
      <c r="K60" s="770">
        <v>18.0519418019616</v>
      </c>
      <c r="L60" s="770">
        <v>15.6200378201228</v>
      </c>
      <c r="M60" s="770">
        <v>12.587361967195999</v>
      </c>
      <c r="N60" s="770">
        <v>8.36404525461543</v>
      </c>
      <c r="O60" s="770">
        <v>5.1603445250488402</v>
      </c>
      <c r="P60" s="770">
        <v>3.9735680847482699</v>
      </c>
      <c r="Q60" s="770">
        <v>2.4251651725337502</v>
      </c>
      <c r="R60" s="770">
        <v>1.47824516157764</v>
      </c>
      <c r="S60" s="770"/>
      <c r="T60" s="770">
        <v>5.2807557584120583E-2</v>
      </c>
      <c r="U60" s="770">
        <v>5.2409510667657359E-2</v>
      </c>
      <c r="V60" s="770">
        <v>5.2542192973145101E-2</v>
      </c>
      <c r="W60" s="770">
        <v>5.2701411739730392E-2</v>
      </c>
      <c r="X60" s="770">
        <v>6.2599511729115806E-2</v>
      </c>
      <c r="Y60" s="770">
        <v>7.2418002335208578E-2</v>
      </c>
      <c r="Z60" s="770">
        <v>6.957860099777094E-2</v>
      </c>
      <c r="AA60" s="770">
        <v>7.0268548986307189E-2</v>
      </c>
      <c r="AB60" s="770">
        <v>6.5253157838870604E-2</v>
      </c>
      <c r="AC60" s="770">
        <v>6.3156777412164314E-2</v>
      </c>
      <c r="AD60" s="770">
        <v>6.421823585606623E-2</v>
      </c>
      <c r="AE60" s="770">
        <v>7.3107950323744827E-2</v>
      </c>
      <c r="AF60" s="770">
        <v>6.7880267487527859E-2</v>
      </c>
      <c r="AG60" s="770">
        <v>5.6973781976435621E-2</v>
      </c>
      <c r="AH60" s="770">
        <v>4.7500265364610973E-2</v>
      </c>
      <c r="AI60" s="770">
        <v>3.2480628383398789E-2</v>
      </c>
      <c r="AJ60" s="770"/>
      <c r="AK60" s="770">
        <f t="shared" si="17"/>
        <v>10.3466364989646</v>
      </c>
      <c r="AL60" s="770">
        <f t="shared" si="18"/>
        <v>15.84536416301726</v>
      </c>
      <c r="AM60" s="770">
        <f t="shared" si="19"/>
        <v>20.557385352858184</v>
      </c>
      <c r="AN60" s="770">
        <f t="shared" si="20"/>
        <v>27.225419183611589</v>
      </c>
      <c r="AO60" s="770">
        <f t="shared" si="21"/>
        <v>15.449737441163713</v>
      </c>
      <c r="AP60" s="770">
        <f t="shared" si="22"/>
        <v>14.868260812564433</v>
      </c>
      <c r="AQ60" s="770">
        <f t="shared" si="23"/>
        <v>16.348245676857029</v>
      </c>
      <c r="AR60" s="770">
        <f t="shared" si="24"/>
        <v>16.414199224258123</v>
      </c>
      <c r="AS60" s="770">
        <f t="shared" si="25"/>
        <v>17.290295213123247</v>
      </c>
      <c r="AT60" s="770">
        <f t="shared" si="26"/>
        <v>15.457602552875725</v>
      </c>
      <c r="AU60" s="770">
        <f t="shared" si="27"/>
        <v>12.250572013734867</v>
      </c>
      <c r="AV60" s="770">
        <f t="shared" si="28"/>
        <v>7.1504238061462759</v>
      </c>
      <c r="AW60" s="770">
        <f t="shared" si="29"/>
        <v>4.7513297273734487</v>
      </c>
      <c r="AX60" s="770">
        <f t="shared" si="30"/>
        <v>4.3589875321860099</v>
      </c>
      <c r="AY60" s="770">
        <f t="shared" si="31"/>
        <v>3.1909889791117965</v>
      </c>
      <c r="AZ60" s="770">
        <f t="shared" si="32"/>
        <v>2.8444746052334451</v>
      </c>
      <c r="BA60" s="770"/>
      <c r="BB60" s="770">
        <f t="shared" si="33"/>
        <v>12.771870173942485</v>
      </c>
    </row>
    <row r="61" spans="1:54" x14ac:dyDescent="0.75">
      <c r="A61" s="132" t="s">
        <v>199</v>
      </c>
      <c r="B61" s="132" t="str">
        <f>VLOOKUP(A61,'HCW + Staff Summary'!B:E,4,FALSE)</f>
        <v>Lower middle income</v>
      </c>
      <c r="C61" s="770">
        <v>19.390935729044301</v>
      </c>
      <c r="D61" s="770">
        <v>34.1262799005952</v>
      </c>
      <c r="E61" s="770">
        <v>36.9293971294626</v>
      </c>
      <c r="F61" s="770">
        <v>31.857985542278499</v>
      </c>
      <c r="G61" s="770">
        <v>19.106514101112101</v>
      </c>
      <c r="H61" s="770">
        <v>18.683171101220001</v>
      </c>
      <c r="I61" s="770">
        <v>17.200466724462999</v>
      </c>
      <c r="J61" s="770">
        <v>15.9387795828907</v>
      </c>
      <c r="K61" s="770">
        <v>13.6866970979755</v>
      </c>
      <c r="L61" s="770">
        <v>10.6525626655673</v>
      </c>
      <c r="M61" s="770">
        <v>6.8580327453683498</v>
      </c>
      <c r="N61" s="770">
        <v>4.29250018037507</v>
      </c>
      <c r="O61" s="770">
        <v>2.6689118036642099</v>
      </c>
      <c r="P61" s="770">
        <v>0.92985311113996705</v>
      </c>
      <c r="Q61" s="770">
        <v>0.58999228558447903</v>
      </c>
      <c r="R61" s="770">
        <v>0.322928067757353</v>
      </c>
      <c r="S61" s="770"/>
      <c r="T61" s="770">
        <v>0.13099998140261479</v>
      </c>
      <c r="U61" s="770">
        <v>0.12960517751204181</v>
      </c>
      <c r="V61" s="770">
        <v>0.12527198675866172</v>
      </c>
      <c r="W61" s="770">
        <v>0.11178888248312287</v>
      </c>
      <c r="X61" s="770">
        <v>9.7375908947202022E-2</v>
      </c>
      <c r="Y61" s="770">
        <v>8.1047404734894274E-2</v>
      </c>
      <c r="Z61" s="770">
        <v>7.4817280690334942E-2</v>
      </c>
      <c r="AA61" s="770">
        <v>6.4105186810734405E-2</v>
      </c>
      <c r="AB61" s="770">
        <v>5.1310185787878222E-2</v>
      </c>
      <c r="AC61" s="770">
        <v>3.9854196499972107E-2</v>
      </c>
      <c r="AD61" s="770">
        <v>2.9830205873054249E-2</v>
      </c>
      <c r="AE61" s="770">
        <v>2.2354057019583047E-2</v>
      </c>
      <c r="AF61" s="770">
        <v>1.6514478064384146E-2</v>
      </c>
      <c r="AG61" s="770">
        <v>1.1716352680813077E-2</v>
      </c>
      <c r="AH61" s="770">
        <v>7.0856037641107662E-3</v>
      </c>
      <c r="AI61" s="770">
        <v>3.5892953450744826E-3</v>
      </c>
      <c r="AJ61" s="770"/>
      <c r="AK61" s="770">
        <f t="shared" si="17"/>
        <v>9.2514019474591951</v>
      </c>
      <c r="AL61" s="770">
        <f t="shared" si="18"/>
        <v>16.456846360084878</v>
      </c>
      <c r="AM61" s="770">
        <f t="shared" si="19"/>
        <v>18.424608568218655</v>
      </c>
      <c r="AN61" s="770">
        <f t="shared" si="20"/>
        <v>17.811467939962746</v>
      </c>
      <c r="AO61" s="770">
        <f t="shared" si="21"/>
        <v>12.263373397284411</v>
      </c>
      <c r="AP61" s="770">
        <f t="shared" si="22"/>
        <v>14.407595130847016</v>
      </c>
      <c r="AQ61" s="770">
        <f t="shared" si="23"/>
        <v>14.368728191665111</v>
      </c>
      <c r="AR61" s="770">
        <f t="shared" si="24"/>
        <v>15.539674299238756</v>
      </c>
      <c r="AS61" s="770">
        <f t="shared" si="25"/>
        <v>16.671515713465944</v>
      </c>
      <c r="AT61" s="770">
        <f t="shared" si="26"/>
        <v>16.705522255314374</v>
      </c>
      <c r="AU61" s="770">
        <f t="shared" si="27"/>
        <v>14.368893342861655</v>
      </c>
      <c r="AV61" s="770">
        <f t="shared" si="28"/>
        <v>12.001457321076741</v>
      </c>
      <c r="AW61" s="770">
        <f t="shared" si="29"/>
        <v>10.10065150582969</v>
      </c>
      <c r="AX61" s="770">
        <f t="shared" si="30"/>
        <v>4.9602313134034892</v>
      </c>
      <c r="AY61" s="770">
        <f t="shared" si="31"/>
        <v>5.20414619228396</v>
      </c>
      <c r="AZ61" s="770">
        <f t="shared" si="32"/>
        <v>5.6231104700066803</v>
      </c>
      <c r="BA61" s="770"/>
      <c r="BB61" s="770">
        <f t="shared" si="33"/>
        <v>12.759951496812706</v>
      </c>
    </row>
    <row r="62" spans="1:54" x14ac:dyDescent="0.75">
      <c r="A62" s="132" t="s">
        <v>317</v>
      </c>
      <c r="B62" s="132" t="str">
        <f>VLOOKUP(A62,'HCW + Staff Summary'!B:E,4,FALSE)</f>
        <v>High income</v>
      </c>
      <c r="C62" s="770">
        <v>11.4374155043744</v>
      </c>
      <c r="D62" s="770">
        <v>24.737252862833898</v>
      </c>
      <c r="E62" s="770">
        <v>28.0428892615015</v>
      </c>
      <c r="F62" s="770">
        <v>27.0424840498134</v>
      </c>
      <c r="G62" s="770">
        <v>18.058650456449399</v>
      </c>
      <c r="H62" s="770">
        <v>20.312690385214498</v>
      </c>
      <c r="I62" s="770">
        <v>21.540604184057202</v>
      </c>
      <c r="J62" s="770">
        <v>21.6781442518738</v>
      </c>
      <c r="K62" s="770">
        <v>18.5586966492952</v>
      </c>
      <c r="L62" s="770">
        <v>13.901749030107799</v>
      </c>
      <c r="M62" s="770">
        <v>10.1782451692298</v>
      </c>
      <c r="N62" s="770">
        <v>5.6190327557998803</v>
      </c>
      <c r="O62" s="770">
        <v>3.0861295027623701</v>
      </c>
      <c r="P62" s="770">
        <v>1.7498224227152399</v>
      </c>
      <c r="Q62" s="770">
        <v>1.07184890882448</v>
      </c>
      <c r="R62" s="770">
        <v>0.68783572916928803</v>
      </c>
      <c r="S62" s="770"/>
      <c r="T62" s="770">
        <v>7.4489795918367352E-2</v>
      </c>
      <c r="U62" s="770">
        <v>7.4489795918367352E-2</v>
      </c>
      <c r="V62" s="770">
        <v>6.9387755102040816E-2</v>
      </c>
      <c r="W62" s="770">
        <v>7.2448979591836729E-2</v>
      </c>
      <c r="X62" s="770">
        <v>7.7551020408163265E-2</v>
      </c>
      <c r="Y62" s="770">
        <v>7.4489795918367352E-2</v>
      </c>
      <c r="Z62" s="770">
        <v>7.2448979591836729E-2</v>
      </c>
      <c r="AA62" s="770">
        <v>7.1428571428571425E-2</v>
      </c>
      <c r="AB62" s="770">
        <v>7.040816326530612E-2</v>
      </c>
      <c r="AC62" s="770">
        <v>7.1428571428571425E-2</v>
      </c>
      <c r="AD62" s="770">
        <v>6.9387755102040816E-2</v>
      </c>
      <c r="AE62" s="770">
        <v>6.1224489795918366E-2</v>
      </c>
      <c r="AF62" s="770">
        <v>4.7959183673469387E-2</v>
      </c>
      <c r="AG62" s="770">
        <v>3.4693877551020408E-2</v>
      </c>
      <c r="AH62" s="770">
        <v>2.5510204081632654E-2</v>
      </c>
      <c r="AI62" s="770">
        <v>1.6326530612244899E-2</v>
      </c>
      <c r="AJ62" s="770"/>
      <c r="AK62" s="770">
        <f t="shared" si="17"/>
        <v>9.5964616389442732</v>
      </c>
      <c r="AL62" s="770">
        <f t="shared" si="18"/>
        <v>20.755571751350359</v>
      </c>
      <c r="AM62" s="770">
        <f t="shared" si="19"/>
        <v>25.259220106867161</v>
      </c>
      <c r="AN62" s="770">
        <f t="shared" si="20"/>
        <v>23.328903493677053</v>
      </c>
      <c r="AO62" s="770">
        <f t="shared" si="21"/>
        <v>14.553846584967443</v>
      </c>
      <c r="AP62" s="770">
        <f t="shared" si="22"/>
        <v>17.043182001292987</v>
      </c>
      <c r="AQ62" s="770">
        <f t="shared" si="23"/>
        <v>18.582563468640899</v>
      </c>
      <c r="AR62" s="770">
        <f t="shared" si="24"/>
        <v>18.968376220389576</v>
      </c>
      <c r="AS62" s="770">
        <f t="shared" si="25"/>
        <v>16.474205358975812</v>
      </c>
      <c r="AT62" s="770">
        <f t="shared" si="26"/>
        <v>12.164030401344325</v>
      </c>
      <c r="AU62" s="770">
        <f t="shared" si="27"/>
        <v>9.1679046561077246</v>
      </c>
      <c r="AV62" s="770">
        <f t="shared" si="28"/>
        <v>5.7360959382123777</v>
      </c>
      <c r="AW62" s="770">
        <f t="shared" si="29"/>
        <v>4.021817703067982</v>
      </c>
      <c r="AX62" s="770">
        <f t="shared" si="30"/>
        <v>3.1522536291561307</v>
      </c>
      <c r="AY62" s="770">
        <f t="shared" si="31"/>
        <v>2.626029826619976</v>
      </c>
      <c r="AZ62" s="770">
        <f t="shared" si="32"/>
        <v>2.6331211507261805</v>
      </c>
      <c r="BA62" s="770"/>
      <c r="BB62" s="770">
        <f t="shared" si="33"/>
        <v>12.753973995646268</v>
      </c>
    </row>
    <row r="63" spans="1:54" x14ac:dyDescent="0.75">
      <c r="A63" s="132" t="s">
        <v>352</v>
      </c>
      <c r="B63" s="132" t="str">
        <f>VLOOKUP(A63,'HCW + Staff Summary'!B:E,4,FALSE)</f>
        <v>Upper middle income</v>
      </c>
      <c r="C63" s="770">
        <v>7.8106602075983904</v>
      </c>
      <c r="D63" s="770">
        <v>17.358468749937</v>
      </c>
      <c r="E63" s="770">
        <v>20.161391865306999</v>
      </c>
      <c r="F63" s="770">
        <v>26.151847421589402</v>
      </c>
      <c r="G63" s="770">
        <v>18.979558862839401</v>
      </c>
      <c r="H63" s="770">
        <v>18.507990075711099</v>
      </c>
      <c r="I63" s="770">
        <v>18.074858445870699</v>
      </c>
      <c r="J63" s="770">
        <v>19.923117754400899</v>
      </c>
      <c r="K63" s="770">
        <v>19.7637719865888</v>
      </c>
      <c r="L63" s="770">
        <v>15.7738553353496</v>
      </c>
      <c r="M63" s="770">
        <v>10.8194367195255</v>
      </c>
      <c r="N63" s="770">
        <v>7.8366909177386104</v>
      </c>
      <c r="O63" s="770">
        <v>4.26032680197559</v>
      </c>
      <c r="P63" s="770">
        <v>2.66660890653724</v>
      </c>
      <c r="Q63" s="770">
        <v>1.66020245913773</v>
      </c>
      <c r="R63" s="770">
        <v>1.0436139458476099</v>
      </c>
      <c r="S63" s="770"/>
      <c r="T63" s="770">
        <v>5.8313275709140786E-2</v>
      </c>
      <c r="U63" s="770">
        <v>6.0261356849217809E-2</v>
      </c>
      <c r="V63" s="770">
        <v>5.8543049382072943E-2</v>
      </c>
      <c r="W63" s="770">
        <v>5.7208649480261942E-2</v>
      </c>
      <c r="X63" s="770">
        <v>6.0554639394482149E-2</v>
      </c>
      <c r="Y63" s="770">
        <v>6.8080083974428052E-2</v>
      </c>
      <c r="Z63" s="770">
        <v>8.9444040477272738E-2</v>
      </c>
      <c r="AA63" s="770">
        <v>6.9540788038068221E-2</v>
      </c>
      <c r="AB63" s="770">
        <v>6.6888400639655649E-2</v>
      </c>
      <c r="AC63" s="770">
        <v>8.3260131627489783E-2</v>
      </c>
      <c r="AD63" s="770">
        <v>8.5766234544687764E-2</v>
      </c>
      <c r="AE63" s="770">
        <v>6.860171302695417E-2</v>
      </c>
      <c r="AF63" s="770">
        <v>5.3854096572019415E-2</v>
      </c>
      <c r="AG63" s="770">
        <v>5.151711278676218E-2</v>
      </c>
      <c r="AH63" s="770">
        <v>3.1229239199388602E-2</v>
      </c>
      <c r="AI63" s="770">
        <v>1.8441834792729161E-2</v>
      </c>
      <c r="AJ63" s="770"/>
      <c r="AK63" s="770">
        <f t="shared" si="17"/>
        <v>8.3714429868390638</v>
      </c>
      <c r="AL63" s="770">
        <f t="shared" si="18"/>
        <v>18.003316778705166</v>
      </c>
      <c r="AM63" s="770">
        <f t="shared" si="19"/>
        <v>21.524109264584215</v>
      </c>
      <c r="AN63" s="770">
        <f t="shared" si="20"/>
        <v>28.570687801558179</v>
      </c>
      <c r="AO63" s="770">
        <f t="shared" si="21"/>
        <v>19.589290610746389</v>
      </c>
      <c r="AP63" s="770">
        <f t="shared" si="22"/>
        <v>16.991009884277418</v>
      </c>
      <c r="AQ63" s="770">
        <f t="shared" si="23"/>
        <v>12.630004713997286</v>
      </c>
      <c r="AR63" s="770">
        <f t="shared" si="24"/>
        <v>17.905964179876822</v>
      </c>
      <c r="AS63" s="770">
        <f t="shared" si="25"/>
        <v>18.467114437618569</v>
      </c>
      <c r="AT63" s="770">
        <f t="shared" si="26"/>
        <v>11.840792696199019</v>
      </c>
      <c r="AU63" s="770">
        <f t="shared" si="27"/>
        <v>7.8843941157053807</v>
      </c>
      <c r="AV63" s="770">
        <f t="shared" si="28"/>
        <v>7.1396640221829362</v>
      </c>
      <c r="AW63" s="770">
        <f t="shared" si="29"/>
        <v>4.9442928592700337</v>
      </c>
      <c r="AX63" s="770">
        <f t="shared" si="30"/>
        <v>3.2351008750902515</v>
      </c>
      <c r="AY63" s="770">
        <f t="shared" si="31"/>
        <v>3.3226122811899805</v>
      </c>
      <c r="AZ63" s="770">
        <f t="shared" si="32"/>
        <v>3.5368428547679778</v>
      </c>
      <c r="BA63" s="770"/>
      <c r="BB63" s="770">
        <f t="shared" si="33"/>
        <v>12.747290022663041</v>
      </c>
    </row>
    <row r="64" spans="1:54" x14ac:dyDescent="0.75">
      <c r="A64" s="132" t="s">
        <v>359</v>
      </c>
      <c r="B64" s="132" t="str">
        <f>VLOOKUP(A64,'HCW + Staff Summary'!B:E,4,FALSE)</f>
        <v>High income</v>
      </c>
      <c r="C64" s="770">
        <v>7.7904433735082197</v>
      </c>
      <c r="D64" s="770">
        <v>12.3897302380617</v>
      </c>
      <c r="E64" s="770">
        <v>18.434686101868099</v>
      </c>
      <c r="F64" s="770">
        <v>20.482272528954201</v>
      </c>
      <c r="G64" s="770">
        <v>13.5780340730332</v>
      </c>
      <c r="H64" s="770">
        <v>16.796089641719998</v>
      </c>
      <c r="I64" s="770">
        <v>17.427520830370099</v>
      </c>
      <c r="J64" s="770">
        <v>17.646039378350501</v>
      </c>
      <c r="K64" s="770">
        <v>16.7468092884973</v>
      </c>
      <c r="L64" s="770">
        <v>13.554322632155801</v>
      </c>
      <c r="M64" s="770">
        <v>10.8908100031977</v>
      </c>
      <c r="N64" s="770">
        <v>7.59990841874564</v>
      </c>
      <c r="O64" s="770">
        <v>5.5948198312148598</v>
      </c>
      <c r="P64" s="770">
        <v>4.4860294228659301</v>
      </c>
      <c r="Q64" s="770">
        <v>3.65467929831122</v>
      </c>
      <c r="R64" s="770">
        <v>2.3321365335718802</v>
      </c>
      <c r="S64" s="770"/>
      <c r="T64" s="770">
        <v>4.491609081934847E-2</v>
      </c>
      <c r="U64" s="770">
        <v>4.9111549851924972E-2</v>
      </c>
      <c r="V64" s="770">
        <v>5.1579466929911152E-2</v>
      </c>
      <c r="W64" s="770">
        <v>4.7877591312931886E-2</v>
      </c>
      <c r="X64" s="770">
        <v>5.7749259624876606E-2</v>
      </c>
      <c r="Y64" s="770">
        <v>5.7502467917077985E-2</v>
      </c>
      <c r="Z64" s="770">
        <v>6.2685093780848966E-2</v>
      </c>
      <c r="AA64" s="770">
        <v>6.8608094768015798E-2</v>
      </c>
      <c r="AB64" s="770">
        <v>7.0088845014807499E-2</v>
      </c>
      <c r="AC64" s="770">
        <v>6.5399802566633761E-2</v>
      </c>
      <c r="AD64" s="770">
        <v>6.8361303060217177E-2</v>
      </c>
      <c r="AE64" s="770">
        <v>7.3297137216189537E-2</v>
      </c>
      <c r="AF64" s="770">
        <v>7.0582428430404742E-2</v>
      </c>
      <c r="AG64" s="770">
        <v>6.7374136229022705E-2</v>
      </c>
      <c r="AH64" s="770">
        <v>5.0345508390918066E-2</v>
      </c>
      <c r="AI64" s="770">
        <v>3.8005923000987166E-2</v>
      </c>
      <c r="AJ64" s="770"/>
      <c r="AK64" s="770">
        <f t="shared" si="17"/>
        <v>10.840273540334927</v>
      </c>
      <c r="AL64" s="770">
        <f t="shared" si="18"/>
        <v>15.767332576829778</v>
      </c>
      <c r="AM64" s="770">
        <f t="shared" si="19"/>
        <v>22.337723709560269</v>
      </c>
      <c r="AN64" s="770">
        <f t="shared" si="20"/>
        <v>26.737811948235318</v>
      </c>
      <c r="AO64" s="770">
        <f t="shared" si="21"/>
        <v>14.695030465793408</v>
      </c>
      <c r="AP64" s="770">
        <f t="shared" si="22"/>
        <v>18.255835629895234</v>
      </c>
      <c r="AQ64" s="770">
        <f t="shared" si="23"/>
        <v>17.376061615319792</v>
      </c>
      <c r="AR64" s="770">
        <f t="shared" si="24"/>
        <v>16.075034073982966</v>
      </c>
      <c r="AS64" s="770">
        <f t="shared" si="25"/>
        <v>14.933554409549089</v>
      </c>
      <c r="AT64" s="770">
        <f t="shared" si="26"/>
        <v>12.953329081484741</v>
      </c>
      <c r="AU64" s="770">
        <f t="shared" si="27"/>
        <v>9.957031167183457</v>
      </c>
      <c r="AV64" s="770">
        <f t="shared" si="28"/>
        <v>6.4803932897216612</v>
      </c>
      <c r="AW64" s="770">
        <f t="shared" si="29"/>
        <v>4.9541542736194515</v>
      </c>
      <c r="AX64" s="770">
        <f t="shared" si="30"/>
        <v>4.1614906642520033</v>
      </c>
      <c r="AY64" s="770">
        <f t="shared" si="31"/>
        <v>4.5369977073397862</v>
      </c>
      <c r="AZ64" s="770">
        <f t="shared" si="32"/>
        <v>3.8351530982277837</v>
      </c>
      <c r="BA64" s="770"/>
      <c r="BB64" s="770">
        <f t="shared" si="33"/>
        <v>12.743575453208106</v>
      </c>
    </row>
    <row r="65" spans="1:54" x14ac:dyDescent="0.75">
      <c r="A65" s="132" t="s">
        <v>331</v>
      </c>
      <c r="B65" s="132" t="str">
        <f>VLOOKUP(A65,'HCW + Staff Summary'!B:E,4,FALSE)</f>
        <v>Upper middle income</v>
      </c>
      <c r="C65" s="770">
        <v>9.51980683229608</v>
      </c>
      <c r="D65" s="770">
        <v>12.189492343678401</v>
      </c>
      <c r="E65" s="770">
        <v>15.1102511089424</v>
      </c>
      <c r="F65" s="770">
        <v>21.665764168366</v>
      </c>
      <c r="G65" s="770">
        <v>17.139264539943401</v>
      </c>
      <c r="H65" s="770">
        <v>18.8873462818826</v>
      </c>
      <c r="I65" s="770">
        <v>18.5062763371496</v>
      </c>
      <c r="J65" s="770">
        <v>19.0498583097188</v>
      </c>
      <c r="K65" s="770">
        <v>17.934899184371201</v>
      </c>
      <c r="L65" s="770">
        <v>15.140961900590099</v>
      </c>
      <c r="M65" s="770">
        <v>11.3794059451682</v>
      </c>
      <c r="N65" s="770">
        <v>6.7504090604051701</v>
      </c>
      <c r="O65" s="770">
        <v>4.6354541730721204</v>
      </c>
      <c r="P65" s="770">
        <v>2.9517811305563901</v>
      </c>
      <c r="Q65" s="770">
        <v>2.83753781094194</v>
      </c>
      <c r="R65" s="770">
        <v>1.62046578137979</v>
      </c>
      <c r="S65" s="770"/>
      <c r="T65" s="770">
        <v>5.8001693480101611E-2</v>
      </c>
      <c r="U65" s="770">
        <v>6.3082133784928024E-2</v>
      </c>
      <c r="V65" s="770">
        <v>5.1333615580016936E-2</v>
      </c>
      <c r="W65" s="770">
        <v>4.6994072819644371E-2</v>
      </c>
      <c r="X65" s="770">
        <v>4.5088907705334462E-2</v>
      </c>
      <c r="Y65" s="770">
        <v>6.9115156646909398E-2</v>
      </c>
      <c r="Z65" s="770">
        <v>8.6155800169348012E-2</v>
      </c>
      <c r="AA65" s="770">
        <v>7.588907705334462E-2</v>
      </c>
      <c r="AB65" s="770">
        <v>6.9115156646909398E-2</v>
      </c>
      <c r="AC65" s="770">
        <v>6.6998306519898396E-2</v>
      </c>
      <c r="AD65" s="770">
        <v>6.2658763759525823E-2</v>
      </c>
      <c r="AE65" s="770">
        <v>7.9699407281964438E-2</v>
      </c>
      <c r="AF65" s="770">
        <v>7.0385266723116E-2</v>
      </c>
      <c r="AG65" s="770">
        <v>6.1282811176968668E-2</v>
      </c>
      <c r="AH65" s="770">
        <v>2.8471634208298052E-2</v>
      </c>
      <c r="AI65" s="770">
        <v>2.7095681625740897E-2</v>
      </c>
      <c r="AJ65" s="770"/>
      <c r="AK65" s="770">
        <f t="shared" si="17"/>
        <v>10.258113019107363</v>
      </c>
      <c r="AL65" s="770">
        <f t="shared" si="18"/>
        <v>12.077005417688081</v>
      </c>
      <c r="AM65" s="770">
        <f t="shared" si="19"/>
        <v>18.397120164598942</v>
      </c>
      <c r="AN65" s="770">
        <f t="shared" si="20"/>
        <v>28.814490408603881</v>
      </c>
      <c r="AO65" s="770">
        <f t="shared" si="21"/>
        <v>23.757595565344079</v>
      </c>
      <c r="AP65" s="770">
        <f t="shared" si="22"/>
        <v>17.079598743417574</v>
      </c>
      <c r="AQ65" s="770">
        <f t="shared" si="23"/>
        <v>13.425007588558771</v>
      </c>
      <c r="AR65" s="770">
        <f t="shared" si="24"/>
        <v>15.688900044475526</v>
      </c>
      <c r="AS65" s="770">
        <f t="shared" si="25"/>
        <v>16.218312355851751</v>
      </c>
      <c r="AT65" s="770">
        <f t="shared" si="26"/>
        <v>14.124388629223464</v>
      </c>
      <c r="AU65" s="770">
        <f t="shared" si="27"/>
        <v>11.350572990915241</v>
      </c>
      <c r="AV65" s="770">
        <f t="shared" si="28"/>
        <v>5.2936474769843995</v>
      </c>
      <c r="AW65" s="770">
        <f t="shared" si="29"/>
        <v>4.1161438935324624</v>
      </c>
      <c r="AX65" s="770">
        <f t="shared" si="30"/>
        <v>3.010408907760878</v>
      </c>
      <c r="AY65" s="770">
        <f t="shared" si="31"/>
        <v>6.2288701760639986</v>
      </c>
      <c r="AZ65" s="770">
        <f t="shared" si="32"/>
        <v>3.7378322027529922</v>
      </c>
      <c r="BA65" s="770"/>
      <c r="BB65" s="770">
        <f t="shared" si="33"/>
        <v>12.723625474054963</v>
      </c>
    </row>
    <row r="66" spans="1:54" x14ac:dyDescent="0.75">
      <c r="A66" s="132" t="s">
        <v>565</v>
      </c>
      <c r="B66" s="132" t="str">
        <f>VLOOKUP(A66,'HCW + Staff Summary'!B:E,4,FALSE)</f>
        <v>Lower middle income</v>
      </c>
      <c r="C66" s="770">
        <v>11.972622751430499</v>
      </c>
      <c r="D66" s="770">
        <v>19.141239771386001</v>
      </c>
      <c r="E66" s="770">
        <v>22.174999770787601</v>
      </c>
      <c r="F66" s="770">
        <v>27.5225531131635</v>
      </c>
      <c r="G66" s="770">
        <v>19.617250412143701</v>
      </c>
      <c r="H66" s="770">
        <v>21.812135095334</v>
      </c>
      <c r="I66" s="770">
        <v>21.230583513023301</v>
      </c>
      <c r="J66" s="770">
        <v>21.2829096559026</v>
      </c>
      <c r="K66" s="770">
        <v>19.899406077306899</v>
      </c>
      <c r="L66" s="770">
        <v>15.833707805982201</v>
      </c>
      <c r="M66" s="770">
        <v>12.247871173984301</v>
      </c>
      <c r="N66" s="770">
        <v>7.1772049421401398</v>
      </c>
      <c r="O66" s="770">
        <v>3.2955238439937702</v>
      </c>
      <c r="P66" s="770">
        <v>1.6825366633346599</v>
      </c>
      <c r="Q66" s="770">
        <v>1.10097999588187</v>
      </c>
      <c r="R66" s="770">
        <v>0.74848799391377596</v>
      </c>
      <c r="S66" s="770"/>
      <c r="T66" s="770">
        <v>8.1087744891564534E-2</v>
      </c>
      <c r="U66" s="770">
        <v>7.7933818921501141E-2</v>
      </c>
      <c r="V66" s="770">
        <v>7.2920412167784748E-2</v>
      </c>
      <c r="W66" s="770">
        <v>6.6787207594078427E-2</v>
      </c>
      <c r="X66" s="770">
        <v>7.0064414058085653E-2</v>
      </c>
      <c r="Y66" s="770">
        <v>8.8042819424896501E-2</v>
      </c>
      <c r="Z66" s="770">
        <v>8.6676460617018877E-2</v>
      </c>
      <c r="AA66" s="770">
        <v>7.9762479581668197E-2</v>
      </c>
      <c r="AB66" s="770">
        <v>7.2262916200084237E-2</v>
      </c>
      <c r="AC66" s="770">
        <v>6.7177595824900599E-2</v>
      </c>
      <c r="AD66" s="770">
        <v>6.0284161538540562E-2</v>
      </c>
      <c r="AE66" s="770">
        <v>5.3853029104469943E-2</v>
      </c>
      <c r="AF66" s="770">
        <v>4.449398493923299E-2</v>
      </c>
      <c r="AG66" s="770">
        <v>3.0933130605409958E-2</v>
      </c>
      <c r="AH66" s="770">
        <v>1.6971614666269428E-2</v>
      </c>
      <c r="AI66" s="770">
        <v>1.1578093056226179E-2</v>
      </c>
      <c r="AJ66" s="770"/>
      <c r="AK66" s="770">
        <f t="shared" si="17"/>
        <v>9.2281382712648341</v>
      </c>
      <c r="AL66" s="770">
        <f t="shared" si="18"/>
        <v>15.350556437079341</v>
      </c>
      <c r="AM66" s="770">
        <f t="shared" si="19"/>
        <v>19.00616637335072</v>
      </c>
      <c r="AN66" s="770">
        <f t="shared" si="20"/>
        <v>25.755824079778321</v>
      </c>
      <c r="AO66" s="770">
        <f t="shared" si="21"/>
        <v>17.499299283977784</v>
      </c>
      <c r="AP66" s="770">
        <f t="shared" si="22"/>
        <v>15.48403892973101</v>
      </c>
      <c r="AQ66" s="770">
        <f t="shared" si="23"/>
        <v>15.308786954591199</v>
      </c>
      <c r="AR66" s="770">
        <f t="shared" si="24"/>
        <v>16.676786635399786</v>
      </c>
      <c r="AS66" s="770">
        <f t="shared" si="25"/>
        <v>17.210942281765146</v>
      </c>
      <c r="AT66" s="770">
        <f t="shared" si="26"/>
        <v>14.731202058098539</v>
      </c>
      <c r="AU66" s="770">
        <f t="shared" si="27"/>
        <v>12.698060798019533</v>
      </c>
      <c r="AV66" s="770">
        <f t="shared" si="28"/>
        <v>8.3296207538031659</v>
      </c>
      <c r="AW66" s="770">
        <f t="shared" si="29"/>
        <v>4.6291704492396324</v>
      </c>
      <c r="AX66" s="770">
        <f t="shared" si="30"/>
        <v>3.3995440939956092</v>
      </c>
      <c r="AY66" s="770">
        <f t="shared" si="31"/>
        <v>4.0544904592594335</v>
      </c>
      <c r="AZ66" s="770">
        <f t="shared" si="32"/>
        <v>4.0404321672345294</v>
      </c>
      <c r="BA66" s="770"/>
      <c r="BB66" s="770">
        <f t="shared" si="33"/>
        <v>12.712691251661788</v>
      </c>
    </row>
    <row r="67" spans="1:54" x14ac:dyDescent="0.75">
      <c r="A67" s="132" t="s">
        <v>200</v>
      </c>
      <c r="B67" s="132" t="str">
        <f>VLOOKUP(A67,'HCW + Staff Summary'!B:E,4,FALSE)</f>
        <v>Lower middle income</v>
      </c>
      <c r="C67" s="770">
        <v>11.4980665084059</v>
      </c>
      <c r="D67" s="770">
        <v>29.058962812863399</v>
      </c>
      <c r="E67" s="770">
        <v>33.878947455428502</v>
      </c>
      <c r="F67" s="770">
        <v>32.693425327180499</v>
      </c>
      <c r="G67" s="770">
        <v>21.859696197947699</v>
      </c>
      <c r="H67" s="770">
        <v>19.6640820821926</v>
      </c>
      <c r="I67" s="770">
        <v>16.8753149462419</v>
      </c>
      <c r="J67" s="770">
        <v>15.9590308727738</v>
      </c>
      <c r="K67" s="770">
        <v>14.834540272755</v>
      </c>
      <c r="L67" s="770">
        <v>11.969405734005701</v>
      </c>
      <c r="M67" s="770">
        <v>8.90968581121823</v>
      </c>
      <c r="N67" s="770">
        <v>5.8154944874297403</v>
      </c>
      <c r="O67" s="770">
        <v>2.8164570880042499</v>
      </c>
      <c r="P67" s="770">
        <v>1.4543591599825101</v>
      </c>
      <c r="Q67" s="770">
        <v>1.03558715500024</v>
      </c>
      <c r="R67" s="770">
        <v>0.54511458136481705</v>
      </c>
      <c r="S67" s="770"/>
      <c r="T67" s="770">
        <v>0.11858076563958916</v>
      </c>
      <c r="U67" s="770">
        <v>0.10550887021475257</v>
      </c>
      <c r="V67" s="770">
        <v>9.8506069094304385E-2</v>
      </c>
      <c r="W67" s="770">
        <v>0.10084033613445378</v>
      </c>
      <c r="X67" s="770">
        <v>9.5238095238095233E-2</v>
      </c>
      <c r="Y67" s="770">
        <v>8.9169000933706818E-2</v>
      </c>
      <c r="Z67" s="770">
        <v>8.1699346405228759E-2</v>
      </c>
      <c r="AA67" s="770">
        <v>7.1428571428571425E-2</v>
      </c>
      <c r="AB67" s="770">
        <v>5.5555555555555552E-2</v>
      </c>
      <c r="AC67" s="770">
        <v>4.2016806722689079E-2</v>
      </c>
      <c r="AD67" s="770">
        <v>3.454715219421102E-2</v>
      </c>
      <c r="AE67" s="770">
        <v>3.081232492997199E-2</v>
      </c>
      <c r="AF67" s="770">
        <v>2.5676937441643323E-2</v>
      </c>
      <c r="AG67" s="770">
        <v>1.9140989729225025E-2</v>
      </c>
      <c r="AH67" s="770">
        <v>1.353874883286648E-2</v>
      </c>
      <c r="AI67" s="770">
        <v>8.5901027077497673E-3</v>
      </c>
      <c r="AJ67" s="770"/>
      <c r="AK67" s="770">
        <f t="shared" si="17"/>
        <v>6.0602506055623619</v>
      </c>
      <c r="AL67" s="770">
        <f t="shared" si="18"/>
        <v>17.213578082177378</v>
      </c>
      <c r="AM67" s="770">
        <f t="shared" si="19"/>
        <v>21.495469623675312</v>
      </c>
      <c r="AN67" s="770">
        <f t="shared" si="20"/>
        <v>20.263112572575412</v>
      </c>
      <c r="AO67" s="770">
        <f t="shared" si="21"/>
        <v>14.345425629903177</v>
      </c>
      <c r="AP67" s="770">
        <f t="shared" si="22"/>
        <v>13.782874286667719</v>
      </c>
      <c r="AQ67" s="770">
        <f t="shared" si="23"/>
        <v>12.909615933875054</v>
      </c>
      <c r="AR67" s="770">
        <f t="shared" si="24"/>
        <v>13.964152013677076</v>
      </c>
      <c r="AS67" s="770">
        <f t="shared" si="25"/>
        <v>16.688857806849377</v>
      </c>
      <c r="AT67" s="770">
        <f t="shared" si="26"/>
        <v>17.80449102933348</v>
      </c>
      <c r="AU67" s="770">
        <f t="shared" si="27"/>
        <v>16.118705242930275</v>
      </c>
      <c r="AV67" s="770">
        <f t="shared" si="28"/>
        <v>11.796201886434188</v>
      </c>
      <c r="AW67" s="770">
        <f t="shared" si="29"/>
        <v>6.8555125937557992</v>
      </c>
      <c r="AX67" s="770">
        <f t="shared" si="30"/>
        <v>4.748837379089232</v>
      </c>
      <c r="AY67" s="770">
        <f t="shared" si="31"/>
        <v>4.7806631164019695</v>
      </c>
      <c r="AZ67" s="770">
        <f t="shared" si="32"/>
        <v>3.966152966316026</v>
      </c>
      <c r="BA67" s="770"/>
      <c r="BB67" s="770">
        <f t="shared" si="33"/>
        <v>12.674618798076491</v>
      </c>
    </row>
    <row r="68" spans="1:54" x14ac:dyDescent="0.75">
      <c r="A68" s="132" t="s">
        <v>225</v>
      </c>
      <c r="B68" s="132" t="str">
        <f>VLOOKUP(A68,'HCW + Staff Summary'!B:E,4,FALSE)</f>
        <v>Low income</v>
      </c>
      <c r="C68" s="770">
        <v>14.831881395465899</v>
      </c>
      <c r="D68" s="770">
        <v>28.4213649884178</v>
      </c>
      <c r="E68" s="770">
        <v>32.174716622987297</v>
      </c>
      <c r="F68" s="770">
        <v>28.149724857443498</v>
      </c>
      <c r="G68" s="770">
        <v>19.691270998433801</v>
      </c>
      <c r="H68" s="770">
        <v>20.082064092031601</v>
      </c>
      <c r="I68" s="770">
        <v>18.417653266449001</v>
      </c>
      <c r="J68" s="770">
        <v>17.166074966526299</v>
      </c>
      <c r="K68" s="770">
        <v>15.767841794381299</v>
      </c>
      <c r="L68" s="770">
        <v>12.5115983054549</v>
      </c>
      <c r="M68" s="770">
        <v>9.7246567336279401</v>
      </c>
      <c r="N68" s="770">
        <v>6.1809422533802403</v>
      </c>
      <c r="O68" s="770">
        <v>3.3485618013379201</v>
      </c>
      <c r="P68" s="770">
        <v>1.4310888701736</v>
      </c>
      <c r="Q68" s="770">
        <v>0.80982801791292003</v>
      </c>
      <c r="R68" s="770">
        <v>0.45786751875968501</v>
      </c>
      <c r="S68" s="770"/>
      <c r="T68" s="770">
        <v>0.11076032622993949</v>
      </c>
      <c r="U68" s="770">
        <v>0.10856792072261685</v>
      </c>
      <c r="V68" s="770">
        <v>0.10541085679207227</v>
      </c>
      <c r="W68" s="770">
        <v>0.10041217223537666</v>
      </c>
      <c r="X68" s="770">
        <v>9.3396474611944225E-2</v>
      </c>
      <c r="Y68" s="770">
        <v>8.5854599666754364E-2</v>
      </c>
      <c r="Z68" s="770">
        <v>7.9452775585372268E-2</v>
      </c>
      <c r="AA68" s="770">
        <v>7.2437077961939836E-2</v>
      </c>
      <c r="AB68" s="770">
        <v>5.498553012365167E-2</v>
      </c>
      <c r="AC68" s="770">
        <v>4.2006489520301678E-2</v>
      </c>
      <c r="AD68" s="770">
        <v>3.7183197404191883E-2</v>
      </c>
      <c r="AE68" s="770">
        <v>3.2009120406910459E-2</v>
      </c>
      <c r="AF68" s="770">
        <v>2.5694992545821273E-2</v>
      </c>
      <c r="AG68" s="770">
        <v>2.0257826887661142E-2</v>
      </c>
      <c r="AH68" s="770">
        <v>1.3242129264228712E-2</v>
      </c>
      <c r="AI68" s="770">
        <v>9.5588880119266851E-3</v>
      </c>
      <c r="AJ68" s="770"/>
      <c r="AK68" s="770">
        <f t="shared" ref="AK68:AK99" si="34">C68/T68/16</f>
        <v>8.3693558765091876</v>
      </c>
      <c r="AL68" s="770">
        <f t="shared" ref="AL68:AL99" si="35">D68/U68/16</f>
        <v>16.361511761052512</v>
      </c>
      <c r="AM68" s="770">
        <f t="shared" ref="AM68:AM99" si="36">E68/V68/16</f>
        <v>19.076970343798052</v>
      </c>
      <c r="AN68" s="770">
        <f t="shared" ref="AN68:AN99" si="37">F68/W68/16</f>
        <v>17.521359855318135</v>
      </c>
      <c r="AO68" s="770">
        <f t="shared" ref="AO68:AO99" si="38">G68/X68/16</f>
        <v>13.177204412860366</v>
      </c>
      <c r="AP68" s="770">
        <f t="shared" ref="AP68:AP99" si="39">H68/Y68/16</f>
        <v>14.619240094575865</v>
      </c>
      <c r="AQ68" s="770">
        <f t="shared" ref="AQ68:AQ99" si="40">I68/Z68/16</f>
        <v>14.487893225532421</v>
      </c>
      <c r="AR68" s="770">
        <f t="shared" ref="AR68:AR99" si="41">J68/AA68/16</f>
        <v>14.811194979063211</v>
      </c>
      <c r="AS68" s="770">
        <f t="shared" ref="AS68:AS99" si="42">K68/AB68/16</f>
        <v>17.922717302764152</v>
      </c>
      <c r="AT68" s="770">
        <f t="shared" ref="AT68:AT99" si="43">L68/AC68/16</f>
        <v>18.615573522586406</v>
      </c>
      <c r="AU68" s="770">
        <f t="shared" ref="AU68:AU99" si="44">M68/AD68/16</f>
        <v>16.345852112847787</v>
      </c>
      <c r="AV68" s="770">
        <f t="shared" ref="AV68:AV99" si="45">N68/AE68/16</f>
        <v>12.068713101934057</v>
      </c>
      <c r="AW68" s="770">
        <f t="shared" ref="AW68:AW99" si="46">O68/AF68/16</f>
        <v>8.1449765829045013</v>
      </c>
      <c r="AX68" s="770">
        <f t="shared" ref="AX68:AX99" si="47">P68/AG68/16</f>
        <v>4.4152344119560496</v>
      </c>
      <c r="AY68" s="770">
        <f t="shared" ref="AY68:AY99" si="48">Q68/AH68/16</f>
        <v>3.8222139438166503</v>
      </c>
      <c r="AZ68" s="770">
        <f t="shared" ref="AZ68:AZ99" si="49">R68/AI68/16</f>
        <v>2.993728965835257</v>
      </c>
      <c r="BA68" s="770"/>
      <c r="BB68" s="770">
        <f t="shared" ref="BB68:BB99" si="50">IFERROR(AVERAGE(AK68:AZ68),"")</f>
        <v>12.672108780834662</v>
      </c>
    </row>
    <row r="69" spans="1:54" x14ac:dyDescent="0.75">
      <c r="A69" s="132" t="s">
        <v>415</v>
      </c>
      <c r="B69" s="132" t="str">
        <f>VLOOKUP(A69,'HCW + Staff Summary'!B:E,4,FALSE)</f>
        <v>High income</v>
      </c>
      <c r="C69" s="770">
        <v>8.8236131327793093</v>
      </c>
      <c r="D69" s="770">
        <v>13.2165582694569</v>
      </c>
      <c r="E69" s="770">
        <v>15.917982522355301</v>
      </c>
      <c r="F69" s="770">
        <v>19.805382354606099</v>
      </c>
      <c r="G69" s="770">
        <v>13.6402976105765</v>
      </c>
      <c r="H69" s="770">
        <v>15.678987283926901</v>
      </c>
      <c r="I69" s="770">
        <v>18.5159752119982</v>
      </c>
      <c r="J69" s="770">
        <v>19.967225065625801</v>
      </c>
      <c r="K69" s="770">
        <v>18.081940366623801</v>
      </c>
      <c r="L69" s="770">
        <v>13.736700562305099</v>
      </c>
      <c r="M69" s="770">
        <v>11.115026142641801</v>
      </c>
      <c r="N69" s="770">
        <v>8.0103263992931506</v>
      </c>
      <c r="O69" s="770">
        <v>5.8872026030942601</v>
      </c>
      <c r="P69" s="770">
        <v>4.7904349544314702</v>
      </c>
      <c r="Q69" s="770">
        <v>3.1399190892095699</v>
      </c>
      <c r="R69" s="770">
        <v>1.9703626981694999</v>
      </c>
      <c r="S69" s="770"/>
      <c r="T69" s="770">
        <v>4.7756575554409486E-2</v>
      </c>
      <c r="U69" s="770">
        <v>4.6312532233109847E-2</v>
      </c>
      <c r="V69" s="770">
        <v>5.002578648788035E-2</v>
      </c>
      <c r="W69" s="770">
        <v>5.0335224342444557E-2</v>
      </c>
      <c r="X69" s="770">
        <v>5.363589479112945E-2</v>
      </c>
      <c r="Y69" s="770">
        <v>6.5600825167612176E-2</v>
      </c>
      <c r="Z69" s="770">
        <v>6.3331614234141312E-2</v>
      </c>
      <c r="AA69" s="770">
        <v>6.6735430634347601E-2</v>
      </c>
      <c r="AB69" s="770">
        <v>8.4270242392986069E-2</v>
      </c>
      <c r="AC69" s="770">
        <v>8.0041258380608563E-2</v>
      </c>
      <c r="AD69" s="770">
        <v>6.714801444043321E-2</v>
      </c>
      <c r="AE69" s="770">
        <v>5.7246003094378543E-2</v>
      </c>
      <c r="AF69" s="770">
        <v>6.5910263022176382E-2</v>
      </c>
      <c r="AG69" s="770">
        <v>6.9417225373904073E-2</v>
      </c>
      <c r="AH69" s="770">
        <v>4.9200618875709132E-2</v>
      </c>
      <c r="AI69" s="770">
        <v>3.8370293965961838E-2</v>
      </c>
      <c r="AJ69" s="770"/>
      <c r="AK69" s="770">
        <f t="shared" si="34"/>
        <v>11.547641647178105</v>
      </c>
      <c r="AL69" s="770">
        <f t="shared" si="35"/>
        <v>17.836098611133721</v>
      </c>
      <c r="AM69" s="770">
        <f t="shared" si="36"/>
        <v>19.887221720906528</v>
      </c>
      <c r="AN69" s="770">
        <f t="shared" si="37"/>
        <v>24.591852193635521</v>
      </c>
      <c r="AO69" s="770">
        <f t="shared" si="38"/>
        <v>15.894553525785957</v>
      </c>
      <c r="AP69" s="770">
        <f t="shared" si="39"/>
        <v>14.937871631060466</v>
      </c>
      <c r="AQ69" s="770">
        <f t="shared" si="40"/>
        <v>18.272839951172898</v>
      </c>
      <c r="AR69" s="770">
        <f t="shared" si="41"/>
        <v>18.699985221333282</v>
      </c>
      <c r="AS69" s="770">
        <f t="shared" si="42"/>
        <v>13.410680221421188</v>
      </c>
      <c r="AT69" s="770">
        <f t="shared" si="43"/>
        <v>10.726265460015137</v>
      </c>
      <c r="AU69" s="770">
        <f t="shared" si="44"/>
        <v>10.345639252391731</v>
      </c>
      <c r="AV69" s="770">
        <f t="shared" si="45"/>
        <v>8.7455083830120603</v>
      </c>
      <c r="AW69" s="770">
        <f t="shared" si="46"/>
        <v>5.5825928439944104</v>
      </c>
      <c r="AX69" s="770">
        <f t="shared" si="47"/>
        <v>4.3130819913830889</v>
      </c>
      <c r="AY69" s="770">
        <f t="shared" si="48"/>
        <v>3.9886681826371566</v>
      </c>
      <c r="AZ69" s="770">
        <f t="shared" si="49"/>
        <v>3.209453353285165</v>
      </c>
      <c r="BA69" s="770"/>
      <c r="BB69" s="770">
        <f t="shared" si="50"/>
        <v>12.62437213689665</v>
      </c>
    </row>
    <row r="70" spans="1:54" x14ac:dyDescent="0.75">
      <c r="A70" s="132" t="s">
        <v>312</v>
      </c>
      <c r="B70" s="132" t="str">
        <f>VLOOKUP(A70,'HCW + Staff Summary'!B:E,4,FALSE)</f>
        <v>Upper middle income</v>
      </c>
      <c r="C70" s="770">
        <v>8.7371909913939696</v>
      </c>
      <c r="D70" s="770">
        <v>15.211480417144999</v>
      </c>
      <c r="E70" s="770">
        <v>23.7873463939566</v>
      </c>
      <c r="F70" s="770">
        <v>30.1081143978654</v>
      </c>
      <c r="G70" s="770">
        <v>16.900972959893899</v>
      </c>
      <c r="H70" s="770">
        <v>16.063040972122501</v>
      </c>
      <c r="I70" s="770">
        <v>15.857187297590499</v>
      </c>
      <c r="J70" s="770">
        <v>16.726380900863699</v>
      </c>
      <c r="K70" s="770">
        <v>16.976080548185099</v>
      </c>
      <c r="L70" s="770">
        <v>14.066886084257201</v>
      </c>
      <c r="M70" s="770">
        <v>11.045940752380099</v>
      </c>
      <c r="N70" s="770">
        <v>6.8048025244828398</v>
      </c>
      <c r="O70" s="770">
        <v>4.1132490037404796</v>
      </c>
      <c r="P70" s="770">
        <v>3.1263048837661702</v>
      </c>
      <c r="Q70" s="770">
        <v>2.2511098579386899</v>
      </c>
      <c r="R70" s="770">
        <v>1.3217220086575501</v>
      </c>
      <c r="S70" s="770"/>
      <c r="T70" s="770">
        <v>5.7551447506103942E-2</v>
      </c>
      <c r="U70" s="770">
        <v>5.824904080920823E-2</v>
      </c>
      <c r="V70" s="770">
        <v>5.6505057551447503E-2</v>
      </c>
      <c r="W70" s="770">
        <v>6.941053365887688E-2</v>
      </c>
      <c r="X70" s="770">
        <v>7.9525636553889084E-2</v>
      </c>
      <c r="Y70" s="770">
        <v>8.5106382978723402E-2</v>
      </c>
      <c r="Z70" s="770">
        <v>7.7781653296128364E-2</v>
      </c>
      <c r="AA70" s="770">
        <v>5.7900244157656086E-2</v>
      </c>
      <c r="AB70" s="770">
        <v>5.3017091035926056E-2</v>
      </c>
      <c r="AC70" s="770">
        <v>5.9295430763864669E-2</v>
      </c>
      <c r="AD70" s="770">
        <v>6.3829787234042548E-2</v>
      </c>
      <c r="AE70" s="770">
        <v>7.0108126961981168E-2</v>
      </c>
      <c r="AF70" s="770">
        <v>6.4876177188698994E-2</v>
      </c>
      <c r="AG70" s="770">
        <v>5.0226717823508897E-2</v>
      </c>
      <c r="AH70" s="770">
        <v>3.7321241716079527E-2</v>
      </c>
      <c r="AI70" s="770">
        <v>2.9996512033484479E-2</v>
      </c>
      <c r="AJ70" s="770"/>
      <c r="AK70" s="770">
        <f t="shared" si="34"/>
        <v>9.4884570349721624</v>
      </c>
      <c r="AL70" s="770">
        <f t="shared" si="35"/>
        <v>16.321599684114787</v>
      </c>
      <c r="AM70" s="770">
        <f t="shared" si="36"/>
        <v>26.3110810615253</v>
      </c>
      <c r="AN70" s="770">
        <f t="shared" si="37"/>
        <v>27.110541450590482</v>
      </c>
      <c r="AO70" s="770">
        <f t="shared" si="38"/>
        <v>13.282645141451702</v>
      </c>
      <c r="AP70" s="770">
        <f t="shared" si="39"/>
        <v>11.796295713902461</v>
      </c>
      <c r="AQ70" s="770">
        <f t="shared" si="40"/>
        <v>12.74174775285649</v>
      </c>
      <c r="AR70" s="770">
        <f t="shared" si="41"/>
        <v>18.055170949840445</v>
      </c>
      <c r="AS70" s="770">
        <f t="shared" si="42"/>
        <v>20.012509429131036</v>
      </c>
      <c r="AT70" s="770">
        <f t="shared" si="43"/>
        <v>14.82711853072257</v>
      </c>
      <c r="AU70" s="770">
        <f t="shared" si="44"/>
        <v>10.815816986705515</v>
      </c>
      <c r="AV70" s="770">
        <f t="shared" si="45"/>
        <v>6.06634603162074</v>
      </c>
      <c r="AW70" s="770">
        <f t="shared" si="46"/>
        <v>3.9625957304179953</v>
      </c>
      <c r="AX70" s="770">
        <f t="shared" si="47"/>
        <v>3.8902413636100737</v>
      </c>
      <c r="AY70" s="770">
        <f t="shared" si="48"/>
        <v>3.7698200716765324</v>
      </c>
      <c r="AZ70" s="770">
        <f t="shared" si="49"/>
        <v>2.7539077026316834</v>
      </c>
      <c r="BA70" s="770"/>
      <c r="BB70" s="770">
        <f t="shared" si="50"/>
        <v>12.575368414735626</v>
      </c>
    </row>
    <row r="71" spans="1:54" x14ac:dyDescent="0.75">
      <c r="A71" s="132" t="s">
        <v>560</v>
      </c>
      <c r="B71" s="132" t="str">
        <f>VLOOKUP(A71,'HCW + Staff Summary'!B:E,4,FALSE)</f>
        <v>High income</v>
      </c>
      <c r="C71" s="770">
        <v>10.377589351853</v>
      </c>
      <c r="D71" s="770">
        <v>17.7313096080774</v>
      </c>
      <c r="E71" s="770">
        <v>21.859524387309801</v>
      </c>
      <c r="F71" s="770">
        <v>24.211621571456799</v>
      </c>
      <c r="G71" s="770">
        <v>16.406859231673799</v>
      </c>
      <c r="H71" s="770">
        <v>17.7607396598892</v>
      </c>
      <c r="I71" s="770">
        <v>18.991159941511299</v>
      </c>
      <c r="J71" s="770">
        <v>19.4445211876325</v>
      </c>
      <c r="K71" s="770">
        <v>17.975680721270201</v>
      </c>
      <c r="L71" s="770">
        <v>14.262996716292699</v>
      </c>
      <c r="M71" s="770">
        <v>11.263211258398799</v>
      </c>
      <c r="N71" s="770">
        <v>7.0222535520264397</v>
      </c>
      <c r="O71" s="770">
        <v>4.1489822558784404</v>
      </c>
      <c r="P71" s="770">
        <v>3.3547541859169998</v>
      </c>
      <c r="Q71" s="770">
        <v>2.3534602473469501</v>
      </c>
      <c r="R71" s="770">
        <v>1.5270039689958199</v>
      </c>
      <c r="S71" s="770"/>
      <c r="T71" s="770">
        <v>6.8221070811744389E-2</v>
      </c>
      <c r="U71" s="770">
        <v>6.8221070811744389E-2</v>
      </c>
      <c r="V71" s="770">
        <v>6.7069660333909042E-2</v>
      </c>
      <c r="W71" s="770">
        <v>7.0523891767415081E-2</v>
      </c>
      <c r="X71" s="770">
        <v>7.3114565342544624E-2</v>
      </c>
      <c r="Y71" s="770">
        <v>7.426597582037997E-2</v>
      </c>
      <c r="Z71" s="770">
        <v>6.9084628670120898E-2</v>
      </c>
      <c r="AA71" s="770">
        <v>6.3903281519861826E-2</v>
      </c>
      <c r="AB71" s="770">
        <v>6.7357512953367879E-2</v>
      </c>
      <c r="AC71" s="770">
        <v>6.361542890040299E-2</v>
      </c>
      <c r="AD71" s="770">
        <v>5.6706966033390906E-2</v>
      </c>
      <c r="AE71" s="770">
        <v>5.6131260794473233E-2</v>
      </c>
      <c r="AF71" s="770">
        <v>5.1525618883131834E-2</v>
      </c>
      <c r="AG71" s="770">
        <v>4.2890040299366723E-2</v>
      </c>
      <c r="AH71" s="770">
        <v>3.5405872193436959E-2</v>
      </c>
      <c r="AI71" s="770">
        <v>2.7921704087507198E-2</v>
      </c>
      <c r="AJ71" s="770"/>
      <c r="AK71" s="770">
        <f t="shared" si="34"/>
        <v>9.5073168270931756</v>
      </c>
      <c r="AL71" s="770">
        <f t="shared" si="35"/>
        <v>16.244348517526603</v>
      </c>
      <c r="AM71" s="770">
        <f t="shared" si="36"/>
        <v>20.370168380234507</v>
      </c>
      <c r="AN71" s="770">
        <f t="shared" si="37"/>
        <v>21.456931974296154</v>
      </c>
      <c r="AO71" s="770">
        <f t="shared" si="38"/>
        <v>14.024957916051864</v>
      </c>
      <c r="AP71" s="770">
        <f t="shared" si="39"/>
        <v>14.946901545168382</v>
      </c>
      <c r="AQ71" s="770">
        <f t="shared" si="40"/>
        <v>17.181065009586003</v>
      </c>
      <c r="AR71" s="770">
        <f t="shared" si="41"/>
        <v>19.017530012904086</v>
      </c>
      <c r="AS71" s="770">
        <f t="shared" si="42"/>
        <v>16.679357592332444</v>
      </c>
      <c r="AT71" s="770">
        <f t="shared" si="43"/>
        <v>14.012910235407478</v>
      </c>
      <c r="AU71" s="770">
        <f t="shared" si="44"/>
        <v>12.41383119025299</v>
      </c>
      <c r="AV71" s="770">
        <f t="shared" si="45"/>
        <v>7.8190092435063621</v>
      </c>
      <c r="AW71" s="770">
        <f t="shared" si="46"/>
        <v>5.0326691190369077</v>
      </c>
      <c r="AX71" s="770">
        <f t="shared" si="47"/>
        <v>4.8885973330015347</v>
      </c>
      <c r="AY71" s="770">
        <f t="shared" si="48"/>
        <v>4.1544313512618416</v>
      </c>
      <c r="AZ71" s="770">
        <f t="shared" si="49"/>
        <v>3.4180488326620346</v>
      </c>
      <c r="BA71" s="770"/>
      <c r="BB71" s="770">
        <f t="shared" si="50"/>
        <v>12.573004692520149</v>
      </c>
    </row>
    <row r="72" spans="1:54" x14ac:dyDescent="0.75">
      <c r="A72" s="132" t="s">
        <v>235</v>
      </c>
      <c r="B72" s="132" t="str">
        <f>VLOOKUP(A72,'HCW + Staff Summary'!B:E,4,FALSE)</f>
        <v>Upper middle income</v>
      </c>
      <c r="C72" s="770">
        <v>9.8287095480605995</v>
      </c>
      <c r="D72" s="770">
        <v>16.806042637449</v>
      </c>
      <c r="E72" s="770">
        <v>24.268201921501898</v>
      </c>
      <c r="F72" s="770">
        <v>32.923191554319999</v>
      </c>
      <c r="G72" s="770">
        <v>20.7120254151131</v>
      </c>
      <c r="H72" s="770">
        <v>20.365108537573501</v>
      </c>
      <c r="I72" s="770">
        <v>18.697262061416598</v>
      </c>
      <c r="J72" s="770">
        <v>19.412596801743302</v>
      </c>
      <c r="K72" s="770">
        <v>18.965786800237801</v>
      </c>
      <c r="L72" s="770">
        <v>15.666407667672001</v>
      </c>
      <c r="M72" s="770">
        <v>10.517614723891199</v>
      </c>
      <c r="N72" s="770">
        <v>5.1620829757768298</v>
      </c>
      <c r="O72" s="770">
        <v>2.3142633957160599</v>
      </c>
      <c r="P72" s="770">
        <v>1.3960425461680599</v>
      </c>
      <c r="Q72" s="770">
        <v>1.2420111182276099</v>
      </c>
      <c r="R72" s="770">
        <v>0.71374159997526598</v>
      </c>
      <c r="S72" s="770"/>
      <c r="T72" s="770">
        <v>8.1463173504695993E-2</v>
      </c>
      <c r="U72" s="770">
        <v>8.4824518042511121E-2</v>
      </c>
      <c r="V72" s="770">
        <v>6.8808699950568458E-2</v>
      </c>
      <c r="W72" s="770">
        <v>6.2876915472071179E-2</v>
      </c>
      <c r="X72" s="770">
        <v>7.0884824518042511E-2</v>
      </c>
      <c r="Y72" s="770">
        <v>8.7790410281759768E-2</v>
      </c>
      <c r="Z72" s="770">
        <v>9.2832427088482453E-2</v>
      </c>
      <c r="AA72" s="770">
        <v>8.1364310430054376E-2</v>
      </c>
      <c r="AB72" s="770">
        <v>6.5546218487394961E-2</v>
      </c>
      <c r="AC72" s="770">
        <v>6.0800790904597134E-2</v>
      </c>
      <c r="AD72" s="770">
        <v>6.1888284725654968E-2</v>
      </c>
      <c r="AE72" s="770">
        <v>6.4359861591695502E-2</v>
      </c>
      <c r="AF72" s="770">
        <v>4.8937221947602569E-2</v>
      </c>
      <c r="AG72" s="770">
        <v>3.0350963914977755E-2</v>
      </c>
      <c r="AH72" s="770">
        <v>1.4928324270884825E-2</v>
      </c>
      <c r="AI72" s="770">
        <v>8.8976767177459219E-3</v>
      </c>
      <c r="AJ72" s="770"/>
      <c r="AK72" s="770">
        <f t="shared" si="34"/>
        <v>7.540761307541942</v>
      </c>
      <c r="AL72" s="770">
        <f t="shared" si="35"/>
        <v>12.38294881102831</v>
      </c>
      <c r="AM72" s="770">
        <f t="shared" si="36"/>
        <v>22.043180894036613</v>
      </c>
      <c r="AN72" s="770">
        <f t="shared" si="37"/>
        <v>32.725833586079681</v>
      </c>
      <c r="AO72" s="770">
        <f t="shared" si="38"/>
        <v>18.262041237261943</v>
      </c>
      <c r="AP72" s="770">
        <f t="shared" si="39"/>
        <v>14.498386321618522</v>
      </c>
      <c r="AQ72" s="770">
        <f t="shared" si="40"/>
        <v>12.588046176200006</v>
      </c>
      <c r="AR72" s="770">
        <f t="shared" si="41"/>
        <v>14.911787412639239</v>
      </c>
      <c r="AS72" s="770">
        <f t="shared" si="42"/>
        <v>18.08436401625239</v>
      </c>
      <c r="AT72" s="770">
        <f t="shared" si="43"/>
        <v>16.104239182774624</v>
      </c>
      <c r="AU72" s="770">
        <f t="shared" si="44"/>
        <v>10.62157277677311</v>
      </c>
      <c r="AV72" s="770">
        <f t="shared" si="45"/>
        <v>5.012909879030591</v>
      </c>
      <c r="AW72" s="770">
        <f t="shared" si="46"/>
        <v>2.9556533140994881</v>
      </c>
      <c r="AX72" s="770">
        <f t="shared" si="47"/>
        <v>2.8747903816143987</v>
      </c>
      <c r="AY72" s="770">
        <f t="shared" si="48"/>
        <v>5.1998934026789216</v>
      </c>
      <c r="AZ72" s="770">
        <f t="shared" si="49"/>
        <v>5.0135390859373716</v>
      </c>
      <c r="BA72" s="770"/>
      <c r="BB72" s="770">
        <f t="shared" si="50"/>
        <v>12.551246736597946</v>
      </c>
    </row>
    <row r="73" spans="1:54" x14ac:dyDescent="0.75">
      <c r="A73" s="132" t="s">
        <v>533</v>
      </c>
      <c r="B73" s="132" t="str">
        <f>VLOOKUP(A73,'HCW + Staff Summary'!B:E,4,FALSE)</f>
        <v>Upper middle income</v>
      </c>
      <c r="C73" s="770">
        <v>12.074780113862399</v>
      </c>
      <c r="D73" s="770">
        <v>18.343472589876001</v>
      </c>
      <c r="E73" s="770">
        <v>26.670632676244001</v>
      </c>
      <c r="F73" s="770">
        <v>33.900256733655098</v>
      </c>
      <c r="G73" s="770">
        <v>21.7495096013674</v>
      </c>
      <c r="H73" s="770">
        <v>19.960745856860001</v>
      </c>
      <c r="I73" s="770">
        <v>19.105405800517701</v>
      </c>
      <c r="J73" s="770">
        <v>18.328894275942002</v>
      </c>
      <c r="K73" s="770">
        <v>16.711687707149</v>
      </c>
      <c r="L73" s="770">
        <v>12.582460448229799</v>
      </c>
      <c r="M73" s="770">
        <v>8.3173897960692305</v>
      </c>
      <c r="N73" s="770">
        <v>4.9553155347994</v>
      </c>
      <c r="O73" s="770">
        <v>2.8653050026175499</v>
      </c>
      <c r="P73" s="770">
        <v>1.75420073764412</v>
      </c>
      <c r="Q73" s="770">
        <v>1.0892398126282401</v>
      </c>
      <c r="R73" s="770">
        <v>0.67318469041089102</v>
      </c>
      <c r="S73" s="770"/>
      <c r="T73" s="770">
        <v>5.8695652173913045E-2</v>
      </c>
      <c r="U73" s="770">
        <v>5.9782608695652176E-2</v>
      </c>
      <c r="V73" s="770">
        <v>6.0326086956521738E-2</v>
      </c>
      <c r="W73" s="770">
        <v>7.1739130434782611E-2</v>
      </c>
      <c r="X73" s="770">
        <v>8.641304347826087E-2</v>
      </c>
      <c r="Y73" s="770">
        <v>9.2391304347826081E-2</v>
      </c>
      <c r="Z73" s="770">
        <v>7.7717391304347822E-2</v>
      </c>
      <c r="AA73" s="770">
        <v>7.6630434782608697E-2</v>
      </c>
      <c r="AB73" s="770">
        <v>7.0108695652173911E-2</v>
      </c>
      <c r="AC73" s="770">
        <v>6.8478260869565211E-2</v>
      </c>
      <c r="AD73" s="770">
        <v>6.7391304347826086E-2</v>
      </c>
      <c r="AE73" s="770">
        <v>5.9782608695652176E-2</v>
      </c>
      <c r="AF73" s="770">
        <v>4.5652173913043478E-2</v>
      </c>
      <c r="AG73" s="770">
        <v>3.3152173913043481E-2</v>
      </c>
      <c r="AH73" s="770">
        <v>2.6630434782608695E-2</v>
      </c>
      <c r="AI73" s="770">
        <v>1.8478260869565218E-2</v>
      </c>
      <c r="AJ73" s="770"/>
      <c r="AK73" s="770">
        <f t="shared" si="34"/>
        <v>12.857404750871998</v>
      </c>
      <c r="AL73" s="770">
        <f t="shared" si="35"/>
        <v>19.177266798506729</v>
      </c>
      <c r="AM73" s="770">
        <f t="shared" si="36"/>
        <v>27.631736556469011</v>
      </c>
      <c r="AN73" s="770">
        <f t="shared" si="37"/>
        <v>29.534314578563151</v>
      </c>
      <c r="AO73" s="770">
        <f t="shared" si="38"/>
        <v>15.730777384636799</v>
      </c>
      <c r="AP73" s="770">
        <f t="shared" si="39"/>
        <v>13.502857491405296</v>
      </c>
      <c r="AQ73" s="770">
        <f t="shared" si="40"/>
        <v>15.364487182234516</v>
      </c>
      <c r="AR73" s="770">
        <f t="shared" si="41"/>
        <v>14.949098168321491</v>
      </c>
      <c r="AS73" s="770">
        <f t="shared" si="42"/>
        <v>14.898016173039807</v>
      </c>
      <c r="AT73" s="770">
        <f t="shared" si="43"/>
        <v>11.483991678939898</v>
      </c>
      <c r="AU73" s="770">
        <f t="shared" si="44"/>
        <v>7.713708278612593</v>
      </c>
      <c r="AV73" s="770">
        <f t="shared" si="45"/>
        <v>5.1805571500175542</v>
      </c>
      <c r="AW73" s="770">
        <f t="shared" si="46"/>
        <v>3.9227389916787887</v>
      </c>
      <c r="AX73" s="770">
        <f t="shared" si="47"/>
        <v>3.3070997512962914</v>
      </c>
      <c r="AY73" s="770">
        <f t="shared" si="48"/>
        <v>2.5563791520866861</v>
      </c>
      <c r="AZ73" s="770">
        <f t="shared" si="49"/>
        <v>2.276948217566249</v>
      </c>
      <c r="BA73" s="770"/>
      <c r="BB73" s="770">
        <f t="shared" si="50"/>
        <v>12.505461394015429</v>
      </c>
    </row>
    <row r="74" spans="1:54" x14ac:dyDescent="0.75">
      <c r="A74" s="132" t="s">
        <v>511</v>
      </c>
      <c r="B74" s="132" t="str">
        <f>VLOOKUP(A74,'HCW + Staff Summary'!B:E,4,FALSE)</f>
        <v>Upper middle income</v>
      </c>
      <c r="C74" s="770">
        <v>9.1987105864194394</v>
      </c>
      <c r="D74" s="770">
        <v>13.672356166969699</v>
      </c>
      <c r="E74" s="770">
        <v>16.5847306578674</v>
      </c>
      <c r="F74" s="770">
        <v>18.801398031620302</v>
      </c>
      <c r="G74" s="770">
        <v>15.533228400309101</v>
      </c>
      <c r="H74" s="770">
        <v>17.196611678458599</v>
      </c>
      <c r="I74" s="770">
        <v>18.954880965732599</v>
      </c>
      <c r="J74" s="770">
        <v>19.286350382312801</v>
      </c>
      <c r="K74" s="770">
        <v>18.863176162471401</v>
      </c>
      <c r="L74" s="770">
        <v>12.1986329771188</v>
      </c>
      <c r="M74" s="770">
        <v>10.0773677072373</v>
      </c>
      <c r="N74" s="770">
        <v>7.0939790364076298</v>
      </c>
      <c r="O74" s="770">
        <v>4.9899035193494097</v>
      </c>
      <c r="P74" s="770">
        <v>3.7787629325686898</v>
      </c>
      <c r="Q74" s="770">
        <v>2.8976131596042398</v>
      </c>
      <c r="R74" s="770">
        <v>1.8039726097334301</v>
      </c>
      <c r="S74" s="770"/>
      <c r="T74" s="770">
        <v>4.8838780069621238E-2</v>
      </c>
      <c r="U74" s="770">
        <v>5.0189639943887358E-2</v>
      </c>
      <c r="V74" s="770">
        <v>5.6216553229074664E-2</v>
      </c>
      <c r="W74" s="770">
        <v>5.1696368265184187E-2</v>
      </c>
      <c r="X74" s="770">
        <v>5.2527666649347951E-2</v>
      </c>
      <c r="Y74" s="770">
        <v>5.5956772484023483E-2</v>
      </c>
      <c r="Z74" s="770">
        <v>7.2582740167298807E-2</v>
      </c>
      <c r="AA74" s="770">
        <v>6.1879773471190315E-2</v>
      </c>
      <c r="AB74" s="770">
        <v>7.9181171091598695E-2</v>
      </c>
      <c r="AC74" s="770">
        <v>7.8142048111393983E-2</v>
      </c>
      <c r="AD74" s="770">
        <v>7.9337039538629403E-2</v>
      </c>
      <c r="AE74" s="770">
        <v>5.424221956668572E-2</v>
      </c>
      <c r="AF74" s="770">
        <v>6.7023432223203616E-2</v>
      </c>
      <c r="AG74" s="770">
        <v>6.4737361666753257E-2</v>
      </c>
      <c r="AH74" s="770">
        <v>4.8215306281498414E-2</v>
      </c>
      <c r="AI74" s="770">
        <v>3.1329557853171923E-2</v>
      </c>
      <c r="AJ74" s="770"/>
      <c r="AK74" s="770">
        <f t="shared" si="34"/>
        <v>11.771780761756313</v>
      </c>
      <c r="AL74" s="770">
        <f t="shared" si="35"/>
        <v>17.025869509942147</v>
      </c>
      <c r="AM74" s="770">
        <f t="shared" si="36"/>
        <v>18.438442177216604</v>
      </c>
      <c r="AN74" s="770">
        <f t="shared" si="37"/>
        <v>22.730559542374117</v>
      </c>
      <c r="AO74" s="770">
        <f t="shared" si="38"/>
        <v>18.482198752519118</v>
      </c>
      <c r="AP74" s="770">
        <f t="shared" si="39"/>
        <v>19.20747359420222</v>
      </c>
      <c r="AQ74" s="770">
        <f t="shared" si="40"/>
        <v>16.321787488701471</v>
      </c>
      <c r="AR74" s="770">
        <f t="shared" si="41"/>
        <v>19.479659204889508</v>
      </c>
      <c r="AS74" s="770">
        <f t="shared" si="42"/>
        <v>14.889253264398254</v>
      </c>
      <c r="AT74" s="770">
        <f t="shared" si="43"/>
        <v>9.7567772984792871</v>
      </c>
      <c r="AU74" s="770">
        <f t="shared" si="44"/>
        <v>7.9387318378027301</v>
      </c>
      <c r="AV74" s="770">
        <f t="shared" si="45"/>
        <v>8.1739592022113055</v>
      </c>
      <c r="AW74" s="770">
        <f t="shared" si="46"/>
        <v>4.6531333835716131</v>
      </c>
      <c r="AX74" s="770">
        <f t="shared" si="47"/>
        <v>3.6481666414099907</v>
      </c>
      <c r="AY74" s="770">
        <f t="shared" si="48"/>
        <v>3.756085700626536</v>
      </c>
      <c r="AZ74" s="770">
        <f t="shared" si="49"/>
        <v>3.5987832524398145</v>
      </c>
      <c r="BA74" s="770"/>
      <c r="BB74" s="770">
        <f t="shared" si="50"/>
        <v>12.492041350783811</v>
      </c>
    </row>
    <row r="75" spans="1:54" x14ac:dyDescent="0.75">
      <c r="A75" s="132" t="s">
        <v>241</v>
      </c>
      <c r="B75" s="132" t="str">
        <f>VLOOKUP(A75,'HCW + Staff Summary'!B:E,4,FALSE)</f>
        <v>Lower middle income</v>
      </c>
      <c r="C75" s="770">
        <v>13.4014068169959</v>
      </c>
      <c r="D75" s="770">
        <v>26.0049139718381</v>
      </c>
      <c r="E75" s="770">
        <v>28.437709677231201</v>
      </c>
      <c r="F75" s="770">
        <v>29.493413588071899</v>
      </c>
      <c r="G75" s="770">
        <v>21.5326551926516</v>
      </c>
      <c r="H75" s="770">
        <v>21.959524997460999</v>
      </c>
      <c r="I75" s="770">
        <v>20.291777014034299</v>
      </c>
      <c r="J75" s="770">
        <v>18.414564339664899</v>
      </c>
      <c r="K75" s="770">
        <v>16.469614192256</v>
      </c>
      <c r="L75" s="770">
        <v>12.659892790208801</v>
      </c>
      <c r="M75" s="770">
        <v>9.7781560578688094</v>
      </c>
      <c r="N75" s="770">
        <v>6.1368022755349401</v>
      </c>
      <c r="O75" s="770">
        <v>2.8267742365156399</v>
      </c>
      <c r="P75" s="770">
        <v>1.4340869050565701</v>
      </c>
      <c r="Q75" s="770">
        <v>0.83231202565547902</v>
      </c>
      <c r="R75" s="770">
        <v>0.48293905870317499</v>
      </c>
      <c r="S75" s="770"/>
      <c r="T75" s="770">
        <v>8.1606217616580309E-2</v>
      </c>
      <c r="U75" s="770">
        <v>7.901554404145078E-2</v>
      </c>
      <c r="V75" s="770">
        <v>8.6787564766839381E-2</v>
      </c>
      <c r="W75" s="770">
        <v>9.0673575129533682E-2</v>
      </c>
      <c r="X75" s="770">
        <v>9.7150259067357511E-2</v>
      </c>
      <c r="Y75" s="770">
        <v>0.10233160621761658</v>
      </c>
      <c r="Z75" s="770">
        <v>9.8445595854922283E-2</v>
      </c>
      <c r="AA75" s="770">
        <v>8.1606217616580309E-2</v>
      </c>
      <c r="AB75" s="770">
        <v>6.4766839378238336E-2</v>
      </c>
      <c r="AC75" s="770">
        <v>5.0518134715025906E-2</v>
      </c>
      <c r="AD75" s="770">
        <v>4.2746113989637305E-2</v>
      </c>
      <c r="AE75" s="770">
        <v>3.367875647668394E-2</v>
      </c>
      <c r="AF75" s="770">
        <v>2.7202072538860103E-2</v>
      </c>
      <c r="AG75" s="770">
        <v>2.0207253886010364E-2</v>
      </c>
      <c r="AH75" s="770">
        <v>1.6580310880829015E-2</v>
      </c>
      <c r="AI75" s="770">
        <v>1.2305699481865285E-2</v>
      </c>
      <c r="AJ75" s="770"/>
      <c r="AK75" s="770">
        <f t="shared" si="34"/>
        <v>10.263775855873844</v>
      </c>
      <c r="AL75" s="770">
        <f t="shared" si="35"/>
        <v>20.569460641658825</v>
      </c>
      <c r="AM75" s="770">
        <f t="shared" si="36"/>
        <v>20.479395401886649</v>
      </c>
      <c r="AN75" s="770">
        <f t="shared" si="37"/>
        <v>20.329388651778128</v>
      </c>
      <c r="AO75" s="770">
        <f t="shared" si="38"/>
        <v>13.852674840605863</v>
      </c>
      <c r="AP75" s="770">
        <f t="shared" si="39"/>
        <v>13.411988368702445</v>
      </c>
      <c r="AQ75" s="770">
        <f t="shared" si="40"/>
        <v>12.882608433252038</v>
      </c>
      <c r="AR75" s="770">
        <f t="shared" si="41"/>
        <v>14.103217926806847</v>
      </c>
      <c r="AS75" s="770">
        <f t="shared" si="42"/>
        <v>15.893177695527042</v>
      </c>
      <c r="AT75" s="770">
        <f t="shared" si="43"/>
        <v>15.662559669937812</v>
      </c>
      <c r="AU75" s="770">
        <f t="shared" si="44"/>
        <v>14.296849387641517</v>
      </c>
      <c r="AV75" s="770">
        <f t="shared" si="45"/>
        <v>11.388488838252339</v>
      </c>
      <c r="AW75" s="770">
        <f t="shared" si="46"/>
        <v>6.4948503291371251</v>
      </c>
      <c r="AX75" s="770">
        <f t="shared" si="47"/>
        <v>4.435557254421763</v>
      </c>
      <c r="AY75" s="770">
        <f t="shared" si="48"/>
        <v>3.1374261904591298</v>
      </c>
      <c r="AZ75" s="770">
        <f t="shared" si="49"/>
        <v>2.4528220613082308</v>
      </c>
      <c r="BA75" s="770"/>
      <c r="BB75" s="770">
        <f t="shared" si="50"/>
        <v>12.478390096703102</v>
      </c>
    </row>
    <row r="76" spans="1:54" x14ac:dyDescent="0.75">
      <c r="A76" s="132" t="s">
        <v>484</v>
      </c>
      <c r="B76" s="132" t="str">
        <f>VLOOKUP(A76,'HCW + Staff Summary'!B:E,4,FALSE)</f>
        <v>Upper middle income</v>
      </c>
      <c r="C76" s="770">
        <v>7.5896279718609501</v>
      </c>
      <c r="D76" s="770">
        <v>14.086572132726101</v>
      </c>
      <c r="E76" s="770">
        <v>21.049350616928098</v>
      </c>
      <c r="F76" s="770">
        <v>26.186402743234499</v>
      </c>
      <c r="G76" s="770">
        <v>16.376457667378499</v>
      </c>
      <c r="H76" s="770">
        <v>18.7821153022708</v>
      </c>
      <c r="I76" s="770">
        <v>18.5783755942685</v>
      </c>
      <c r="J76" s="770">
        <v>18.536468452714001</v>
      </c>
      <c r="K76" s="770">
        <v>17.153692623681099</v>
      </c>
      <c r="L76" s="770">
        <v>14.079307096717701</v>
      </c>
      <c r="M76" s="770">
        <v>11.1630090970999</v>
      </c>
      <c r="N76" s="770">
        <v>7.0847228461386296</v>
      </c>
      <c r="O76" s="770">
        <v>4.5668504965898</v>
      </c>
      <c r="P76" s="770">
        <v>3.46632040666297</v>
      </c>
      <c r="Q76" s="770">
        <v>2.3323702265449802</v>
      </c>
      <c r="R76" s="770">
        <v>1.53733790804781</v>
      </c>
      <c r="S76" s="770"/>
      <c r="T76" s="770">
        <v>5.3768602976476239E-2</v>
      </c>
      <c r="U76" s="770">
        <v>5.5688910225636101E-2</v>
      </c>
      <c r="V76" s="770">
        <v>5.3768602976476239E-2</v>
      </c>
      <c r="W76" s="770">
        <v>5.8089294287085931E-2</v>
      </c>
      <c r="X76" s="770">
        <v>6.240998559769563E-2</v>
      </c>
      <c r="Y76" s="770">
        <v>7.2971675468074898E-2</v>
      </c>
      <c r="Z76" s="770">
        <v>7.7772443590974558E-2</v>
      </c>
      <c r="AA76" s="770">
        <v>7.8732597215554492E-2</v>
      </c>
      <c r="AB76" s="770">
        <v>7.4411905904944786E-2</v>
      </c>
      <c r="AC76" s="770">
        <v>7.0091214594335094E-2</v>
      </c>
      <c r="AD76" s="770">
        <v>6.9611137782045127E-2</v>
      </c>
      <c r="AE76" s="770">
        <v>6.6250600096015369E-2</v>
      </c>
      <c r="AF76" s="770">
        <v>6.1929908785405663E-2</v>
      </c>
      <c r="AG76" s="770">
        <v>5.5688910225636101E-2</v>
      </c>
      <c r="AH76" s="770">
        <v>3.8406144983197311E-2</v>
      </c>
      <c r="AI76" s="770">
        <v>2.5924147863658185E-2</v>
      </c>
      <c r="AJ76" s="770"/>
      <c r="AK76" s="770">
        <f t="shared" si="34"/>
        <v>8.8220954605950652</v>
      </c>
      <c r="AL76" s="770">
        <f t="shared" si="35"/>
        <v>15.809444909735166</v>
      </c>
      <c r="AM76" s="770">
        <f t="shared" si="36"/>
        <v>24.467520834297559</v>
      </c>
      <c r="AN76" s="770">
        <f t="shared" si="37"/>
        <v>28.174729811031749</v>
      </c>
      <c r="AO76" s="770">
        <f t="shared" si="38"/>
        <v>16.400077558244909</v>
      </c>
      <c r="AP76" s="770">
        <f t="shared" si="39"/>
        <v>16.086819973120917</v>
      </c>
      <c r="AQ76" s="770">
        <f t="shared" si="40"/>
        <v>14.930075757276731</v>
      </c>
      <c r="AR76" s="770">
        <f t="shared" si="41"/>
        <v>14.714734674925024</v>
      </c>
      <c r="AS76" s="770">
        <f t="shared" si="42"/>
        <v>14.407718441583762</v>
      </c>
      <c r="AT76" s="770">
        <f t="shared" si="43"/>
        <v>12.554450634615998</v>
      </c>
      <c r="AU76" s="770">
        <f t="shared" si="44"/>
        <v>10.02264997812892</v>
      </c>
      <c r="AV76" s="770">
        <f t="shared" si="45"/>
        <v>6.6836402574758891</v>
      </c>
      <c r="AW76" s="770">
        <f t="shared" si="46"/>
        <v>4.6088903025177101</v>
      </c>
      <c r="AX76" s="770">
        <f t="shared" si="47"/>
        <v>3.890272309848581</v>
      </c>
      <c r="AY76" s="770">
        <f t="shared" si="48"/>
        <v>3.7955681108540578</v>
      </c>
      <c r="AZ76" s="770">
        <f t="shared" si="49"/>
        <v>3.7063366463698939</v>
      </c>
      <c r="BA76" s="770"/>
      <c r="BB76" s="770">
        <f t="shared" si="50"/>
        <v>12.442189103788872</v>
      </c>
    </row>
    <row r="77" spans="1:54" x14ac:dyDescent="0.75">
      <c r="A77" s="132" t="s">
        <v>396</v>
      </c>
      <c r="B77" s="132" t="str">
        <f>VLOOKUP(A77,'HCW + Staff Summary'!B:E,4,FALSE)</f>
        <v>High income</v>
      </c>
      <c r="C77" s="770">
        <v>9.8409890767149104</v>
      </c>
      <c r="D77" s="770">
        <v>14.0007464862767</v>
      </c>
      <c r="E77" s="770">
        <v>16.746278859997702</v>
      </c>
      <c r="F77" s="770">
        <v>19.039653347555301</v>
      </c>
      <c r="G77" s="770">
        <v>14.161991631425201</v>
      </c>
      <c r="H77" s="770">
        <v>16.073345553132501</v>
      </c>
      <c r="I77" s="770">
        <v>17.282854513282299</v>
      </c>
      <c r="J77" s="770">
        <v>18.790409544160799</v>
      </c>
      <c r="K77" s="770">
        <v>18.063757140901</v>
      </c>
      <c r="L77" s="770">
        <v>14.905791424048701</v>
      </c>
      <c r="M77" s="770">
        <v>11.446974742626301</v>
      </c>
      <c r="N77" s="770">
        <v>6.7450372094841402</v>
      </c>
      <c r="O77" s="770">
        <v>5.1555118753874201</v>
      </c>
      <c r="P77" s="770">
        <v>3.6658003398467698</v>
      </c>
      <c r="Q77" s="770">
        <v>2.7390231624413701</v>
      </c>
      <c r="R77" s="770">
        <v>1.92872571009497</v>
      </c>
      <c r="S77" s="770"/>
      <c r="T77" s="770">
        <v>5.5454235428435868E-2</v>
      </c>
      <c r="U77" s="770">
        <v>5.9857954124223421E-2</v>
      </c>
      <c r="V77" s="770">
        <v>6.1222069006420236E-2</v>
      </c>
      <c r="W77" s="770">
        <v>5.9561407410702372E-2</v>
      </c>
      <c r="X77" s="770">
        <v>5.6640422282520052E-2</v>
      </c>
      <c r="Y77" s="770">
        <v>5.6284566226294797E-2</v>
      </c>
      <c r="Z77" s="770">
        <v>6.0376910872885249E-2</v>
      </c>
      <c r="AA77" s="770">
        <v>6.2348946517800215E-2</v>
      </c>
      <c r="AB77" s="770">
        <v>6.0406565544237359E-2</v>
      </c>
      <c r="AC77" s="770">
        <v>6.7138175941165126E-2</v>
      </c>
      <c r="AD77" s="770">
        <v>6.6856456563320135E-2</v>
      </c>
      <c r="AE77" s="770">
        <v>6.5433032338419114E-2</v>
      </c>
      <c r="AF77" s="770">
        <v>6.0866212950194981E-2</v>
      </c>
      <c r="AG77" s="770">
        <v>5.8078673843097131E-2</v>
      </c>
      <c r="AH77" s="770">
        <v>5.3971501860830627E-2</v>
      </c>
      <c r="AI77" s="770">
        <v>3.3761843334371246E-2</v>
      </c>
      <c r="AJ77" s="770"/>
      <c r="AK77" s="770">
        <f t="shared" si="34"/>
        <v>11.091340680161826</v>
      </c>
      <c r="AL77" s="770">
        <f t="shared" si="35"/>
        <v>14.618719737335265</v>
      </c>
      <c r="AM77" s="770">
        <f t="shared" si="36"/>
        <v>17.095835631430507</v>
      </c>
      <c r="AN77" s="770">
        <f t="shared" si="37"/>
        <v>19.979016379125781</v>
      </c>
      <c r="AO77" s="770">
        <f t="shared" si="38"/>
        <v>15.627081177981182</v>
      </c>
      <c r="AP77" s="770">
        <f t="shared" si="39"/>
        <v>17.848304862683008</v>
      </c>
      <c r="AQ77" s="770">
        <f t="shared" si="40"/>
        <v>17.890587502138047</v>
      </c>
      <c r="AR77" s="770">
        <f t="shared" si="41"/>
        <v>18.835933277152748</v>
      </c>
      <c r="AS77" s="770">
        <f t="shared" si="42"/>
        <v>18.689770079372025</v>
      </c>
      <c r="AT77" s="770">
        <f t="shared" si="43"/>
        <v>13.876039242106291</v>
      </c>
      <c r="AU77" s="770">
        <f t="shared" si="44"/>
        <v>10.701074483906432</v>
      </c>
      <c r="AV77" s="770">
        <f t="shared" si="45"/>
        <v>6.4426912604696183</v>
      </c>
      <c r="AW77" s="770">
        <f t="shared" si="46"/>
        <v>5.2938974940888208</v>
      </c>
      <c r="AX77" s="770">
        <f t="shared" si="47"/>
        <v>3.9448648889501805</v>
      </c>
      <c r="AY77" s="770">
        <f t="shared" si="48"/>
        <v>3.1718396144322343</v>
      </c>
      <c r="AZ77" s="770">
        <f t="shared" si="49"/>
        <v>3.5704613544668167</v>
      </c>
      <c r="BA77" s="770"/>
      <c r="BB77" s="770">
        <f t="shared" si="50"/>
        <v>12.417341104112548</v>
      </c>
    </row>
    <row r="78" spans="1:54" x14ac:dyDescent="0.75">
      <c r="A78" s="132" t="s">
        <v>325</v>
      </c>
      <c r="B78" s="132" t="str">
        <f>VLOOKUP(A78,'HCW + Staff Summary'!B:E,4,FALSE)</f>
        <v>High income</v>
      </c>
      <c r="C78" s="770">
        <v>9.32390285489452</v>
      </c>
      <c r="D78" s="770">
        <v>16.1118875292998</v>
      </c>
      <c r="E78" s="770">
        <v>19.482298175757599</v>
      </c>
      <c r="F78" s="770">
        <v>23.4713175080275</v>
      </c>
      <c r="G78" s="770">
        <v>15.672482839503999</v>
      </c>
      <c r="H78" s="770">
        <v>17.4159657891317</v>
      </c>
      <c r="I78" s="770">
        <v>17.807442225149</v>
      </c>
      <c r="J78" s="770">
        <v>18.544308136565601</v>
      </c>
      <c r="K78" s="770">
        <v>18.115775390986801</v>
      </c>
      <c r="L78" s="770">
        <v>14.6754276534583</v>
      </c>
      <c r="M78" s="770">
        <v>11.6763005759331</v>
      </c>
      <c r="N78" s="770">
        <v>7.49727464872044</v>
      </c>
      <c r="O78" s="770">
        <v>4.7204418309896301</v>
      </c>
      <c r="P78" s="770">
        <v>3.7867125723478501</v>
      </c>
      <c r="Q78" s="770">
        <v>2.3110427531074</v>
      </c>
      <c r="R78" s="770">
        <v>1.3804174113658201</v>
      </c>
      <c r="S78" s="770"/>
      <c r="T78" s="770">
        <v>6.5487347703842555E-2</v>
      </c>
      <c r="U78" s="770">
        <v>6.4315838800374878E-2</v>
      </c>
      <c r="V78" s="770">
        <v>6.3144329896907214E-2</v>
      </c>
      <c r="W78" s="770">
        <v>5.9629803186504217E-2</v>
      </c>
      <c r="X78" s="770">
        <v>6.2558575445173389E-2</v>
      </c>
      <c r="Y78" s="770">
        <v>6.9860980943455164E-2</v>
      </c>
      <c r="Z78" s="770">
        <v>7.3570759137769448E-2</v>
      </c>
      <c r="AA78" s="770">
        <v>7.228209934395502E-2</v>
      </c>
      <c r="AB78" s="770">
        <v>6.3886285535770068E-2</v>
      </c>
      <c r="AC78" s="770">
        <v>6.5760699781318335E-2</v>
      </c>
      <c r="AD78" s="770">
        <v>6.1113714464229925E-2</v>
      </c>
      <c r="AE78" s="770">
        <v>6.076226179318963E-2</v>
      </c>
      <c r="AF78" s="770">
        <v>5.5646672914714153E-2</v>
      </c>
      <c r="AG78" s="770">
        <v>4.8344267416432364E-2</v>
      </c>
      <c r="AH78" s="770">
        <v>4.2486722899094033E-2</v>
      </c>
      <c r="AI78" s="770">
        <v>2.9912527335207748E-2</v>
      </c>
      <c r="AJ78" s="770"/>
      <c r="AK78" s="770">
        <f t="shared" si="34"/>
        <v>8.8985727604404765</v>
      </c>
      <c r="AL78" s="770">
        <f t="shared" si="35"/>
        <v>15.656998172825945</v>
      </c>
      <c r="AM78" s="770">
        <f t="shared" si="36"/>
        <v>19.28349921478048</v>
      </c>
      <c r="AN78" s="770">
        <f t="shared" si="37"/>
        <v>24.601076405761635</v>
      </c>
      <c r="AO78" s="770">
        <f t="shared" si="38"/>
        <v>15.657808230103713</v>
      </c>
      <c r="AP78" s="770">
        <f t="shared" si="39"/>
        <v>15.580912937677635</v>
      </c>
      <c r="AQ78" s="770">
        <f t="shared" si="40"/>
        <v>15.127819151460177</v>
      </c>
      <c r="AR78" s="770">
        <f t="shared" si="41"/>
        <v>16.03466513915356</v>
      </c>
      <c r="AS78" s="770">
        <f t="shared" si="42"/>
        <v>17.722676352857199</v>
      </c>
      <c r="AT78" s="770">
        <f t="shared" si="43"/>
        <v>13.947756507933498</v>
      </c>
      <c r="AU78" s="770">
        <f t="shared" si="44"/>
        <v>11.941162346185896</v>
      </c>
      <c r="AV78" s="770">
        <f t="shared" si="45"/>
        <v>7.7116889943939997</v>
      </c>
      <c r="AW78" s="770">
        <f t="shared" si="46"/>
        <v>5.3018015091220372</v>
      </c>
      <c r="AX78" s="770">
        <f t="shared" si="47"/>
        <v>4.8955036123123863</v>
      </c>
      <c r="AY78" s="770">
        <f t="shared" si="48"/>
        <v>3.3996543440702149</v>
      </c>
      <c r="AZ78" s="770">
        <f t="shared" si="49"/>
        <v>2.8842794606932047</v>
      </c>
      <c r="BA78" s="770"/>
      <c r="BB78" s="770">
        <f t="shared" si="50"/>
        <v>12.415367196235755</v>
      </c>
    </row>
    <row r="79" spans="1:54" x14ac:dyDescent="0.75">
      <c r="A79" s="132" t="s">
        <v>501</v>
      </c>
      <c r="B79" s="132" t="str">
        <f>VLOOKUP(A79,'HCW + Staff Summary'!B:E,4,FALSE)</f>
        <v>Upper middle income</v>
      </c>
      <c r="C79" s="770">
        <v>13.229210737580299</v>
      </c>
      <c r="D79" s="770">
        <v>21.694607601661101</v>
      </c>
      <c r="E79" s="770">
        <v>27.8641915663863</v>
      </c>
      <c r="F79" s="770">
        <v>28.642729379723299</v>
      </c>
      <c r="G79" s="770">
        <v>19.298618963359498</v>
      </c>
      <c r="H79" s="770">
        <v>20.009170122222599</v>
      </c>
      <c r="I79" s="770">
        <v>19.7954550280805</v>
      </c>
      <c r="J79" s="770">
        <v>19.296079284426199</v>
      </c>
      <c r="K79" s="770">
        <v>17.6482493404094</v>
      </c>
      <c r="L79" s="770">
        <v>13.731085840950501</v>
      </c>
      <c r="M79" s="770">
        <v>10.3320236647565</v>
      </c>
      <c r="N79" s="770">
        <v>6.5928247031470999</v>
      </c>
      <c r="O79" s="770">
        <v>3.43676610415433</v>
      </c>
      <c r="P79" s="770">
        <v>1.78987178574941</v>
      </c>
      <c r="Q79" s="770">
        <v>1.01140976527666</v>
      </c>
      <c r="R79" s="770">
        <v>0.64212041761230099</v>
      </c>
      <c r="S79" s="770"/>
      <c r="T79" s="770">
        <v>8.5921387844231464E-2</v>
      </c>
      <c r="U79" s="770">
        <v>7.9218731044522622E-2</v>
      </c>
      <c r="V79" s="770">
        <v>8.1766347203687972E-2</v>
      </c>
      <c r="W79" s="770">
        <v>7.3971854907193976E-2</v>
      </c>
      <c r="X79" s="770">
        <v>7.909741598932428E-2</v>
      </c>
      <c r="Y79" s="770">
        <v>8.3919689433458691E-2</v>
      </c>
      <c r="Z79" s="770">
        <v>8.1675360912289219E-2</v>
      </c>
      <c r="AA79" s="770">
        <v>7.697440252335315E-2</v>
      </c>
      <c r="AB79" s="770">
        <v>6.9786485502850909E-2</v>
      </c>
      <c r="AC79" s="770">
        <v>6.2052650733956084E-2</v>
      </c>
      <c r="AD79" s="770">
        <v>5.4349144728860849E-2</v>
      </c>
      <c r="AE79" s="770">
        <v>4.6160378502972221E-2</v>
      </c>
      <c r="AF79" s="770">
        <v>3.7819968458085648E-2</v>
      </c>
      <c r="AG79" s="770">
        <v>3.1208297949775567E-2</v>
      </c>
      <c r="AH79" s="770">
        <v>2.220065510129807E-2</v>
      </c>
      <c r="AI79" s="770">
        <v>1.5892272230983866E-2</v>
      </c>
      <c r="AJ79" s="770"/>
      <c r="AK79" s="770">
        <f t="shared" si="34"/>
        <v>9.6230483683263692</v>
      </c>
      <c r="AL79" s="770">
        <f t="shared" si="35"/>
        <v>17.116065319725543</v>
      </c>
      <c r="AM79" s="770">
        <f t="shared" si="36"/>
        <v>21.298639751643385</v>
      </c>
      <c r="AN79" s="770">
        <f t="shared" si="37"/>
        <v>24.200698880387371</v>
      </c>
      <c r="AO79" s="770">
        <f t="shared" si="38"/>
        <v>15.249090885254249</v>
      </c>
      <c r="AP79" s="770">
        <f t="shared" si="39"/>
        <v>14.902022887376299</v>
      </c>
      <c r="AQ79" s="770">
        <f t="shared" si="40"/>
        <v>15.147970274458554</v>
      </c>
      <c r="AR79" s="770">
        <f t="shared" si="41"/>
        <v>15.667610474933525</v>
      </c>
      <c r="AS79" s="770">
        <f t="shared" si="42"/>
        <v>15.805575761950747</v>
      </c>
      <c r="AT79" s="770">
        <f t="shared" si="43"/>
        <v>13.830075829295573</v>
      </c>
      <c r="AU79" s="770">
        <f t="shared" si="44"/>
        <v>11.881538932559687</v>
      </c>
      <c r="AV79" s="770">
        <f t="shared" si="45"/>
        <v>8.926520044027848</v>
      </c>
      <c r="AW79" s="770">
        <f t="shared" si="46"/>
        <v>5.6794833593713197</v>
      </c>
      <c r="AX79" s="770">
        <f t="shared" si="47"/>
        <v>3.5845269994976645</v>
      </c>
      <c r="AY79" s="770">
        <f t="shared" si="48"/>
        <v>2.8473533794998325</v>
      </c>
      <c r="AZ79" s="770">
        <f t="shared" si="49"/>
        <v>2.5252855927376894</v>
      </c>
      <c r="BA79" s="770"/>
      <c r="BB79" s="770">
        <f t="shared" si="50"/>
        <v>12.392844171315353</v>
      </c>
    </row>
    <row r="80" spans="1:54" x14ac:dyDescent="0.75">
      <c r="A80" s="132" t="s">
        <v>255</v>
      </c>
      <c r="B80" s="132" t="str">
        <f>VLOOKUP(A80,'HCW + Staff Summary'!B:E,4,FALSE)</f>
        <v>Lower middle income</v>
      </c>
      <c r="C80" s="770">
        <v>17.409025610949602</v>
      </c>
      <c r="D80" s="770">
        <v>34.936937917770798</v>
      </c>
      <c r="E80" s="770">
        <v>35.992080112131497</v>
      </c>
      <c r="F80" s="770">
        <v>32.6978570143676</v>
      </c>
      <c r="G80" s="770">
        <v>17.0006399831463</v>
      </c>
      <c r="H80" s="770">
        <v>16.8135313707714</v>
      </c>
      <c r="I80" s="770">
        <v>15.675774788057501</v>
      </c>
      <c r="J80" s="770">
        <v>14.967413370302101</v>
      </c>
      <c r="K80" s="770">
        <v>12.019835857107999</v>
      </c>
      <c r="L80" s="770">
        <v>9.4098844167021305</v>
      </c>
      <c r="M80" s="770">
        <v>7.4327373887361601</v>
      </c>
      <c r="N80" s="770">
        <v>5.1133492891905297</v>
      </c>
      <c r="O80" s="770">
        <v>3.0790224654111999</v>
      </c>
      <c r="P80" s="770">
        <v>1.3225198983155499</v>
      </c>
      <c r="Q80" s="770">
        <v>0.64108357975997299</v>
      </c>
      <c r="R80" s="770">
        <v>0.40963226018695298</v>
      </c>
      <c r="S80" s="770"/>
      <c r="T80" s="770">
        <v>0.14992721979621543</v>
      </c>
      <c r="U80" s="770">
        <v>0.13537117903930132</v>
      </c>
      <c r="V80" s="770">
        <v>0.11499272197962154</v>
      </c>
      <c r="W80" s="770">
        <v>0.10189228529839883</v>
      </c>
      <c r="X80" s="770">
        <v>8.8791848617176122E-2</v>
      </c>
      <c r="Y80" s="770">
        <v>7.4235807860262015E-2</v>
      </c>
      <c r="Z80" s="770">
        <v>6.1135371179039298E-2</v>
      </c>
      <c r="AA80" s="770">
        <v>5.6768558951965066E-2</v>
      </c>
      <c r="AB80" s="770">
        <v>5.3857350800582245E-2</v>
      </c>
      <c r="AC80" s="770">
        <v>4.6579330422125184E-2</v>
      </c>
      <c r="AD80" s="770">
        <v>3.2023289665211063E-2</v>
      </c>
      <c r="AE80" s="770">
        <v>2.6055312954876272E-2</v>
      </c>
      <c r="AF80" s="770">
        <v>1.9650655021834062E-2</v>
      </c>
      <c r="AG80" s="770">
        <v>1.3828238719068414E-2</v>
      </c>
      <c r="AH80" s="770">
        <v>1.0480349344978166E-2</v>
      </c>
      <c r="AI80" s="770">
        <v>6.9868995633187774E-3</v>
      </c>
      <c r="AJ80" s="770"/>
      <c r="AK80" s="770">
        <f t="shared" si="34"/>
        <v>7.2572819142732872</v>
      </c>
      <c r="AL80" s="770">
        <f t="shared" si="35"/>
        <v>16.130158837035307</v>
      </c>
      <c r="AM80" s="770">
        <f t="shared" si="36"/>
        <v>19.562151136894254</v>
      </c>
      <c r="AN80" s="770">
        <f t="shared" si="37"/>
        <v>20.056631936491556</v>
      </c>
      <c r="AO80" s="770">
        <f t="shared" si="38"/>
        <v>11.966639004530235</v>
      </c>
      <c r="AP80" s="770">
        <f t="shared" si="39"/>
        <v>14.155509867303861</v>
      </c>
      <c r="AQ80" s="770">
        <f t="shared" si="40"/>
        <v>16.02568047529093</v>
      </c>
      <c r="AR80" s="770">
        <f t="shared" si="41"/>
        <v>16.478546450957602</v>
      </c>
      <c r="AS80" s="770">
        <f t="shared" si="42"/>
        <v>13.948694651745262</v>
      </c>
      <c r="AT80" s="770">
        <f t="shared" si="43"/>
        <v>12.626153504442115</v>
      </c>
      <c r="AU80" s="770">
        <f t="shared" si="44"/>
        <v>14.506507346766313</v>
      </c>
      <c r="AV80" s="770">
        <f t="shared" si="45"/>
        <v>12.26561089969935</v>
      </c>
      <c r="AW80" s="770">
        <f t="shared" si="46"/>
        <v>9.7930020080439544</v>
      </c>
      <c r="AX80" s="770">
        <f t="shared" si="47"/>
        <v>5.9774419088340975</v>
      </c>
      <c r="AY80" s="770">
        <f t="shared" si="48"/>
        <v>3.8231286397144224</v>
      </c>
      <c r="AZ80" s="770">
        <f t="shared" si="49"/>
        <v>3.6642885774536027</v>
      </c>
      <c r="BA80" s="770"/>
      <c r="BB80" s="770">
        <f t="shared" si="50"/>
        <v>12.389839197467257</v>
      </c>
    </row>
    <row r="81" spans="1:54" x14ac:dyDescent="0.75">
      <c r="A81" s="132" t="s">
        <v>515</v>
      </c>
      <c r="B81" s="132" t="str">
        <f>VLOOKUP(A81,'HCW + Staff Summary'!B:E,4,FALSE)</f>
        <v>Upper middle income</v>
      </c>
      <c r="C81" s="770">
        <v>7.9896689179878297</v>
      </c>
      <c r="D81" s="770">
        <v>13.753006522433299</v>
      </c>
      <c r="E81" s="770">
        <v>17.810678694429601</v>
      </c>
      <c r="F81" s="770">
        <v>21.1336183346931</v>
      </c>
      <c r="G81" s="770">
        <v>13.4321659839361</v>
      </c>
      <c r="H81" s="770">
        <v>16.4138086981262</v>
      </c>
      <c r="I81" s="770">
        <v>17.730954607622898</v>
      </c>
      <c r="J81" s="770">
        <v>18.3659495167398</v>
      </c>
      <c r="K81" s="770">
        <v>16.935438813198498</v>
      </c>
      <c r="L81" s="770">
        <v>13.5436064845585</v>
      </c>
      <c r="M81" s="770">
        <v>10.837885484853301</v>
      </c>
      <c r="N81" s="770">
        <v>8.5442295249478306</v>
      </c>
      <c r="O81" s="770">
        <v>6.5166246437445201</v>
      </c>
      <c r="P81" s="770">
        <v>4.5915052510780496</v>
      </c>
      <c r="Q81" s="770">
        <v>3.67751868888719</v>
      </c>
      <c r="R81" s="770">
        <v>2.35615785141177</v>
      </c>
      <c r="S81" s="770"/>
      <c r="T81" s="770">
        <v>4.7914561985856544E-2</v>
      </c>
      <c r="U81" s="770">
        <v>4.9935055563573388E-2</v>
      </c>
      <c r="V81" s="770">
        <v>5.5707894357050078E-2</v>
      </c>
      <c r="W81" s="770">
        <v>5.8738634723625345E-2</v>
      </c>
      <c r="X81" s="770">
        <v>6.0614807331505267E-2</v>
      </c>
      <c r="Y81" s="770">
        <v>6.5521720305960457E-2</v>
      </c>
      <c r="Z81" s="770">
        <v>7.0717275220089484E-2</v>
      </c>
      <c r="AA81" s="770">
        <v>6.8263818732861886E-2</v>
      </c>
      <c r="AB81" s="770">
        <v>7.1150238129600224E-2</v>
      </c>
      <c r="AC81" s="770">
        <v>6.9562707461394147E-2</v>
      </c>
      <c r="AD81" s="770">
        <v>6.5233078366286626E-2</v>
      </c>
      <c r="AE81" s="770">
        <v>6.3068263818732859E-2</v>
      </c>
      <c r="AF81" s="770">
        <v>6.2635300909222105E-2</v>
      </c>
      <c r="AG81" s="770">
        <v>6.8119497763024964E-2</v>
      </c>
      <c r="AH81" s="770">
        <v>5.3110116899985571E-2</v>
      </c>
      <c r="AI81" s="770">
        <v>3.0307403665752634E-2</v>
      </c>
      <c r="AJ81" s="770"/>
      <c r="AK81" s="770">
        <f t="shared" si="34"/>
        <v>10.421765047578628</v>
      </c>
      <c r="AL81" s="770">
        <f t="shared" si="35"/>
        <v>17.213616725784018</v>
      </c>
      <c r="AM81" s="770">
        <f t="shared" si="36"/>
        <v>19.982220316337873</v>
      </c>
      <c r="AN81" s="770">
        <f t="shared" si="37"/>
        <v>22.486922825719976</v>
      </c>
      <c r="AO81" s="770">
        <f t="shared" si="38"/>
        <v>13.849922336710303</v>
      </c>
      <c r="AP81" s="770">
        <f t="shared" si="39"/>
        <v>15.656839271656999</v>
      </c>
      <c r="AQ81" s="770">
        <f t="shared" si="40"/>
        <v>15.670635775027941</v>
      </c>
      <c r="AR81" s="770">
        <f t="shared" si="41"/>
        <v>16.815230470598582</v>
      </c>
      <c r="AS81" s="770">
        <f t="shared" si="42"/>
        <v>14.876477628885954</v>
      </c>
      <c r="AT81" s="770">
        <f t="shared" si="43"/>
        <v>12.168522994230528</v>
      </c>
      <c r="AU81" s="770">
        <f t="shared" si="44"/>
        <v>10.383809253947527</v>
      </c>
      <c r="AV81" s="770">
        <f t="shared" si="45"/>
        <v>8.4672434751664074</v>
      </c>
      <c r="AW81" s="770">
        <f t="shared" si="46"/>
        <v>6.5025478335981832</v>
      </c>
      <c r="AX81" s="770">
        <f t="shared" si="47"/>
        <v>4.2127303872775173</v>
      </c>
      <c r="AY81" s="770">
        <f t="shared" si="48"/>
        <v>4.3277049924081759</v>
      </c>
      <c r="AZ81" s="770">
        <f t="shared" si="49"/>
        <v>4.8588743310809983</v>
      </c>
      <c r="BA81" s="770"/>
      <c r="BB81" s="770">
        <f t="shared" si="50"/>
        <v>12.368441479125604</v>
      </c>
    </row>
    <row r="82" spans="1:54" x14ac:dyDescent="0.75">
      <c r="A82" s="132" t="s">
        <v>238</v>
      </c>
      <c r="B82" s="132" t="str">
        <f>VLOOKUP(A82,'HCW + Staff Summary'!B:E,4,FALSE)</f>
        <v>Low income</v>
      </c>
      <c r="C82" s="770">
        <v>15.222819238748199</v>
      </c>
      <c r="D82" s="770">
        <v>24.070800298712101</v>
      </c>
      <c r="E82" s="770">
        <v>35.422831243076701</v>
      </c>
      <c r="F82" s="770">
        <v>39.976455528952599</v>
      </c>
      <c r="G82" s="770">
        <v>21.002753336957799</v>
      </c>
      <c r="H82" s="770">
        <v>18.590863222103302</v>
      </c>
      <c r="I82" s="770">
        <v>16.278216599325901</v>
      </c>
      <c r="J82" s="770">
        <v>15.723976996129901</v>
      </c>
      <c r="K82" s="770">
        <v>13.4987481497225</v>
      </c>
      <c r="L82" s="770">
        <v>10.678253157652399</v>
      </c>
      <c r="M82" s="770">
        <v>7.0191210285687999</v>
      </c>
      <c r="N82" s="770">
        <v>4.3210779627639599</v>
      </c>
      <c r="O82" s="770">
        <v>2.0556343701734399</v>
      </c>
      <c r="P82" s="770">
        <v>0.99013028842276296</v>
      </c>
      <c r="Q82" s="770">
        <v>0.64977087137586598</v>
      </c>
      <c r="R82" s="770">
        <v>0.39744402976716098</v>
      </c>
      <c r="S82" s="770"/>
      <c r="T82" s="770">
        <v>0.14227301321031663</v>
      </c>
      <c r="U82" s="770">
        <v>0.12801425875445585</v>
      </c>
      <c r="V82" s="770">
        <v>0.10243237576011742</v>
      </c>
      <c r="W82" s="770">
        <v>8.5028307821346197E-2</v>
      </c>
      <c r="X82" s="770">
        <v>8.7334871042147197E-2</v>
      </c>
      <c r="Y82" s="770">
        <v>8.5447682952400919E-2</v>
      </c>
      <c r="Z82" s="770">
        <v>8.2512057035017822E-2</v>
      </c>
      <c r="AA82" s="770">
        <v>6.3325644789264002E-2</v>
      </c>
      <c r="AB82" s="770">
        <v>4.959110924722164E-2</v>
      </c>
      <c r="AC82" s="770">
        <v>4.2985950933109668E-2</v>
      </c>
      <c r="AD82" s="770">
        <v>3.9001887188089744E-2</v>
      </c>
      <c r="AE82" s="770">
        <v>3.438876074648773E-2</v>
      </c>
      <c r="AF82" s="770">
        <v>2.5791570559865799E-2</v>
      </c>
      <c r="AG82" s="770">
        <v>1.4782973369679177E-2</v>
      </c>
      <c r="AH82" s="770">
        <v>8.1778150555672051E-3</v>
      </c>
      <c r="AI82" s="770">
        <v>4.1937513105472848E-3</v>
      </c>
      <c r="AJ82" s="770"/>
      <c r="AK82" s="770">
        <f t="shared" si="34"/>
        <v>6.6873272798074943</v>
      </c>
      <c r="AL82" s="770">
        <f t="shared" si="35"/>
        <v>11.752011325200453</v>
      </c>
      <c r="AM82" s="770">
        <f t="shared" si="36"/>
        <v>21.61354685238393</v>
      </c>
      <c r="AN82" s="770">
        <f t="shared" si="37"/>
        <v>29.384666525520181</v>
      </c>
      <c r="AO82" s="770">
        <f t="shared" si="38"/>
        <v>15.030331732285676</v>
      </c>
      <c r="AP82" s="770">
        <f t="shared" si="39"/>
        <v>13.598132930400407</v>
      </c>
      <c r="AQ82" s="770">
        <f t="shared" si="40"/>
        <v>12.330180267183168</v>
      </c>
      <c r="AR82" s="770">
        <f t="shared" si="41"/>
        <v>15.518966534466783</v>
      </c>
      <c r="AS82" s="770">
        <f t="shared" si="42"/>
        <v>17.012560762692019</v>
      </c>
      <c r="AT82" s="770">
        <f t="shared" si="43"/>
        <v>15.525789423428138</v>
      </c>
      <c r="AU82" s="770">
        <f t="shared" si="44"/>
        <v>11.248047105256925</v>
      </c>
      <c r="AV82" s="770">
        <f t="shared" si="45"/>
        <v>7.8533615870508102</v>
      </c>
      <c r="AW82" s="770">
        <f t="shared" si="46"/>
        <v>4.9813619468278123</v>
      </c>
      <c r="AX82" s="770">
        <f t="shared" si="47"/>
        <v>4.186109348837018</v>
      </c>
      <c r="AY82" s="770">
        <f t="shared" si="48"/>
        <v>4.9659571884479243</v>
      </c>
      <c r="AZ82" s="770">
        <f t="shared" si="49"/>
        <v>5.9231580561237207</v>
      </c>
      <c r="BA82" s="770"/>
      <c r="BB82" s="770">
        <f t="shared" si="50"/>
        <v>12.350719304119528</v>
      </c>
    </row>
    <row r="83" spans="1:54" x14ac:dyDescent="0.75">
      <c r="A83" s="132" t="s">
        <v>333</v>
      </c>
      <c r="B83" s="132" t="str">
        <f>VLOOKUP(A83,'HCW + Staff Summary'!B:E,4,FALSE)</f>
        <v>Upper middle income</v>
      </c>
      <c r="C83" s="770">
        <v>14.9018894678942</v>
      </c>
      <c r="D83" s="770">
        <v>31.259163527768401</v>
      </c>
      <c r="E83" s="770">
        <v>37.454917625690001</v>
      </c>
      <c r="F83" s="770">
        <v>32.055959107626201</v>
      </c>
      <c r="G83" s="770">
        <v>17.1897052590258</v>
      </c>
      <c r="H83" s="770">
        <v>17.5878166533344</v>
      </c>
      <c r="I83" s="770">
        <v>17.636309924797899</v>
      </c>
      <c r="J83" s="770">
        <v>17.652678650866001</v>
      </c>
      <c r="K83" s="770">
        <v>15.6116214989369</v>
      </c>
      <c r="L83" s="770">
        <v>11.494982887955301</v>
      </c>
      <c r="M83" s="770">
        <v>8.7243230756351409</v>
      </c>
      <c r="N83" s="770">
        <v>4.9784097578912103</v>
      </c>
      <c r="O83" s="770">
        <v>2.5213580237110298</v>
      </c>
      <c r="P83" s="770">
        <v>1.45293473897615</v>
      </c>
      <c r="Q83" s="770">
        <v>0.80809916739857801</v>
      </c>
      <c r="R83" s="770">
        <v>0.50256974982820701</v>
      </c>
      <c r="S83" s="770"/>
      <c r="T83" s="770">
        <v>9.7989949748743713E-2</v>
      </c>
      <c r="U83" s="770">
        <v>9.7989949748743713E-2</v>
      </c>
      <c r="V83" s="770">
        <v>9.5477386934673364E-2</v>
      </c>
      <c r="W83" s="770">
        <v>0.10050251256281408</v>
      </c>
      <c r="X83" s="770">
        <v>0.10050251256281408</v>
      </c>
      <c r="Y83" s="770">
        <v>9.0452261306532666E-2</v>
      </c>
      <c r="Z83" s="770">
        <v>8.0402010050251257E-2</v>
      </c>
      <c r="AA83" s="770">
        <v>6.78391959798995E-2</v>
      </c>
      <c r="AB83" s="770">
        <v>5.7788944723618091E-2</v>
      </c>
      <c r="AC83" s="770">
        <v>5.2763819095477386E-2</v>
      </c>
      <c r="AD83" s="770">
        <v>4.3969849246231159E-2</v>
      </c>
      <c r="AE83" s="770">
        <v>3.6180904522613064E-2</v>
      </c>
      <c r="AF83" s="770">
        <v>2.6381909547738693E-2</v>
      </c>
      <c r="AG83" s="770">
        <v>1.8341708542713567E-2</v>
      </c>
      <c r="AH83" s="770">
        <v>1.2562814070351759E-2</v>
      </c>
      <c r="AI83" s="770">
        <v>8.2914572864321613E-3</v>
      </c>
      <c r="AJ83" s="770"/>
      <c r="AK83" s="770">
        <f t="shared" si="34"/>
        <v>9.5047307824068792</v>
      </c>
      <c r="AL83" s="770">
        <f t="shared" si="35"/>
        <v>19.937735711621514</v>
      </c>
      <c r="AM83" s="770">
        <f t="shared" si="36"/>
        <v>24.518186208922074</v>
      </c>
      <c r="AN83" s="770">
        <f t="shared" si="37"/>
        <v>19.934799570055041</v>
      </c>
      <c r="AO83" s="770">
        <f t="shared" si="38"/>
        <v>10.689847957956669</v>
      </c>
      <c r="AP83" s="770">
        <f t="shared" si="39"/>
        <v>12.152692756991478</v>
      </c>
      <c r="AQ83" s="770">
        <f t="shared" si="40"/>
        <v>13.709475293104617</v>
      </c>
      <c r="AR83" s="770">
        <f t="shared" si="41"/>
        <v>16.263347460751547</v>
      </c>
      <c r="AS83" s="770">
        <f t="shared" si="42"/>
        <v>16.884308034176321</v>
      </c>
      <c r="AT83" s="770">
        <f t="shared" si="43"/>
        <v>13.616080920851815</v>
      </c>
      <c r="AU83" s="770">
        <f t="shared" si="44"/>
        <v>12.401002086081379</v>
      </c>
      <c r="AV83" s="770">
        <f t="shared" si="45"/>
        <v>8.5998571338572134</v>
      </c>
      <c r="AW83" s="770">
        <f t="shared" si="46"/>
        <v>5.9732172228392253</v>
      </c>
      <c r="AX83" s="770">
        <f t="shared" si="47"/>
        <v>4.9509248811002378</v>
      </c>
      <c r="AY83" s="770">
        <f t="shared" si="48"/>
        <v>4.0202933578079252</v>
      </c>
      <c r="AZ83" s="770">
        <f t="shared" si="49"/>
        <v>3.7883098566595903</v>
      </c>
      <c r="BA83" s="770"/>
      <c r="BB83" s="770">
        <f t="shared" si="50"/>
        <v>12.309050577198972</v>
      </c>
    </row>
    <row r="84" spans="1:54" x14ac:dyDescent="0.75">
      <c r="A84" s="132" t="s">
        <v>393</v>
      </c>
      <c r="B84" s="132" t="str">
        <f>VLOOKUP(A84,'HCW + Staff Summary'!B:E,4,FALSE)</f>
        <v>High income</v>
      </c>
      <c r="C84" s="770">
        <v>10.6968347753172</v>
      </c>
      <c r="D84" s="770">
        <v>12.8228691849064</v>
      </c>
      <c r="E84" s="770">
        <v>15.3593617351381</v>
      </c>
      <c r="F84" s="770">
        <v>13.301233453924199</v>
      </c>
      <c r="G84" s="770">
        <v>12.0596789352635</v>
      </c>
      <c r="H84" s="770">
        <v>14.456221044346</v>
      </c>
      <c r="I84" s="770">
        <v>16.144509113826501</v>
      </c>
      <c r="J84" s="770">
        <v>16.087124311809401</v>
      </c>
      <c r="K84" s="770">
        <v>19.1992801690212</v>
      </c>
      <c r="L84" s="770">
        <v>15.8704292526691</v>
      </c>
      <c r="M84" s="770">
        <v>15.3229731659144</v>
      </c>
      <c r="N84" s="770">
        <v>8.1655930550590003</v>
      </c>
      <c r="O84" s="770">
        <v>6.8847607766557202</v>
      </c>
      <c r="P84" s="770">
        <v>5.2127951751108696</v>
      </c>
      <c r="Q84" s="770">
        <v>3.0728506488529801</v>
      </c>
      <c r="R84" s="770">
        <v>1.6026047204728699</v>
      </c>
      <c r="S84" s="770"/>
      <c r="T84" s="770">
        <v>4.7584715212689255E-2</v>
      </c>
      <c r="U84" s="770">
        <v>5.4974765681326601E-2</v>
      </c>
      <c r="V84" s="770">
        <v>5.6056236481614993E-2</v>
      </c>
      <c r="W84" s="770">
        <v>5.3532804614275412E-2</v>
      </c>
      <c r="X84" s="770">
        <v>5.6596971881759189E-2</v>
      </c>
      <c r="Y84" s="770">
        <v>6.4888248017303529E-2</v>
      </c>
      <c r="Z84" s="770">
        <v>6.2725306416726745E-2</v>
      </c>
      <c r="AA84" s="770">
        <v>6.4888248017303529E-2</v>
      </c>
      <c r="AB84" s="770">
        <v>6.2364816149963948E-2</v>
      </c>
      <c r="AC84" s="770">
        <v>5.6596971881759189E-2</v>
      </c>
      <c r="AD84" s="770">
        <v>6.3266041816870941E-2</v>
      </c>
      <c r="AE84" s="770">
        <v>6.6690699351117516E-2</v>
      </c>
      <c r="AF84" s="770">
        <v>6.4347512617159333E-2</v>
      </c>
      <c r="AG84" s="770">
        <v>6.4347512617159333E-2</v>
      </c>
      <c r="AH84" s="770">
        <v>6.4527757750540732E-2</v>
      </c>
      <c r="AI84" s="770">
        <v>4.0555155010814706E-2</v>
      </c>
      <c r="AJ84" s="770"/>
      <c r="AK84" s="770">
        <f t="shared" si="34"/>
        <v>14.049725220989542</v>
      </c>
      <c r="AL84" s="770">
        <f t="shared" si="35"/>
        <v>14.578130786446867</v>
      </c>
      <c r="AM84" s="770">
        <f t="shared" si="36"/>
        <v>17.124947529450598</v>
      </c>
      <c r="AN84" s="770">
        <f t="shared" si="37"/>
        <v>15.529302020701065</v>
      </c>
      <c r="AO84" s="770">
        <f t="shared" si="38"/>
        <v>13.317495766887321</v>
      </c>
      <c r="AP84" s="770">
        <f t="shared" si="39"/>
        <v>13.924151797574932</v>
      </c>
      <c r="AQ84" s="770">
        <f t="shared" si="40"/>
        <v>16.086518779365917</v>
      </c>
      <c r="AR84" s="770">
        <f t="shared" si="41"/>
        <v>15.495028764221972</v>
      </c>
      <c r="AS84" s="770">
        <f t="shared" si="42"/>
        <v>19.240897105803761</v>
      </c>
      <c r="AT84" s="770">
        <f t="shared" si="43"/>
        <v>17.525704915168824</v>
      </c>
      <c r="AU84" s="770">
        <f t="shared" si="44"/>
        <v>15.137438590543642</v>
      </c>
      <c r="AV84" s="770">
        <f t="shared" si="45"/>
        <v>7.6524848428154284</v>
      </c>
      <c r="AW84" s="770">
        <f t="shared" si="46"/>
        <v>6.687089073684513</v>
      </c>
      <c r="AX84" s="770">
        <f t="shared" si="47"/>
        <v>5.0631280867498436</v>
      </c>
      <c r="AY84" s="770">
        <f t="shared" si="48"/>
        <v>2.9762876047200306</v>
      </c>
      <c r="AZ84" s="770">
        <f t="shared" si="49"/>
        <v>2.4697919414398566</v>
      </c>
      <c r="BA84" s="770"/>
      <c r="BB84" s="770">
        <f t="shared" si="50"/>
        <v>12.303632676660259</v>
      </c>
    </row>
    <row r="85" spans="1:54" x14ac:dyDescent="0.75">
      <c r="A85" s="132" t="s">
        <v>362</v>
      </c>
      <c r="B85" s="132" t="str">
        <f>VLOOKUP(A85,'HCW + Staff Summary'!B:E,4,FALSE)</f>
        <v>High income</v>
      </c>
      <c r="C85" s="770">
        <v>9.0883605218501398</v>
      </c>
      <c r="D85" s="770">
        <v>13.8362961067418</v>
      </c>
      <c r="E85" s="770">
        <v>17.787799146670501</v>
      </c>
      <c r="F85" s="770">
        <v>22.681313323717799</v>
      </c>
      <c r="G85" s="770">
        <v>17.512594605283599</v>
      </c>
      <c r="H85" s="770">
        <v>20.407961637075701</v>
      </c>
      <c r="I85" s="770">
        <v>20.225481949658398</v>
      </c>
      <c r="J85" s="770">
        <v>19.555618123489001</v>
      </c>
      <c r="K85" s="770">
        <v>18.442112475272101</v>
      </c>
      <c r="L85" s="770">
        <v>14.447928082795</v>
      </c>
      <c r="M85" s="770">
        <v>11.569087255402801</v>
      </c>
      <c r="N85" s="770">
        <v>6.9114521676931897</v>
      </c>
      <c r="O85" s="770">
        <v>4.59724878522041</v>
      </c>
      <c r="P85" s="770">
        <v>3.6645368865636798</v>
      </c>
      <c r="Q85" s="770">
        <v>2.3673718575835401</v>
      </c>
      <c r="R85" s="770">
        <v>1.38376048636802</v>
      </c>
      <c r="S85" s="770"/>
      <c r="T85" s="770">
        <v>5.3024026512013253E-2</v>
      </c>
      <c r="U85" s="770">
        <v>5.6338028169014086E-2</v>
      </c>
      <c r="V85" s="770">
        <v>5.6338028169014086E-2</v>
      </c>
      <c r="W85" s="770">
        <v>6.0480530240265118E-2</v>
      </c>
      <c r="X85" s="770">
        <v>7.7879038939519474E-2</v>
      </c>
      <c r="Y85" s="770">
        <v>8.1193040596520299E-2</v>
      </c>
      <c r="Z85" s="770">
        <v>8.0364540182270086E-2</v>
      </c>
      <c r="AA85" s="770">
        <v>7.6222038111019061E-2</v>
      </c>
      <c r="AB85" s="770">
        <v>7.2079536039768022E-2</v>
      </c>
      <c r="AC85" s="770">
        <v>6.5451532725766357E-2</v>
      </c>
      <c r="AD85" s="770">
        <v>6.2966031483015744E-2</v>
      </c>
      <c r="AE85" s="770">
        <v>5.9652029826014911E-2</v>
      </c>
      <c r="AF85" s="770">
        <v>5.3024026512013253E-2</v>
      </c>
      <c r="AG85" s="770">
        <v>4.5567522783761395E-2</v>
      </c>
      <c r="AH85" s="770">
        <v>3.811101905550953E-2</v>
      </c>
      <c r="AI85" s="770">
        <v>2.7340513670256836E-2</v>
      </c>
      <c r="AJ85" s="770"/>
      <c r="AK85" s="770">
        <f t="shared" si="34"/>
        <v>10.712549951047968</v>
      </c>
      <c r="AL85" s="770">
        <f t="shared" si="35"/>
        <v>15.349640993416685</v>
      </c>
      <c r="AM85" s="770">
        <f t="shared" si="36"/>
        <v>19.733339678337586</v>
      </c>
      <c r="AN85" s="770">
        <f t="shared" si="37"/>
        <v>23.438651696684403</v>
      </c>
      <c r="AO85" s="770">
        <f t="shared" si="38"/>
        <v>14.054322931234909</v>
      </c>
      <c r="AP85" s="770">
        <f t="shared" si="39"/>
        <v>15.709444959152021</v>
      </c>
      <c r="AQ85" s="770">
        <f t="shared" si="40"/>
        <v>15.729482418323252</v>
      </c>
      <c r="AR85" s="770">
        <f t="shared" si="41"/>
        <v>16.03507545859458</v>
      </c>
      <c r="AS85" s="770">
        <f t="shared" si="42"/>
        <v>15.991113331647576</v>
      </c>
      <c r="AT85" s="770">
        <f t="shared" si="43"/>
        <v>13.796399680327189</v>
      </c>
      <c r="AU85" s="770">
        <f t="shared" si="44"/>
        <v>11.483460787229589</v>
      </c>
      <c r="AV85" s="770">
        <f t="shared" si="45"/>
        <v>7.241426012504931</v>
      </c>
      <c r="AW85" s="770">
        <f t="shared" si="46"/>
        <v>5.4188274255478861</v>
      </c>
      <c r="AX85" s="770">
        <f t="shared" si="47"/>
        <v>5.026245479639047</v>
      </c>
      <c r="AY85" s="770">
        <f t="shared" si="48"/>
        <v>3.8823611849230062</v>
      </c>
      <c r="AZ85" s="770">
        <f t="shared" si="49"/>
        <v>3.1632555057693184</v>
      </c>
      <c r="BA85" s="770"/>
      <c r="BB85" s="770">
        <f t="shared" si="50"/>
        <v>12.297849843398748</v>
      </c>
    </row>
    <row r="86" spans="1:54" x14ac:dyDescent="0.75">
      <c r="A86" s="132" t="s">
        <v>219</v>
      </c>
      <c r="B86" s="132" t="str">
        <f>VLOOKUP(A86,'HCW + Staff Summary'!B:E,4,FALSE)</f>
        <v>Lower middle income</v>
      </c>
      <c r="C86" s="770">
        <v>13.3242263837537</v>
      </c>
      <c r="D86" s="770">
        <v>24.609854506485899</v>
      </c>
      <c r="E86" s="770">
        <v>30.864506552282698</v>
      </c>
      <c r="F86" s="770">
        <v>29.553577243747501</v>
      </c>
      <c r="G86" s="770">
        <v>18.6327359130477</v>
      </c>
      <c r="H86" s="770">
        <v>18.925150845235201</v>
      </c>
      <c r="I86" s="770">
        <v>18.2068464985195</v>
      </c>
      <c r="J86" s="770">
        <v>17.507589675672101</v>
      </c>
      <c r="K86" s="770">
        <v>15.892980396418</v>
      </c>
      <c r="L86" s="770">
        <v>12.8477705358692</v>
      </c>
      <c r="M86" s="770">
        <v>10.0713859702773</v>
      </c>
      <c r="N86" s="770">
        <v>6.17911422226135</v>
      </c>
      <c r="O86" s="770">
        <v>3.1946292191036898</v>
      </c>
      <c r="P86" s="770">
        <v>1.43993906705008</v>
      </c>
      <c r="Q86" s="770">
        <v>0.77175152767813704</v>
      </c>
      <c r="R86" s="770">
        <v>0.48340064385127401</v>
      </c>
      <c r="S86" s="770"/>
      <c r="T86" s="770">
        <v>0.10160198749250407</v>
      </c>
      <c r="U86" s="770">
        <v>0.10100231303006939</v>
      </c>
      <c r="V86" s="770">
        <v>9.946029298380879E-2</v>
      </c>
      <c r="W86" s="770">
        <v>9.7404266255461322E-2</v>
      </c>
      <c r="X86" s="770">
        <v>9.1236186070418918E-2</v>
      </c>
      <c r="Y86" s="770">
        <v>8.3440418058768104E-2</v>
      </c>
      <c r="Z86" s="770">
        <v>7.4616636682943549E-2</v>
      </c>
      <c r="AA86" s="770">
        <v>6.5792855307118994E-2</v>
      </c>
      <c r="AB86" s="770">
        <v>5.7226077272337875E-2</v>
      </c>
      <c r="AC86" s="770">
        <v>4.8830634798252379E-2</v>
      </c>
      <c r="AD86" s="770">
        <v>4.112053456694937E-2</v>
      </c>
      <c r="AE86" s="770">
        <v>3.4524115480167906E-2</v>
      </c>
      <c r="AF86" s="770">
        <v>2.8784374196864561E-2</v>
      </c>
      <c r="AG86" s="770">
        <v>2.3901310717039322E-2</v>
      </c>
      <c r="AH86" s="770">
        <v>1.9275250578257519E-2</v>
      </c>
      <c r="AI86" s="770">
        <v>1.4306519318084469E-2</v>
      </c>
      <c r="AJ86" s="770"/>
      <c r="AK86" s="770">
        <f t="shared" si="34"/>
        <v>8.196337193168052</v>
      </c>
      <c r="AL86" s="770">
        <f t="shared" si="35"/>
        <v>15.228521610168039</v>
      </c>
      <c r="AM86" s="770">
        <f t="shared" si="36"/>
        <v>19.394992731739659</v>
      </c>
      <c r="AN86" s="770">
        <f t="shared" si="37"/>
        <v>18.963220490669777</v>
      </c>
      <c r="AO86" s="770">
        <f t="shared" si="38"/>
        <v>12.764080182688133</v>
      </c>
      <c r="AP86" s="770">
        <f t="shared" si="39"/>
        <v>14.175647190479369</v>
      </c>
      <c r="AQ86" s="770">
        <f t="shared" si="40"/>
        <v>15.250324280799234</v>
      </c>
      <c r="AR86" s="770">
        <f t="shared" si="41"/>
        <v>16.631355329111361</v>
      </c>
      <c r="AS86" s="770">
        <f t="shared" si="42"/>
        <v>17.357668428834891</v>
      </c>
      <c r="AT86" s="770">
        <f t="shared" si="43"/>
        <v>16.444301037851005</v>
      </c>
      <c r="AU86" s="770">
        <f t="shared" si="44"/>
        <v>15.307719847792567</v>
      </c>
      <c r="AV86" s="770">
        <f t="shared" si="45"/>
        <v>11.18622833691947</v>
      </c>
      <c r="AW86" s="770">
        <f t="shared" si="46"/>
        <v>6.9365526180426658</v>
      </c>
      <c r="AX86" s="770">
        <f t="shared" si="47"/>
        <v>3.7653245362176486</v>
      </c>
      <c r="AY86" s="770">
        <f t="shared" si="48"/>
        <v>2.5024043284963593</v>
      </c>
      <c r="AZ86" s="770">
        <f t="shared" si="49"/>
        <v>2.111802288800869</v>
      </c>
      <c r="BA86" s="770"/>
      <c r="BB86" s="770">
        <f t="shared" si="50"/>
        <v>12.263530026986194</v>
      </c>
    </row>
    <row r="87" spans="1:54" x14ac:dyDescent="0.75">
      <c r="A87" s="132" t="s">
        <v>258</v>
      </c>
      <c r="B87" s="132" t="str">
        <f>VLOOKUP(A87,'HCW + Staff Summary'!B:E,4,FALSE)</f>
        <v>Lower middle income</v>
      </c>
      <c r="C87" s="770">
        <v>18.5723630962624</v>
      </c>
      <c r="D87" s="770">
        <v>30.619896021221301</v>
      </c>
      <c r="E87" s="770">
        <v>33.428446193903703</v>
      </c>
      <c r="F87" s="770">
        <v>30.886318179579099</v>
      </c>
      <c r="G87" s="770">
        <v>18.735367988765301</v>
      </c>
      <c r="H87" s="770">
        <v>17.714526864665</v>
      </c>
      <c r="I87" s="770">
        <v>16.4109757758639</v>
      </c>
      <c r="J87" s="770">
        <v>15.6507082114976</v>
      </c>
      <c r="K87" s="770">
        <v>13.4372505277932</v>
      </c>
      <c r="L87" s="770">
        <v>10.6976242072717</v>
      </c>
      <c r="M87" s="770">
        <v>8.3890230492998796</v>
      </c>
      <c r="N87" s="770">
        <v>5.79918575959584</v>
      </c>
      <c r="O87" s="770">
        <v>3.36769545015005</v>
      </c>
      <c r="P87" s="770">
        <v>1.33457864932391</v>
      </c>
      <c r="Q87" s="770">
        <v>0.28885270810489</v>
      </c>
      <c r="R87" s="770">
        <v>0.19758150241255701</v>
      </c>
      <c r="S87" s="770"/>
      <c r="T87" s="770">
        <v>0.13680781758957655</v>
      </c>
      <c r="U87" s="770">
        <v>0.12703583061889251</v>
      </c>
      <c r="V87" s="770">
        <v>0.12052117263843648</v>
      </c>
      <c r="W87" s="770">
        <v>9.7719869706840393E-2</v>
      </c>
      <c r="X87" s="770">
        <v>8.4690553745928335E-2</v>
      </c>
      <c r="Y87" s="770">
        <v>8.143322475570032E-2</v>
      </c>
      <c r="Z87" s="770">
        <v>7.4918566775244305E-2</v>
      </c>
      <c r="AA87" s="770">
        <v>5.8631921824104233E-2</v>
      </c>
      <c r="AB87" s="770">
        <v>5.2442996742671007E-2</v>
      </c>
      <c r="AC87" s="770">
        <v>4.267100977198697E-2</v>
      </c>
      <c r="AD87" s="770">
        <v>3.7785016286644948E-2</v>
      </c>
      <c r="AE87" s="770">
        <v>2.8990228013029317E-2</v>
      </c>
      <c r="AF87" s="770">
        <v>2.2149837133550489E-2</v>
      </c>
      <c r="AG87" s="770">
        <v>1.530944625407166E-2</v>
      </c>
      <c r="AH87" s="770">
        <v>1.0423452768729642E-2</v>
      </c>
      <c r="AI87" s="770">
        <v>5.5374592833876222E-3</v>
      </c>
      <c r="AJ87" s="770"/>
      <c r="AK87" s="770">
        <f t="shared" si="34"/>
        <v>8.4846956407032099</v>
      </c>
      <c r="AL87" s="770">
        <f t="shared" si="35"/>
        <v>15.064596279671377</v>
      </c>
      <c r="AM87" s="770">
        <f t="shared" si="36"/>
        <v>17.335359766095333</v>
      </c>
      <c r="AN87" s="770">
        <f t="shared" si="37"/>
        <v>19.754374335689132</v>
      </c>
      <c r="AO87" s="770">
        <f t="shared" si="38"/>
        <v>13.826341280170547</v>
      </c>
      <c r="AP87" s="770">
        <f t="shared" si="39"/>
        <v>13.595899368630388</v>
      </c>
      <c r="AQ87" s="770">
        <f t="shared" si="40"/>
        <v>13.69067816084298</v>
      </c>
      <c r="AR87" s="770">
        <f t="shared" si="41"/>
        <v>16.683220211561679</v>
      </c>
      <c r="AS87" s="770">
        <f t="shared" si="42"/>
        <v>16.014114565343604</v>
      </c>
      <c r="AT87" s="770">
        <f t="shared" si="43"/>
        <v>15.668753013513415</v>
      </c>
      <c r="AU87" s="770">
        <f t="shared" si="44"/>
        <v>13.876239634348401</v>
      </c>
      <c r="AV87" s="770">
        <f t="shared" si="45"/>
        <v>12.502458063173615</v>
      </c>
      <c r="AW87" s="770">
        <f t="shared" si="46"/>
        <v>9.5025965367285412</v>
      </c>
      <c r="AX87" s="770">
        <f t="shared" si="47"/>
        <v>5.448346347638835</v>
      </c>
      <c r="AY87" s="770">
        <f t="shared" si="48"/>
        <v>1.7319879177383053</v>
      </c>
      <c r="AZ87" s="770">
        <f t="shared" si="49"/>
        <v>2.2300559279652572</v>
      </c>
      <c r="BA87" s="770"/>
      <c r="BB87" s="770">
        <f t="shared" si="50"/>
        <v>12.213107315613414</v>
      </c>
    </row>
    <row r="88" spans="1:54" x14ac:dyDescent="0.75">
      <c r="A88" s="132" t="s">
        <v>557</v>
      </c>
      <c r="B88" s="132" t="str">
        <f>VLOOKUP(A88,'HCW + Staff Summary'!B:E,4,FALSE)</f>
        <v>High income</v>
      </c>
      <c r="C88" s="770">
        <v>8.8651643922710903</v>
      </c>
      <c r="D88" s="770">
        <v>15.571761646236199</v>
      </c>
      <c r="E88" s="770">
        <v>20.229695294864101</v>
      </c>
      <c r="F88" s="770">
        <v>24.228711980891099</v>
      </c>
      <c r="G88" s="770">
        <v>15.090999155260601</v>
      </c>
      <c r="H88" s="770">
        <v>16.3668402207154</v>
      </c>
      <c r="I88" s="770">
        <v>16.957956703231101</v>
      </c>
      <c r="J88" s="770">
        <v>17.782866118731899</v>
      </c>
      <c r="K88" s="770">
        <v>17.332615604824099</v>
      </c>
      <c r="L88" s="770">
        <v>14.352555992096301</v>
      </c>
      <c r="M88" s="770">
        <v>11.620549198686</v>
      </c>
      <c r="N88" s="770">
        <v>7.8236717610901296</v>
      </c>
      <c r="O88" s="770">
        <v>4.7491403963379</v>
      </c>
      <c r="P88" s="770">
        <v>3.3084194225927201</v>
      </c>
      <c r="Q88" s="770">
        <v>2.0910887994573</v>
      </c>
      <c r="R88" s="770">
        <v>1.2878357832173499</v>
      </c>
      <c r="S88" s="770"/>
      <c r="T88" s="770">
        <v>5.9445942485274843E-2</v>
      </c>
      <c r="U88" s="770">
        <v>6.0560685717728935E-2</v>
      </c>
      <c r="V88" s="770">
        <v>6.3712094964072125E-2</v>
      </c>
      <c r="W88" s="770">
        <v>6.4176069174336797E-2</v>
      </c>
      <c r="X88" s="770">
        <v>6.724613229290631E-2</v>
      </c>
      <c r="Y88" s="770">
        <v>7.2009399996987175E-2</v>
      </c>
      <c r="Z88" s="770">
        <v>6.9644336652456201E-2</v>
      </c>
      <c r="AA88" s="770">
        <v>6.5305876504526766E-2</v>
      </c>
      <c r="AB88" s="770">
        <v>6.1310877784975071E-2</v>
      </c>
      <c r="AC88" s="770">
        <v>6.0584788274106322E-2</v>
      </c>
      <c r="AD88" s="770">
        <v>6.216953135591944E-2</v>
      </c>
      <c r="AE88" s="770">
        <v>6.5082927858035947E-2</v>
      </c>
      <c r="AF88" s="770">
        <v>6.2446710754259373E-2</v>
      </c>
      <c r="AG88" s="770">
        <v>5.3836072488438302E-2</v>
      </c>
      <c r="AH88" s="770">
        <v>4.3369537381558534E-2</v>
      </c>
      <c r="AI88" s="770">
        <v>2.939005468267478E-2</v>
      </c>
      <c r="AJ88" s="770"/>
      <c r="AK88" s="770">
        <f t="shared" si="34"/>
        <v>9.3206155265212711</v>
      </c>
      <c r="AL88" s="770">
        <f t="shared" si="35"/>
        <v>16.070410883819488</v>
      </c>
      <c r="AM88" s="770">
        <f t="shared" si="36"/>
        <v>19.844834118890439</v>
      </c>
      <c r="AN88" s="770">
        <f t="shared" si="37"/>
        <v>23.595937212858168</v>
      </c>
      <c r="AO88" s="770">
        <f t="shared" si="38"/>
        <v>14.025898814455429</v>
      </c>
      <c r="AP88" s="770">
        <f t="shared" si="39"/>
        <v>14.205471977790554</v>
      </c>
      <c r="AQ88" s="770">
        <f t="shared" si="40"/>
        <v>15.218355790234446</v>
      </c>
      <c r="AR88" s="770">
        <f t="shared" si="41"/>
        <v>17.018822683494701</v>
      </c>
      <c r="AS88" s="770">
        <f t="shared" si="42"/>
        <v>17.668781045685474</v>
      </c>
      <c r="AT88" s="770">
        <f t="shared" si="43"/>
        <v>14.806270271136816</v>
      </c>
      <c r="AU88" s="770">
        <f t="shared" si="44"/>
        <v>11.682319442942402</v>
      </c>
      <c r="AV88" s="770">
        <f t="shared" si="45"/>
        <v>7.5131758997495321</v>
      </c>
      <c r="AW88" s="770">
        <f t="shared" si="46"/>
        <v>4.7531931015417515</v>
      </c>
      <c r="AX88" s="770">
        <f t="shared" si="47"/>
        <v>3.8408487906775099</v>
      </c>
      <c r="AY88" s="770">
        <f t="shared" si="48"/>
        <v>3.0134757679396911</v>
      </c>
      <c r="AZ88" s="770">
        <f t="shared" si="49"/>
        <v>2.7386725652651633</v>
      </c>
      <c r="BA88" s="770"/>
      <c r="BB88" s="770">
        <f t="shared" si="50"/>
        <v>12.207317743312677</v>
      </c>
    </row>
    <row r="89" spans="1:54" x14ac:dyDescent="0.75">
      <c r="A89" s="132" t="s">
        <v>184</v>
      </c>
      <c r="B89" s="132" t="str">
        <f>VLOOKUP(A89,'HCW + Staff Summary'!B:E,4,FALSE)</f>
        <v>Upper middle income</v>
      </c>
      <c r="C89" s="770">
        <v>13.7222465243191</v>
      </c>
      <c r="D89" s="770">
        <v>26.2823911629742</v>
      </c>
      <c r="E89" s="770">
        <v>34.877276236701597</v>
      </c>
      <c r="F89" s="770">
        <v>29.214229554734601</v>
      </c>
      <c r="G89" s="770">
        <v>21.556510105775999</v>
      </c>
      <c r="H89" s="770">
        <v>20.3839128049731</v>
      </c>
      <c r="I89" s="770">
        <v>18.609955005693301</v>
      </c>
      <c r="J89" s="770">
        <v>16.732890380945101</v>
      </c>
      <c r="K89" s="770">
        <v>13.5411671833086</v>
      </c>
      <c r="L89" s="770">
        <v>9.9311633754156006</v>
      </c>
      <c r="M89" s="770">
        <v>7.90567979430128</v>
      </c>
      <c r="N89" s="770">
        <v>4.79702371853723</v>
      </c>
      <c r="O89" s="770">
        <v>2.4194069434605701</v>
      </c>
      <c r="P89" s="770">
        <v>1.42957379974665</v>
      </c>
      <c r="Q89" s="770">
        <v>0.84880161905491702</v>
      </c>
      <c r="R89" s="770">
        <v>1.02865948206266</v>
      </c>
      <c r="S89" s="770"/>
      <c r="T89" s="770">
        <v>0.11564625850340136</v>
      </c>
      <c r="U89" s="770">
        <v>0.11352040816326531</v>
      </c>
      <c r="V89" s="770">
        <v>0.10501700680272109</v>
      </c>
      <c r="W89" s="770">
        <v>9.5663265306122444E-2</v>
      </c>
      <c r="X89" s="770">
        <v>8.673469387755102E-2</v>
      </c>
      <c r="Y89" s="770">
        <v>8.4608843537414963E-2</v>
      </c>
      <c r="Z89" s="770">
        <v>7.950680272108844E-2</v>
      </c>
      <c r="AA89" s="770">
        <v>7.5680272108843538E-2</v>
      </c>
      <c r="AB89" s="770">
        <v>6.3350340136054423E-2</v>
      </c>
      <c r="AC89" s="770">
        <v>4.7619047619047616E-2</v>
      </c>
      <c r="AD89" s="770">
        <v>3.4438775510204078E-2</v>
      </c>
      <c r="AE89" s="770">
        <v>2.8061224489795918E-2</v>
      </c>
      <c r="AF89" s="770">
        <v>2.5085034013605442E-2</v>
      </c>
      <c r="AG89" s="770">
        <v>1.9557823129251702E-2</v>
      </c>
      <c r="AH89" s="770">
        <v>1.2329931972789115E-2</v>
      </c>
      <c r="AI89" s="770">
        <v>8.2482993197278906E-3</v>
      </c>
      <c r="AJ89" s="770"/>
      <c r="AK89" s="770">
        <f t="shared" si="34"/>
        <v>7.416067055422455</v>
      </c>
      <c r="AL89" s="770">
        <f t="shared" si="35"/>
        <v>14.470080527929616</v>
      </c>
      <c r="AM89" s="770">
        <f t="shared" si="36"/>
        <v>20.756921485000543</v>
      </c>
      <c r="AN89" s="770">
        <f t="shared" si="37"/>
        <v>19.086629975759941</v>
      </c>
      <c r="AO89" s="770">
        <f t="shared" si="38"/>
        <v>15.533367576220941</v>
      </c>
      <c r="AP89" s="770">
        <f t="shared" si="39"/>
        <v>15.0574632277942</v>
      </c>
      <c r="AQ89" s="770">
        <f t="shared" si="40"/>
        <v>14.629215967042327</v>
      </c>
      <c r="AR89" s="770">
        <f t="shared" si="41"/>
        <v>13.81873531460073</v>
      </c>
      <c r="AS89" s="770">
        <f t="shared" si="42"/>
        <v>13.359406549975599</v>
      </c>
      <c r="AT89" s="770">
        <f t="shared" si="43"/>
        <v>13.034651930232977</v>
      </c>
      <c r="AU89" s="770">
        <f t="shared" si="44"/>
        <v>14.347344811880102</v>
      </c>
      <c r="AV89" s="770">
        <f t="shared" si="45"/>
        <v>10.684280100378375</v>
      </c>
      <c r="AW89" s="770">
        <f t="shared" si="46"/>
        <v>6.0280139099780303</v>
      </c>
      <c r="AX89" s="770">
        <f t="shared" si="47"/>
        <v>4.568420620929512</v>
      </c>
      <c r="AY89" s="770">
        <f t="shared" si="48"/>
        <v>4.3025461379680277</v>
      </c>
      <c r="AZ89" s="770">
        <f t="shared" si="49"/>
        <v>7.7944816424335581</v>
      </c>
      <c r="BA89" s="770"/>
      <c r="BB89" s="770">
        <f t="shared" si="50"/>
        <v>12.180476677096683</v>
      </c>
    </row>
    <row r="90" spans="1:54" x14ac:dyDescent="0.75">
      <c r="A90" s="132" t="s">
        <v>337</v>
      </c>
      <c r="B90" s="132" t="str">
        <f>VLOOKUP(A90,'HCW + Staff Summary'!B:E,4,FALSE)</f>
        <v>Upper middle income</v>
      </c>
      <c r="C90" s="770">
        <v>9.6339600698275305</v>
      </c>
      <c r="D90" s="770">
        <v>21.4206862307067</v>
      </c>
      <c r="E90" s="770">
        <v>27.950348013560099</v>
      </c>
      <c r="F90" s="770">
        <v>30.508814033125098</v>
      </c>
      <c r="G90" s="770">
        <v>19.202905946454301</v>
      </c>
      <c r="H90" s="770">
        <v>19.905196300363301</v>
      </c>
      <c r="I90" s="770">
        <v>19.267911907678702</v>
      </c>
      <c r="J90" s="770">
        <v>18.484394361860499</v>
      </c>
      <c r="K90" s="770">
        <v>16.7879566551387</v>
      </c>
      <c r="L90" s="770">
        <v>12.8428827946104</v>
      </c>
      <c r="M90" s="770">
        <v>9.5028758483293991</v>
      </c>
      <c r="N90" s="770">
        <v>5.7894462899157197</v>
      </c>
      <c r="O90" s="770">
        <v>3.1841974528505999</v>
      </c>
      <c r="P90" s="770">
        <v>2.0592671665063098</v>
      </c>
      <c r="Q90" s="770">
        <v>1.2092825385582699</v>
      </c>
      <c r="R90" s="770">
        <v>0.73462600337728101</v>
      </c>
      <c r="S90" s="770"/>
      <c r="T90" s="770">
        <v>6.8098739644051776E-2</v>
      </c>
      <c r="U90" s="770">
        <v>6.869622081398577E-2</v>
      </c>
      <c r="V90" s="770">
        <v>7.0295776701998033E-2</v>
      </c>
      <c r="W90" s="770">
        <v>7.6298815858185251E-2</v>
      </c>
      <c r="X90" s="770">
        <v>8.0692889974077781E-2</v>
      </c>
      <c r="Y90" s="770">
        <v>7.9756679321976484E-2</v>
      </c>
      <c r="Z90" s="770">
        <v>8.0674071669512931E-2</v>
      </c>
      <c r="AA90" s="770">
        <v>8.1525599951072406E-2</v>
      </c>
      <c r="AB90" s="770">
        <v>7.3683071523671081E-2</v>
      </c>
      <c r="AC90" s="770">
        <v>6.4927855324874509E-2</v>
      </c>
      <c r="AD90" s="770">
        <v>6.0326779858768623E-2</v>
      </c>
      <c r="AE90" s="770">
        <v>5.4563674085783241E-2</v>
      </c>
      <c r="AF90" s="770">
        <v>4.4542926905000495E-2</v>
      </c>
      <c r="AG90" s="770">
        <v>3.4945591576926879E-2</v>
      </c>
      <c r="AH90" s="770">
        <v>2.4976594733697469E-2</v>
      </c>
      <c r="AI90" s="770">
        <v>1.6428379885114249E-2</v>
      </c>
      <c r="AJ90" s="770"/>
      <c r="AK90" s="770">
        <f t="shared" si="34"/>
        <v>8.8419037931022011</v>
      </c>
      <c r="AL90" s="770">
        <f t="shared" si="35"/>
        <v>19.488595930834752</v>
      </c>
      <c r="AM90" s="770">
        <f t="shared" si="36"/>
        <v>24.850664332980529</v>
      </c>
      <c r="AN90" s="770">
        <f t="shared" si="37"/>
        <v>24.99122503571278</v>
      </c>
      <c r="AO90" s="770">
        <f t="shared" si="38"/>
        <v>14.87344947044215</v>
      </c>
      <c r="AP90" s="770">
        <f t="shared" si="39"/>
        <v>15.598377206132112</v>
      </c>
      <c r="AQ90" s="770">
        <f t="shared" si="40"/>
        <v>14.927280467052562</v>
      </c>
      <c r="AR90" s="770">
        <f t="shared" si="41"/>
        <v>14.170697895012356</v>
      </c>
      <c r="AS90" s="770">
        <f t="shared" si="42"/>
        <v>14.240004783311624</v>
      </c>
      <c r="AT90" s="770">
        <f t="shared" si="43"/>
        <v>12.362647289777877</v>
      </c>
      <c r="AU90" s="770">
        <f t="shared" si="44"/>
        <v>9.8452087432984126</v>
      </c>
      <c r="AV90" s="770">
        <f t="shared" si="45"/>
        <v>6.6315254458645647</v>
      </c>
      <c r="AW90" s="770">
        <f t="shared" si="46"/>
        <v>4.467877497758705</v>
      </c>
      <c r="AX90" s="770">
        <f t="shared" si="47"/>
        <v>3.6829880994666691</v>
      </c>
      <c r="AY90" s="770">
        <f t="shared" si="48"/>
        <v>3.0260393566750716</v>
      </c>
      <c r="AZ90" s="770">
        <f t="shared" si="49"/>
        <v>2.7948054240383642</v>
      </c>
      <c r="BA90" s="770"/>
      <c r="BB90" s="770">
        <f t="shared" si="50"/>
        <v>12.174580673216294</v>
      </c>
    </row>
    <row r="91" spans="1:54" x14ac:dyDescent="0.75">
      <c r="A91" s="132" t="s">
        <v>228</v>
      </c>
      <c r="B91" s="132" t="str">
        <f>VLOOKUP(A91,'HCW + Staff Summary'!B:E,4,FALSE)</f>
        <v>Upper middle income</v>
      </c>
      <c r="C91" s="770">
        <v>12.9020619618565</v>
      </c>
      <c r="D91" s="770">
        <v>23.632735152385798</v>
      </c>
      <c r="E91" s="770">
        <v>29.714833950935201</v>
      </c>
      <c r="F91" s="770">
        <v>31.040221184564601</v>
      </c>
      <c r="G91" s="770">
        <v>20.235161282853099</v>
      </c>
      <c r="H91" s="770">
        <v>20.242552509828698</v>
      </c>
      <c r="I91" s="770">
        <v>18.5487238349228</v>
      </c>
      <c r="J91" s="770">
        <v>17.258621968206199</v>
      </c>
      <c r="K91" s="770">
        <v>15.6579698112887</v>
      </c>
      <c r="L91" s="770">
        <v>12.345578488290499</v>
      </c>
      <c r="M91" s="770">
        <v>9.2432537784236999</v>
      </c>
      <c r="N91" s="770">
        <v>5.7878817884957297</v>
      </c>
      <c r="O91" s="770">
        <v>3.0081713270668802</v>
      </c>
      <c r="P91" s="770">
        <v>1.58930992124601</v>
      </c>
      <c r="Q91" s="770">
        <v>0.88934011695958204</v>
      </c>
      <c r="R91" s="770">
        <v>0.53119754463586899</v>
      </c>
      <c r="S91" s="770"/>
      <c r="T91" s="770">
        <v>9.82756203560914E-2</v>
      </c>
      <c r="U91" s="770">
        <v>9.5752137950371519E-2</v>
      </c>
      <c r="V91" s="770">
        <v>9.4910977148464887E-2</v>
      </c>
      <c r="W91" s="770">
        <v>9.2387494742744991E-2</v>
      </c>
      <c r="X91" s="770">
        <v>9.4910977148464887E-2</v>
      </c>
      <c r="Y91" s="770">
        <v>9.0144399270993977E-2</v>
      </c>
      <c r="Z91" s="770">
        <v>8.3415112855740922E-2</v>
      </c>
      <c r="AA91" s="770">
        <v>7.2059442030001405E-2</v>
      </c>
      <c r="AB91" s="770">
        <v>5.7058741062666479E-2</v>
      </c>
      <c r="AC91" s="770">
        <v>4.5002102902004765E-2</v>
      </c>
      <c r="AD91" s="770">
        <v>4.0796298892471612E-2</v>
      </c>
      <c r="AE91" s="770">
        <v>3.6169914481985137E-2</v>
      </c>
      <c r="AF91" s="770">
        <v>3.0842562736576474E-2</v>
      </c>
      <c r="AG91" s="770">
        <v>2.5515210991167811E-2</v>
      </c>
      <c r="AH91" s="770">
        <v>1.7804570307023693E-2</v>
      </c>
      <c r="AI91" s="770">
        <v>1.2196831627646152E-2</v>
      </c>
      <c r="AJ91" s="770"/>
      <c r="AK91" s="770">
        <f t="shared" si="34"/>
        <v>8.2052788849788172</v>
      </c>
      <c r="AL91" s="770">
        <f t="shared" si="35"/>
        <v>15.425722899155188</v>
      </c>
      <c r="AM91" s="770">
        <f t="shared" si="36"/>
        <v>19.567569292099407</v>
      </c>
      <c r="AN91" s="770">
        <f t="shared" si="37"/>
        <v>20.998662529353119</v>
      </c>
      <c r="AO91" s="770">
        <f t="shared" si="38"/>
        <v>13.325092820401693</v>
      </c>
      <c r="AP91" s="770">
        <f t="shared" si="39"/>
        <v>14.034810172298609</v>
      </c>
      <c r="AQ91" s="770">
        <f t="shared" si="40"/>
        <v>13.897904108666422</v>
      </c>
      <c r="AR91" s="770">
        <f t="shared" si="41"/>
        <v>14.969084447861723</v>
      </c>
      <c r="AS91" s="770">
        <f t="shared" si="42"/>
        <v>17.151151514730081</v>
      </c>
      <c r="AT91" s="770">
        <f t="shared" si="43"/>
        <v>17.145835544582582</v>
      </c>
      <c r="AU91" s="770">
        <f t="shared" si="44"/>
        <v>14.160680670424453</v>
      </c>
      <c r="AV91" s="770">
        <f t="shared" si="45"/>
        <v>10.001201743541676</v>
      </c>
      <c r="AW91" s="770">
        <f t="shared" si="46"/>
        <v>6.0958199079454705</v>
      </c>
      <c r="AX91" s="770">
        <f t="shared" si="47"/>
        <v>3.8930452157444333</v>
      </c>
      <c r="AY91" s="770">
        <f t="shared" si="48"/>
        <v>3.1218814243468005</v>
      </c>
      <c r="AZ91" s="770">
        <f t="shared" si="49"/>
        <v>2.7220058088273373</v>
      </c>
      <c r="BA91" s="770"/>
      <c r="BB91" s="770">
        <f t="shared" si="50"/>
        <v>12.169734186559863</v>
      </c>
    </row>
    <row r="92" spans="1:54" x14ac:dyDescent="0.75">
      <c r="A92" s="132" t="s">
        <v>336</v>
      </c>
      <c r="B92" s="132" t="str">
        <f>VLOOKUP(A92,'HCW + Staff Summary'!B:E,4,FALSE)</f>
        <v>Upper middle income</v>
      </c>
      <c r="C92" s="770">
        <v>6.3188930617201997</v>
      </c>
      <c r="D92" s="770">
        <v>16.347379204441499</v>
      </c>
      <c r="E92" s="770">
        <v>23.769466845351101</v>
      </c>
      <c r="F92" s="770">
        <v>27.020569005380299</v>
      </c>
      <c r="G92" s="770">
        <v>14.1322555882315</v>
      </c>
      <c r="H92" s="770">
        <v>12.9403112240177</v>
      </c>
      <c r="I92" s="770">
        <v>12.3806184511326</v>
      </c>
      <c r="J92" s="770">
        <v>13.3698085225897</v>
      </c>
      <c r="K92" s="770">
        <v>13.6493810052076</v>
      </c>
      <c r="L92" s="770">
        <v>11.4210958568226</v>
      </c>
      <c r="M92" s="770">
        <v>9.0657694301847602</v>
      </c>
      <c r="N92" s="770">
        <v>6.6950505983930704</v>
      </c>
      <c r="O92" s="770">
        <v>4.3886585443304797</v>
      </c>
      <c r="P92" s="770">
        <v>4.6989134619083197</v>
      </c>
      <c r="Q92" s="770">
        <v>3.42365332680275</v>
      </c>
      <c r="R92" s="770">
        <v>1.8283877697758899</v>
      </c>
      <c r="S92" s="770"/>
      <c r="T92" s="770">
        <v>4.0841206949100886E-2</v>
      </c>
      <c r="U92" s="770">
        <v>4.9375190490704053E-2</v>
      </c>
      <c r="V92" s="770">
        <v>5.5166107893934779E-2</v>
      </c>
      <c r="W92" s="770">
        <v>5.0289545870161538E-2</v>
      </c>
      <c r="X92" s="770">
        <v>6.613837244742457E-2</v>
      </c>
      <c r="Y92" s="770">
        <v>5.6994818652849742E-2</v>
      </c>
      <c r="Z92" s="770">
        <v>6.613837244742457E-2</v>
      </c>
      <c r="AA92" s="770">
        <v>7.3758000609570259E-2</v>
      </c>
      <c r="AB92" s="770">
        <v>6.7357512953367879E-2</v>
      </c>
      <c r="AC92" s="770">
        <v>6.9186223712282835E-2</v>
      </c>
      <c r="AD92" s="770">
        <v>7.0405364218226157E-2</v>
      </c>
      <c r="AE92" s="770">
        <v>8.1987199024687596E-2</v>
      </c>
      <c r="AF92" s="770">
        <v>7.3453215483084422E-2</v>
      </c>
      <c r="AG92" s="770">
        <v>6.7662298079853703E-2</v>
      </c>
      <c r="AH92" s="770">
        <v>4.3584273087473334E-2</v>
      </c>
      <c r="AI92" s="770">
        <v>3.0173727522096922E-2</v>
      </c>
      <c r="AJ92" s="770"/>
      <c r="AK92" s="770">
        <f t="shared" si="34"/>
        <v>9.6699105109626746</v>
      </c>
      <c r="AL92" s="770">
        <f t="shared" si="35"/>
        <v>20.692805235251758</v>
      </c>
      <c r="AM92" s="770">
        <f t="shared" si="36"/>
        <v>26.929427044059722</v>
      </c>
      <c r="AN92" s="770">
        <f t="shared" si="37"/>
        <v>33.58124504039877</v>
      </c>
      <c r="AO92" s="770">
        <f t="shared" si="38"/>
        <v>13.354818716874293</v>
      </c>
      <c r="AP92" s="770">
        <f t="shared" si="39"/>
        <v>14.190227649064864</v>
      </c>
      <c r="AQ92" s="770">
        <f t="shared" si="40"/>
        <v>11.699541802467182</v>
      </c>
      <c r="AR92" s="770">
        <f t="shared" si="41"/>
        <v>11.329117190758472</v>
      </c>
      <c r="AS92" s="770">
        <f t="shared" si="42"/>
        <v>12.665050644255128</v>
      </c>
      <c r="AT92" s="770">
        <f t="shared" si="43"/>
        <v>10.317350084315791</v>
      </c>
      <c r="AU92" s="770">
        <f t="shared" si="44"/>
        <v>8.0478326570444256</v>
      </c>
      <c r="AV92" s="770">
        <f t="shared" si="45"/>
        <v>5.1037316480779884</v>
      </c>
      <c r="AW92" s="770">
        <f t="shared" si="46"/>
        <v>3.7342294304845187</v>
      </c>
      <c r="AX92" s="770">
        <f t="shared" si="47"/>
        <v>4.3404096476692562</v>
      </c>
      <c r="AY92" s="770">
        <f t="shared" si="48"/>
        <v>4.9095308414509713</v>
      </c>
      <c r="AZ92" s="770">
        <f t="shared" si="49"/>
        <v>3.7872097680774588</v>
      </c>
      <c r="BA92" s="770"/>
      <c r="BB92" s="770">
        <f t="shared" si="50"/>
        <v>12.14702736945083</v>
      </c>
    </row>
    <row r="93" spans="1:54" x14ac:dyDescent="0.75">
      <c r="A93" s="132" t="s">
        <v>226</v>
      </c>
      <c r="B93" s="132" t="str">
        <f>VLOOKUP(A93,'HCW + Staff Summary'!B:E,4,FALSE)</f>
        <v>Lower middle income</v>
      </c>
      <c r="C93" s="770">
        <v>16.976335718716101</v>
      </c>
      <c r="D93" s="770">
        <v>29.981026978229</v>
      </c>
      <c r="E93" s="770">
        <v>35.328515245233802</v>
      </c>
      <c r="F93" s="770">
        <v>31.5221779046691</v>
      </c>
      <c r="G93" s="770">
        <v>18.415087636262701</v>
      </c>
      <c r="H93" s="770">
        <v>18.175265288806699</v>
      </c>
      <c r="I93" s="770">
        <v>17.074702354100001</v>
      </c>
      <c r="J93" s="770">
        <v>16.1135741813092</v>
      </c>
      <c r="K93" s="770">
        <v>13.8130854705042</v>
      </c>
      <c r="L93" s="770">
        <v>10.6043029837559</v>
      </c>
      <c r="M93" s="770">
        <v>8.3740344442975907</v>
      </c>
      <c r="N93" s="770">
        <v>5.3259954527465396</v>
      </c>
      <c r="O93" s="770">
        <v>2.8504550176337098</v>
      </c>
      <c r="P93" s="770">
        <v>1.4049615384165499</v>
      </c>
      <c r="Q93" s="770">
        <v>0.727564746651715</v>
      </c>
      <c r="R93" s="770">
        <v>0.450039709967746</v>
      </c>
      <c r="S93" s="770"/>
      <c r="T93" s="770">
        <v>0.10267541645633518</v>
      </c>
      <c r="U93" s="770">
        <v>9.9848561332660277E-2</v>
      </c>
      <c r="V93" s="770">
        <v>0.10338213023725391</v>
      </c>
      <c r="W93" s="770">
        <v>0.10509843513377082</v>
      </c>
      <c r="X93" s="770">
        <v>0.10247349823321555</v>
      </c>
      <c r="Y93" s="770">
        <v>8.9954568399798082E-2</v>
      </c>
      <c r="Z93" s="770">
        <v>7.9050984351337714E-2</v>
      </c>
      <c r="AA93" s="770">
        <v>6.9358909641595148E-2</v>
      </c>
      <c r="AB93" s="770">
        <v>5.8556284704694601E-2</v>
      </c>
      <c r="AC93" s="770">
        <v>4.7147905098435132E-2</v>
      </c>
      <c r="AD93" s="770">
        <v>3.8465421504290762E-2</v>
      </c>
      <c r="AE93" s="770">
        <v>3.0186774356385664E-2</v>
      </c>
      <c r="AF93" s="770">
        <v>2.3927309439676931E-2</v>
      </c>
      <c r="AG93" s="770">
        <v>1.8475517415446743E-2</v>
      </c>
      <c r="AH93" s="770">
        <v>1.2317011610297829E-2</v>
      </c>
      <c r="AI93" s="770">
        <v>8.3796062594649161E-3</v>
      </c>
      <c r="AJ93" s="770"/>
      <c r="AK93" s="770">
        <f t="shared" si="34"/>
        <v>10.333739263390056</v>
      </c>
      <c r="AL93" s="770">
        <f t="shared" si="35"/>
        <v>18.766561692325471</v>
      </c>
      <c r="AM93" s="770">
        <f t="shared" si="36"/>
        <v>21.357967743166554</v>
      </c>
      <c r="AN93" s="770">
        <f t="shared" si="37"/>
        <v>18.745627530364281</v>
      </c>
      <c r="AO93" s="770">
        <f t="shared" si="38"/>
        <v>11.231615950565397</v>
      </c>
      <c r="AP93" s="770">
        <f t="shared" si="39"/>
        <v>12.628086608139053</v>
      </c>
      <c r="AQ93" s="770">
        <f t="shared" si="40"/>
        <v>13.499754694872326</v>
      </c>
      <c r="AR93" s="770">
        <f t="shared" si="41"/>
        <v>14.520101188670637</v>
      </c>
      <c r="AS93" s="770">
        <f t="shared" si="42"/>
        <v>14.743384869110356</v>
      </c>
      <c r="AT93" s="770">
        <f t="shared" si="43"/>
        <v>14.057229798461215</v>
      </c>
      <c r="AU93" s="770">
        <f t="shared" si="44"/>
        <v>13.606432278669232</v>
      </c>
      <c r="AV93" s="770">
        <f t="shared" si="45"/>
        <v>11.027170769116738</v>
      </c>
      <c r="AW93" s="770">
        <f t="shared" si="46"/>
        <v>7.4456110099319348</v>
      </c>
      <c r="AX93" s="770">
        <f t="shared" si="47"/>
        <v>4.7527814337486092</v>
      </c>
      <c r="AY93" s="770">
        <f t="shared" si="48"/>
        <v>3.6918692702793225</v>
      </c>
      <c r="AZ93" s="770">
        <f t="shared" si="49"/>
        <v>3.3566591319506962</v>
      </c>
      <c r="BA93" s="770"/>
      <c r="BB93" s="770">
        <f t="shared" si="50"/>
        <v>12.110287077047618</v>
      </c>
    </row>
    <row r="94" spans="1:54" x14ac:dyDescent="0.75">
      <c r="A94" s="132" t="s">
        <v>328</v>
      </c>
      <c r="B94" s="132" t="str">
        <f>VLOOKUP(A94,'HCW + Staff Summary'!B:E,4,FALSE)</f>
        <v>High income</v>
      </c>
      <c r="C94" s="770">
        <v>10.815116286169999</v>
      </c>
      <c r="D94" s="770">
        <v>17.276183348844299</v>
      </c>
      <c r="E94" s="770">
        <v>18.709633341344901</v>
      </c>
      <c r="F94" s="770">
        <v>19.454483885553</v>
      </c>
      <c r="G94" s="770">
        <v>18.955415099221799</v>
      </c>
      <c r="H94" s="770">
        <v>27.204411212539899</v>
      </c>
      <c r="I94" s="770">
        <v>25.161068523758601</v>
      </c>
      <c r="J94" s="770">
        <v>21.817332336603201</v>
      </c>
      <c r="K94" s="770">
        <v>17.6546396676119</v>
      </c>
      <c r="L94" s="770">
        <v>13.090851304320999</v>
      </c>
      <c r="M94" s="770">
        <v>9.5240667254450795</v>
      </c>
      <c r="N94" s="770">
        <v>4.94729961055444</v>
      </c>
      <c r="O94" s="770">
        <v>2.0580804392885801</v>
      </c>
      <c r="P94" s="770">
        <v>0.84538815122059796</v>
      </c>
      <c r="Q94" s="770">
        <v>0.474584813165561</v>
      </c>
      <c r="R94" s="770">
        <v>0.37189289138176401</v>
      </c>
      <c r="S94" s="770"/>
      <c r="T94" s="770">
        <v>6.3454759106933017E-2</v>
      </c>
      <c r="U94" s="770">
        <v>6.5217391304347824E-2</v>
      </c>
      <c r="V94" s="770">
        <v>5.464159811985899E-2</v>
      </c>
      <c r="W94" s="770">
        <v>5.229142185663925E-2</v>
      </c>
      <c r="X94" s="770">
        <v>5.4054054054054057E-2</v>
      </c>
      <c r="Y94" s="770">
        <v>0.12632197414806109</v>
      </c>
      <c r="Z94" s="770">
        <v>0.17215041128084607</v>
      </c>
      <c r="AA94" s="770">
        <v>0.12573443008225618</v>
      </c>
      <c r="AB94" s="770">
        <v>8.6956521739130432E-2</v>
      </c>
      <c r="AC94" s="770">
        <v>6.3454759106933017E-2</v>
      </c>
      <c r="AD94" s="770">
        <v>4.7591069330199763E-2</v>
      </c>
      <c r="AE94" s="770">
        <v>3.4665099882491189E-2</v>
      </c>
      <c r="AF94" s="770">
        <v>2.6439482961222092E-2</v>
      </c>
      <c r="AG94" s="770">
        <v>1.2867215041128085E-2</v>
      </c>
      <c r="AH94" s="770">
        <v>6.4042303172737952E-3</v>
      </c>
      <c r="AI94" s="770">
        <v>3.9952996474735608E-3</v>
      </c>
      <c r="AJ94" s="770"/>
      <c r="AK94" s="770">
        <f t="shared" si="34"/>
        <v>10.652388842049387</v>
      </c>
      <c r="AL94" s="770">
        <f t="shared" si="35"/>
        <v>16.556342375975788</v>
      </c>
      <c r="AM94" s="770">
        <f t="shared" si="36"/>
        <v>21.400400501995311</v>
      </c>
      <c r="AN94" s="770">
        <f t="shared" si="37"/>
        <v>23.25248003736742</v>
      </c>
      <c r="AO94" s="770">
        <f t="shared" si="38"/>
        <v>21.917198708475205</v>
      </c>
      <c r="AP94" s="770">
        <f t="shared" si="39"/>
        <v>13.459856942948521</v>
      </c>
      <c r="AQ94" s="770">
        <f t="shared" si="40"/>
        <v>9.1348418573884675</v>
      </c>
      <c r="AR94" s="770">
        <f t="shared" si="41"/>
        <v>10.844947323860586</v>
      </c>
      <c r="AS94" s="770">
        <f t="shared" si="42"/>
        <v>12.689272261096054</v>
      </c>
      <c r="AT94" s="770">
        <f t="shared" si="43"/>
        <v>12.893882476825429</v>
      </c>
      <c r="AU94" s="770">
        <f t="shared" si="44"/>
        <v>12.507686394064448</v>
      </c>
      <c r="AV94" s="770">
        <f t="shared" si="45"/>
        <v>8.9198134927581112</v>
      </c>
      <c r="AW94" s="770">
        <f t="shared" si="46"/>
        <v>4.8650734828738376</v>
      </c>
      <c r="AX94" s="770">
        <f t="shared" si="47"/>
        <v>4.1063088852096392</v>
      </c>
      <c r="AY94" s="770">
        <f t="shared" si="48"/>
        <v>4.631555917475831</v>
      </c>
      <c r="AZ94" s="770">
        <f t="shared" si="49"/>
        <v>5.8176626942257563</v>
      </c>
      <c r="BA94" s="770"/>
      <c r="BB94" s="770">
        <f t="shared" si="50"/>
        <v>12.103107012161862</v>
      </c>
    </row>
    <row r="95" spans="1:54" x14ac:dyDescent="0.75">
      <c r="A95" s="132" t="s">
        <v>220</v>
      </c>
      <c r="B95" s="132" t="str">
        <f>VLOOKUP(A95,'HCW + Staff Summary'!B:E,4,FALSE)</f>
        <v>High income</v>
      </c>
      <c r="C95" s="770">
        <v>10.868745095416401</v>
      </c>
      <c r="D95" s="770">
        <v>17.113058795836402</v>
      </c>
      <c r="E95" s="770">
        <v>21.3612881351693</v>
      </c>
      <c r="F95" s="770">
        <v>25.1501087254168</v>
      </c>
      <c r="G95" s="770">
        <v>17.525424687551599</v>
      </c>
      <c r="H95" s="770">
        <v>18.575992888414198</v>
      </c>
      <c r="I95" s="770">
        <v>17.985638284334701</v>
      </c>
      <c r="J95" s="770">
        <v>18.3090557204121</v>
      </c>
      <c r="K95" s="770">
        <v>17.513862550465799</v>
      </c>
      <c r="L95" s="770">
        <v>14.270217126777199</v>
      </c>
      <c r="M95" s="770">
        <v>11.388671037207599</v>
      </c>
      <c r="N95" s="770">
        <v>7.1986089287933499</v>
      </c>
      <c r="O95" s="770">
        <v>3.9096655879495801</v>
      </c>
      <c r="P95" s="770">
        <v>2.6740528835325099</v>
      </c>
      <c r="Q95" s="770">
        <v>1.58455591719989</v>
      </c>
      <c r="R95" s="770">
        <v>0.98069387209019598</v>
      </c>
      <c r="S95" s="770"/>
      <c r="T95" s="770">
        <v>6.0786775476041013E-2</v>
      </c>
      <c r="U95" s="770">
        <v>6.6227244193345886E-2</v>
      </c>
      <c r="V95" s="770">
        <v>6.5390249006068213E-2</v>
      </c>
      <c r="W95" s="770">
        <v>6.5076375810839082E-2</v>
      </c>
      <c r="X95" s="770">
        <v>7.3394015484410963E-2</v>
      </c>
      <c r="Y95" s="770">
        <v>8.3333333333333329E-2</v>
      </c>
      <c r="Z95" s="770">
        <v>8.0874659970705171E-2</v>
      </c>
      <c r="AA95" s="770">
        <v>7.3237078886796397E-2</v>
      </c>
      <c r="AB95" s="770">
        <v>6.9261351747227459E-2</v>
      </c>
      <c r="AC95" s="770">
        <v>6.5599497802887638E-2</v>
      </c>
      <c r="AD95" s="770">
        <v>6.3507009834693456E-2</v>
      </c>
      <c r="AE95" s="770">
        <v>5.9478970495919652E-2</v>
      </c>
      <c r="AF95" s="770">
        <v>5.1370579619167189E-2</v>
      </c>
      <c r="AG95" s="770">
        <v>4.2372881355932202E-2</v>
      </c>
      <c r="AH95" s="770">
        <v>3.0393387738020507E-2</v>
      </c>
      <c r="AI95" s="770">
        <v>2.1552626072400084E-2</v>
      </c>
      <c r="AJ95" s="770"/>
      <c r="AK95" s="770">
        <f t="shared" si="34"/>
        <v>11.175071603053997</v>
      </c>
      <c r="AL95" s="770">
        <f t="shared" si="35"/>
        <v>16.149942335170255</v>
      </c>
      <c r="AM95" s="770">
        <f t="shared" si="36"/>
        <v>20.417119199594818</v>
      </c>
      <c r="AN95" s="770">
        <f t="shared" si="37"/>
        <v>24.154415112292384</v>
      </c>
      <c r="AO95" s="770">
        <f t="shared" si="38"/>
        <v>14.92409204950269</v>
      </c>
      <c r="AP95" s="770">
        <f t="shared" si="39"/>
        <v>13.931994666310649</v>
      </c>
      <c r="AQ95" s="770">
        <f t="shared" si="40"/>
        <v>13.899315226525799</v>
      </c>
      <c r="AR95" s="770">
        <f t="shared" si="41"/>
        <v>15.624817372830256</v>
      </c>
      <c r="AS95" s="770">
        <f t="shared" si="42"/>
        <v>15.80414447293732</v>
      </c>
      <c r="AT95" s="770">
        <f t="shared" si="43"/>
        <v>13.595966437174686</v>
      </c>
      <c r="AU95" s="770">
        <f t="shared" si="44"/>
        <v>11.208084614253524</v>
      </c>
      <c r="AV95" s="770">
        <f t="shared" si="45"/>
        <v>7.5642374825645158</v>
      </c>
      <c r="AW95" s="770">
        <f t="shared" si="46"/>
        <v>4.7566934431800005</v>
      </c>
      <c r="AX95" s="770">
        <f t="shared" si="47"/>
        <v>3.9442280032104522</v>
      </c>
      <c r="AY95" s="770">
        <f t="shared" si="48"/>
        <v>3.2584306059803243</v>
      </c>
      <c r="AZ95" s="770">
        <f t="shared" si="49"/>
        <v>2.8438932128149554</v>
      </c>
      <c r="BA95" s="770"/>
      <c r="BB95" s="770">
        <f t="shared" si="50"/>
        <v>12.078277864837288</v>
      </c>
    </row>
    <row r="96" spans="1:54" x14ac:dyDescent="0.75">
      <c r="A96" s="132" t="s">
        <v>432</v>
      </c>
      <c r="B96" s="132" t="str">
        <f>VLOOKUP(A96,'HCW + Staff Summary'!B:E,4,FALSE)</f>
        <v>High income</v>
      </c>
      <c r="C96" s="770">
        <v>9.6248317882625791</v>
      </c>
      <c r="D96" s="770">
        <v>21.732223628983501</v>
      </c>
      <c r="E96" s="770">
        <v>20.340715223265899</v>
      </c>
      <c r="F96" s="770">
        <v>19.162717987675599</v>
      </c>
      <c r="G96" s="770">
        <v>18.176233697144198</v>
      </c>
      <c r="H96" s="770">
        <v>25.535119288478199</v>
      </c>
      <c r="I96" s="770">
        <v>26.361565404939402</v>
      </c>
      <c r="J96" s="770">
        <v>22.6505720589156</v>
      </c>
      <c r="K96" s="770">
        <v>18.025475987126299</v>
      </c>
      <c r="L96" s="770">
        <v>12.0612950862972</v>
      </c>
      <c r="M96" s="770">
        <v>8.0250437722795702</v>
      </c>
      <c r="N96" s="770">
        <v>4.1337680885541497</v>
      </c>
      <c r="O96" s="770">
        <v>1.9082108341680499</v>
      </c>
      <c r="P96" s="770">
        <v>1.34535650370932</v>
      </c>
      <c r="Q96" s="770">
        <v>0.22501379335714899</v>
      </c>
      <c r="R96" s="770">
        <v>0.26264500069976898</v>
      </c>
      <c r="S96" s="770"/>
      <c r="T96" s="770">
        <v>6.7665652072114266E-2</v>
      </c>
      <c r="U96" s="770">
        <v>7.4689768204167645E-2</v>
      </c>
      <c r="V96" s="770">
        <v>7.2114258955748065E-2</v>
      </c>
      <c r="W96" s="770">
        <v>5.2680870990400377E-2</v>
      </c>
      <c r="X96" s="770">
        <v>4.8466401311168347E-2</v>
      </c>
      <c r="Y96" s="770">
        <v>5.5490517443221726E-2</v>
      </c>
      <c r="Z96" s="770">
        <v>8.5694216811051271E-2</v>
      </c>
      <c r="AA96" s="770">
        <v>0.11987824865371108</v>
      </c>
      <c r="AB96" s="770">
        <v>0.12034652306251463</v>
      </c>
      <c r="AC96" s="770">
        <v>0.10559587918520252</v>
      </c>
      <c r="AD96" s="770">
        <v>8.1245609927417473E-2</v>
      </c>
      <c r="AE96" s="770">
        <v>5.0105361741980797E-2</v>
      </c>
      <c r="AF96" s="770">
        <v>3.488644345586514E-2</v>
      </c>
      <c r="AG96" s="770">
        <v>1.6623741512526342E-2</v>
      </c>
      <c r="AH96" s="770">
        <v>7.4923905408569424E-3</v>
      </c>
      <c r="AI96" s="770">
        <v>3.8398501521891828E-3</v>
      </c>
      <c r="AJ96" s="770"/>
      <c r="AK96" s="770">
        <f t="shared" si="34"/>
        <v>8.8900641366067195</v>
      </c>
      <c r="AL96" s="770">
        <f t="shared" si="35"/>
        <v>18.185408918375497</v>
      </c>
      <c r="AM96" s="770">
        <f t="shared" si="36"/>
        <v>17.628895032177081</v>
      </c>
      <c r="AN96" s="770">
        <f t="shared" si="37"/>
        <v>22.734435701489577</v>
      </c>
      <c r="AO96" s="770">
        <f t="shared" si="38"/>
        <v>23.439219239282266</v>
      </c>
      <c r="AP96" s="770">
        <f t="shared" si="39"/>
        <v>28.760678924338183</v>
      </c>
      <c r="AQ96" s="770">
        <f t="shared" si="40"/>
        <v>19.226476407871619</v>
      </c>
      <c r="AR96" s="770">
        <f t="shared" si="41"/>
        <v>11.809154451126529</v>
      </c>
      <c r="AS96" s="770">
        <f t="shared" si="42"/>
        <v>9.3612363741508293</v>
      </c>
      <c r="AT96" s="770">
        <f t="shared" si="43"/>
        <v>7.1388291731673146</v>
      </c>
      <c r="AU96" s="770">
        <f t="shared" si="44"/>
        <v>6.173444155512616</v>
      </c>
      <c r="AV96" s="770">
        <f t="shared" si="45"/>
        <v>5.1563444819552497</v>
      </c>
      <c r="AW96" s="770">
        <f t="shared" si="46"/>
        <v>3.4186109365485486</v>
      </c>
      <c r="AX96" s="770">
        <f t="shared" si="47"/>
        <v>5.0581141085761487</v>
      </c>
      <c r="AY96" s="770">
        <f t="shared" si="48"/>
        <v>1.8770193582585613</v>
      </c>
      <c r="AZ96" s="770">
        <f t="shared" si="49"/>
        <v>4.2749877972130843</v>
      </c>
      <c r="BA96" s="770"/>
      <c r="BB96" s="770">
        <f t="shared" si="50"/>
        <v>12.070807449790612</v>
      </c>
    </row>
    <row r="97" spans="1:54" x14ac:dyDescent="0.75">
      <c r="A97" s="132" t="s">
        <v>327</v>
      </c>
      <c r="B97" s="132" t="str">
        <f>VLOOKUP(A97,'HCW + Staff Summary'!B:E,4,FALSE)</f>
        <v>High income</v>
      </c>
      <c r="C97" s="770">
        <v>9.5866449644577205</v>
      </c>
      <c r="D97" s="770">
        <v>21.063573903213602</v>
      </c>
      <c r="E97" s="770">
        <v>26.281530951954199</v>
      </c>
      <c r="F97" s="770">
        <v>32.586908964338797</v>
      </c>
      <c r="G97" s="770">
        <v>16.870092785504699</v>
      </c>
      <c r="H97" s="770">
        <v>16.970215772941099</v>
      </c>
      <c r="I97" s="770">
        <v>17.4418496769249</v>
      </c>
      <c r="J97" s="770">
        <v>18.675886391593501</v>
      </c>
      <c r="K97" s="770">
        <v>17.613979180584</v>
      </c>
      <c r="L97" s="770">
        <v>14.4959992042234</v>
      </c>
      <c r="M97" s="770">
        <v>11.2101014126129</v>
      </c>
      <c r="N97" s="770">
        <v>7.3088655889103302</v>
      </c>
      <c r="O97" s="770">
        <v>4.3381123115829503</v>
      </c>
      <c r="P97" s="770">
        <v>2.00701124366707</v>
      </c>
      <c r="Q97" s="770">
        <v>1.1389983281352301</v>
      </c>
      <c r="R97" s="770">
        <v>0.64521274520157801</v>
      </c>
      <c r="S97" s="770"/>
      <c r="T97" s="770">
        <v>6.8702290076335881E-2</v>
      </c>
      <c r="U97" s="770">
        <v>6.8702290076335881E-2</v>
      </c>
      <c r="V97" s="770">
        <v>8.1424936386768454E-2</v>
      </c>
      <c r="W97" s="770">
        <v>8.1424936386768454E-2</v>
      </c>
      <c r="X97" s="770">
        <v>8.6513994910941472E-2</v>
      </c>
      <c r="Y97" s="770">
        <v>8.6513994910941472E-2</v>
      </c>
      <c r="Z97" s="770">
        <v>7.124681933842239E-2</v>
      </c>
      <c r="AA97" s="770">
        <v>6.8702290076335881E-2</v>
      </c>
      <c r="AB97" s="770">
        <v>6.8702290076335881E-2</v>
      </c>
      <c r="AC97" s="770">
        <v>7.3791348600508899E-2</v>
      </c>
      <c r="AD97" s="770">
        <v>6.3613231552162849E-2</v>
      </c>
      <c r="AE97" s="770">
        <v>6.1068702290076333E-2</v>
      </c>
      <c r="AF97" s="770">
        <v>4.4783715012722644E-2</v>
      </c>
      <c r="AG97" s="770">
        <v>3.0279898218829517E-2</v>
      </c>
      <c r="AH97" s="770">
        <v>2.0356234096692113E-2</v>
      </c>
      <c r="AI97" s="770">
        <v>1.4503816793893129E-2</v>
      </c>
      <c r="AJ97" s="770"/>
      <c r="AK97" s="770">
        <f t="shared" si="34"/>
        <v>8.7211839607219535</v>
      </c>
      <c r="AL97" s="770">
        <f t="shared" si="35"/>
        <v>19.162001259173483</v>
      </c>
      <c r="AM97" s="770">
        <f t="shared" si="36"/>
        <v>20.173128250230469</v>
      </c>
      <c r="AN97" s="770">
        <f t="shared" si="37"/>
        <v>25.012998482392863</v>
      </c>
      <c r="AO97" s="770">
        <f t="shared" si="38"/>
        <v>12.187401589528212</v>
      </c>
      <c r="AP97" s="770">
        <f t="shared" si="39"/>
        <v>12.259733085966641</v>
      </c>
      <c r="AQ97" s="770">
        <f t="shared" si="40"/>
        <v>15.300551167480995</v>
      </c>
      <c r="AR97" s="770">
        <f t="shared" si="41"/>
        <v>16.989868870130199</v>
      </c>
      <c r="AS97" s="770">
        <f t="shared" si="42"/>
        <v>16.023828282336833</v>
      </c>
      <c r="AT97" s="770">
        <f t="shared" si="43"/>
        <v>12.277861394956458</v>
      </c>
      <c r="AU97" s="770">
        <f t="shared" si="44"/>
        <v>11.013924637892174</v>
      </c>
      <c r="AV97" s="770">
        <f t="shared" si="45"/>
        <v>7.4801671261504161</v>
      </c>
      <c r="AW97" s="770">
        <f t="shared" si="46"/>
        <v>6.0542547530259219</v>
      </c>
      <c r="AX97" s="770">
        <f t="shared" si="47"/>
        <v>4.1426229976951605</v>
      </c>
      <c r="AY97" s="770">
        <f t="shared" si="48"/>
        <v>3.4970808043526982</v>
      </c>
      <c r="AZ97" s="770">
        <f t="shared" si="49"/>
        <v>2.7803575533357474</v>
      </c>
      <c r="BA97" s="770"/>
      <c r="BB97" s="770">
        <f t="shared" si="50"/>
        <v>12.067310263460637</v>
      </c>
    </row>
    <row r="98" spans="1:54" x14ac:dyDescent="0.75">
      <c r="A98" s="132" t="s">
        <v>222</v>
      </c>
      <c r="B98" s="132" t="str">
        <f>VLOOKUP(A98,'HCW + Staff Summary'!B:E,4,FALSE)</f>
        <v>Lower middle income</v>
      </c>
      <c r="C98" s="770">
        <v>12.427751728077601</v>
      </c>
      <c r="D98" s="770">
        <v>21.228771871654899</v>
      </c>
      <c r="E98" s="770">
        <v>32.655913446572598</v>
      </c>
      <c r="F98" s="770">
        <v>32.447019626418701</v>
      </c>
      <c r="G98" s="770">
        <v>18.768983248779499</v>
      </c>
      <c r="H98" s="770">
        <v>17.764865004121901</v>
      </c>
      <c r="I98" s="770">
        <v>17.253708120997398</v>
      </c>
      <c r="J98" s="770">
        <v>17.260702975168901</v>
      </c>
      <c r="K98" s="770">
        <v>15.5402170245</v>
      </c>
      <c r="L98" s="770">
        <v>11.7511689796379</v>
      </c>
      <c r="M98" s="770">
        <v>8.9411051212994508</v>
      </c>
      <c r="N98" s="770">
        <v>5.72777609305966</v>
      </c>
      <c r="O98" s="770">
        <v>3.0960157186758801</v>
      </c>
      <c r="P98" s="770">
        <v>1.93678934650463</v>
      </c>
      <c r="Q98" s="770">
        <v>1.1772349946487299</v>
      </c>
      <c r="R98" s="770">
        <v>0.71633609804105802</v>
      </c>
      <c r="S98" s="770"/>
      <c r="T98" s="770">
        <v>8.8806660499537463E-2</v>
      </c>
      <c r="U98" s="770">
        <v>8.8035769349367868E-2</v>
      </c>
      <c r="V98" s="770">
        <v>8.9115016959605303E-2</v>
      </c>
      <c r="W98" s="770">
        <v>9.0656799259944493E-2</v>
      </c>
      <c r="X98" s="770">
        <v>9.7594819611470859E-2</v>
      </c>
      <c r="Y98" s="770">
        <v>8.9885908109774898E-2</v>
      </c>
      <c r="Z98" s="770">
        <v>7.3080481036077699E-2</v>
      </c>
      <c r="AA98" s="770">
        <v>6.290471785383904E-2</v>
      </c>
      <c r="AB98" s="770">
        <v>5.8896083872957139E-2</v>
      </c>
      <c r="AC98" s="770">
        <v>5.2883132901634287E-2</v>
      </c>
      <c r="AD98" s="770">
        <v>4.6716003700277522E-2</v>
      </c>
      <c r="AE98" s="770">
        <v>4.0857230958988591E-2</v>
      </c>
      <c r="AF98" s="770">
        <v>3.4073388837496145E-2</v>
      </c>
      <c r="AG98" s="770">
        <v>2.8522972556275054E-2</v>
      </c>
      <c r="AH98" s="770">
        <v>2.1430773974714771E-2</v>
      </c>
      <c r="AI98" s="770">
        <v>1.6805427073697195E-2</v>
      </c>
      <c r="AJ98" s="770"/>
      <c r="AK98" s="770">
        <f t="shared" si="34"/>
        <v>8.74635391800253</v>
      </c>
      <c r="AL98" s="770">
        <f t="shared" si="35"/>
        <v>15.071126790669185</v>
      </c>
      <c r="AM98" s="770">
        <f t="shared" si="36"/>
        <v>22.902925455716897</v>
      </c>
      <c r="AN98" s="770">
        <f t="shared" si="37"/>
        <v>22.369405750101159</v>
      </c>
      <c r="AO98" s="770">
        <f t="shared" si="38"/>
        <v>12.019710244034739</v>
      </c>
      <c r="AP98" s="770">
        <f t="shared" si="39"/>
        <v>12.352370756511005</v>
      </c>
      <c r="AQ98" s="770">
        <f t="shared" si="40"/>
        <v>14.75574246740363</v>
      </c>
      <c r="AR98" s="770">
        <f t="shared" si="41"/>
        <v>17.149650658233071</v>
      </c>
      <c r="AS98" s="770">
        <f t="shared" si="42"/>
        <v>16.491139990331643</v>
      </c>
      <c r="AT98" s="770">
        <f t="shared" si="43"/>
        <v>13.888134475570594</v>
      </c>
      <c r="AU98" s="770">
        <f t="shared" si="44"/>
        <v>11.962047816986022</v>
      </c>
      <c r="AV98" s="770">
        <f t="shared" si="45"/>
        <v>8.7618763536756958</v>
      </c>
      <c r="AW98" s="770">
        <f t="shared" si="46"/>
        <v>5.6789473844264027</v>
      </c>
      <c r="AX98" s="770">
        <f t="shared" si="47"/>
        <v>4.2439242234557533</v>
      </c>
      <c r="AY98" s="770">
        <f t="shared" si="48"/>
        <v>3.4332491795376177</v>
      </c>
      <c r="AZ98" s="770">
        <f t="shared" si="49"/>
        <v>2.6640802361779254</v>
      </c>
      <c r="BA98" s="770"/>
      <c r="BB98" s="770">
        <f t="shared" si="50"/>
        <v>12.030667856302118</v>
      </c>
    </row>
    <row r="99" spans="1:54" x14ac:dyDescent="0.75">
      <c r="A99" s="132" t="s">
        <v>321</v>
      </c>
      <c r="B99" s="132" t="str">
        <f>VLOOKUP(A99,'HCW + Staff Summary'!B:E,4,FALSE)</f>
        <v>Upper middle income</v>
      </c>
      <c r="C99" s="770">
        <v>12.769477077191601</v>
      </c>
      <c r="D99" s="770">
        <v>19.419072191782298</v>
      </c>
      <c r="E99" s="770">
        <v>23.276882937202998</v>
      </c>
      <c r="F99" s="770">
        <v>25.5590937076581</v>
      </c>
      <c r="G99" s="770">
        <v>17.3300295178162</v>
      </c>
      <c r="H99" s="770">
        <v>18.486004770121099</v>
      </c>
      <c r="I99" s="770">
        <v>19.043733389527699</v>
      </c>
      <c r="J99" s="770">
        <v>18.750926511429501</v>
      </c>
      <c r="K99" s="770">
        <v>16.4876405637727</v>
      </c>
      <c r="L99" s="770">
        <v>12.8350660208318</v>
      </c>
      <c r="M99" s="770">
        <v>10.0799888179265</v>
      </c>
      <c r="N99" s="770">
        <v>6.5208491321129598</v>
      </c>
      <c r="O99" s="770">
        <v>3.6976207572665598</v>
      </c>
      <c r="P99" s="770">
        <v>2.7859429802189299</v>
      </c>
      <c r="Q99" s="770">
        <v>1.7394926814076599</v>
      </c>
      <c r="R99" s="770">
        <v>1.07910946137819</v>
      </c>
      <c r="S99" s="770"/>
      <c r="T99" s="770">
        <v>8.2687680727545634E-2</v>
      </c>
      <c r="U99" s="770">
        <v>8.2091693706818528E-2</v>
      </c>
      <c r="V99" s="770">
        <v>7.9597377657108795E-2</v>
      </c>
      <c r="W99" s="770">
        <v>7.8317109242213537E-2</v>
      </c>
      <c r="X99" s="770">
        <v>7.694854645387722E-2</v>
      </c>
      <c r="Y99" s="770">
        <v>7.7875637375008272E-2</v>
      </c>
      <c r="Z99" s="770">
        <v>7.3438845109595391E-2</v>
      </c>
      <c r="AA99" s="770">
        <v>6.9090347217623554E-2</v>
      </c>
      <c r="AB99" s="770">
        <v>6.8361918636734881E-2</v>
      </c>
      <c r="AC99" s="770">
        <v>5.8362580844535682E-2</v>
      </c>
      <c r="AD99" s="770">
        <v>5.0923779882127013E-2</v>
      </c>
      <c r="AE99" s="770">
        <v>4.6972606670639912E-2</v>
      </c>
      <c r="AF99" s="770">
        <v>4.1674944264176762E-2</v>
      </c>
      <c r="AG99" s="770">
        <v>3.6399355451073881E-2</v>
      </c>
      <c r="AH99" s="770">
        <v>2.9578615102752576E-2</v>
      </c>
      <c r="AI99" s="770">
        <v>2.1323091186014172E-2</v>
      </c>
      <c r="AJ99" s="770"/>
      <c r="AK99" s="770">
        <f t="shared" si="34"/>
        <v>9.6518890154166304</v>
      </c>
      <c r="AL99" s="770">
        <f t="shared" si="35"/>
        <v>14.784589733535787</v>
      </c>
      <c r="AM99" s="770">
        <f t="shared" si="36"/>
        <v>18.277049149058989</v>
      </c>
      <c r="AN99" s="770">
        <f t="shared" si="37"/>
        <v>20.397118486436636</v>
      </c>
      <c r="AO99" s="770">
        <f t="shared" si="38"/>
        <v>14.075988368574789</v>
      </c>
      <c r="AP99" s="770">
        <f t="shared" si="39"/>
        <v>14.836158483928504</v>
      </c>
      <c r="AQ99" s="770">
        <f t="shared" si="40"/>
        <v>16.207135815783239</v>
      </c>
      <c r="AR99" s="770">
        <f t="shared" si="41"/>
        <v>16.962324755337274</v>
      </c>
      <c r="AS99" s="770">
        <f t="shared" si="42"/>
        <v>15.073853335094336</v>
      </c>
      <c r="AT99" s="770">
        <f t="shared" si="43"/>
        <v>13.744964919197784</v>
      </c>
      <c r="AU99" s="770">
        <f t="shared" si="44"/>
        <v>12.371416705096561</v>
      </c>
      <c r="AV99" s="770">
        <f t="shared" si="45"/>
        <v>8.6763988555014517</v>
      </c>
      <c r="AW99" s="770">
        <f t="shared" si="46"/>
        <v>5.5453294877663852</v>
      </c>
      <c r="AX99" s="770">
        <f t="shared" si="47"/>
        <v>4.7836406470913504</v>
      </c>
      <c r="AY99" s="770">
        <f t="shared" si="48"/>
        <v>3.6755707530695529</v>
      </c>
      <c r="AZ99" s="770">
        <f t="shared" si="49"/>
        <v>3.1629720450838601</v>
      </c>
      <c r="BA99" s="770"/>
      <c r="BB99" s="770">
        <f t="shared" si="50"/>
        <v>12.014150034748319</v>
      </c>
    </row>
    <row r="100" spans="1:54" x14ac:dyDescent="0.75">
      <c r="A100" s="132" t="s">
        <v>332</v>
      </c>
      <c r="B100" s="132" t="str">
        <f>VLOOKUP(A100,'HCW + Staff Summary'!B:E,4,FALSE)</f>
        <v>High income</v>
      </c>
      <c r="C100" s="770">
        <v>7.9691907526963002</v>
      </c>
      <c r="D100" s="770">
        <v>10.9068082001083</v>
      </c>
      <c r="E100" s="770">
        <v>14.7180823784228</v>
      </c>
      <c r="F100" s="770">
        <v>14.7502416487232</v>
      </c>
      <c r="G100" s="770">
        <v>15.081130522676901</v>
      </c>
      <c r="H100" s="770">
        <v>16.816492361732902</v>
      </c>
      <c r="I100" s="770">
        <v>18.758868789828298</v>
      </c>
      <c r="J100" s="770">
        <v>18.114455890888198</v>
      </c>
      <c r="K100" s="770">
        <v>17.497565311474801</v>
      </c>
      <c r="L100" s="770">
        <v>15.3610194872186</v>
      </c>
      <c r="M100" s="770">
        <v>10.448253704000599</v>
      </c>
      <c r="N100" s="770">
        <v>6.9919894634840096</v>
      </c>
      <c r="O100" s="770">
        <v>6.5970012029591096</v>
      </c>
      <c r="P100" s="770">
        <v>4.5654005416576497</v>
      </c>
      <c r="Q100" s="770">
        <v>3.8806202574825499</v>
      </c>
      <c r="R100" s="770">
        <v>2.5565437573203398</v>
      </c>
      <c r="S100" s="770"/>
      <c r="T100" s="770">
        <v>5.4688854220835498E-2</v>
      </c>
      <c r="U100" s="770">
        <v>5.7722308892355696E-2</v>
      </c>
      <c r="V100" s="770">
        <v>5.7895649159299706E-2</v>
      </c>
      <c r="W100" s="770">
        <v>5.5295545155139542E-2</v>
      </c>
      <c r="X100" s="770">
        <v>5.6768937424163633E-2</v>
      </c>
      <c r="Y100" s="770">
        <v>6.2835846767204023E-2</v>
      </c>
      <c r="Z100" s="770">
        <v>6.4395909169700116E-2</v>
      </c>
      <c r="AA100" s="770">
        <v>6.5349280637892179E-2</v>
      </c>
      <c r="AB100" s="770">
        <v>6.4829259837060144E-2</v>
      </c>
      <c r="AC100" s="770">
        <v>6.6215981972612234E-2</v>
      </c>
      <c r="AD100" s="770">
        <v>6.8642745709828396E-2</v>
      </c>
      <c r="AE100" s="770">
        <v>6.9336106777604434E-2</v>
      </c>
      <c r="AF100" s="770">
        <v>6.3529207834980062E-2</v>
      </c>
      <c r="AG100" s="770">
        <v>5.4688854220835498E-2</v>
      </c>
      <c r="AH100" s="770">
        <v>4.7928583810019069E-2</v>
      </c>
      <c r="AI100" s="770">
        <v>3.3107990986306117E-2</v>
      </c>
      <c r="AJ100" s="770"/>
      <c r="AK100" s="770">
        <f t="shared" ref="AK100:AK131" si="51">C100/T100/16</f>
        <v>9.107421048396386</v>
      </c>
      <c r="AL100" s="770">
        <f t="shared" ref="AL100:AL131" si="52">D100/U100/16</f>
        <v>11.809567662617264</v>
      </c>
      <c r="AM100" s="770">
        <f t="shared" ref="AM100:AM131" si="53">E100/V100/16</f>
        <v>15.888588555599014</v>
      </c>
      <c r="AN100" s="770">
        <f t="shared" ref="AN100:AN131" si="54">F100/W100/16</f>
        <v>16.672050170745326</v>
      </c>
      <c r="AO100" s="770">
        <f t="shared" ref="AO100:AO131" si="55">G100/X100/16</f>
        <v>16.603633966664702</v>
      </c>
      <c r="AP100" s="770">
        <f t="shared" ref="AP100:AP131" si="56">H100/Y100/16</f>
        <v>16.726611109454673</v>
      </c>
      <c r="AQ100" s="770">
        <f t="shared" ref="AQ100:AQ131" si="57">I100/Z100/16</f>
        <v>18.206580425390218</v>
      </c>
      <c r="AR100" s="770">
        <f t="shared" ref="AR100:AR131" si="58">J100/AA100/16</f>
        <v>17.324651199359089</v>
      </c>
      <c r="AS100" s="770">
        <f t="shared" ref="AS100:AS131" si="59">K100/AB100/16</f>
        <v>16.86889276101239</v>
      </c>
      <c r="AT100" s="770">
        <f t="shared" ref="AT100:AT131" si="60">L100/AC100/16</f>
        <v>14.498972745707478</v>
      </c>
      <c r="AU100" s="770">
        <f t="shared" ref="AU100:AU131" si="61">M100/AD100/16</f>
        <v>9.5132537276482729</v>
      </c>
      <c r="AV100" s="770">
        <f t="shared" ref="AV100:AV131" si="62">N100/AE100/16</f>
        <v>6.3026230023186338</v>
      </c>
      <c r="AW100" s="770">
        <f t="shared" ref="AW100:AW131" si="63">O100/AF100/16</f>
        <v>6.4901261834705162</v>
      </c>
      <c r="AX100" s="770">
        <f t="shared" ref="AX100:AX131" si="64">P100/AG100/16</f>
        <v>5.2174714193389429</v>
      </c>
      <c r="AY100" s="770">
        <f t="shared" ref="AY100:AY131" si="65">Q100/AH100/16</f>
        <v>5.0604200419115797</v>
      </c>
      <c r="AZ100" s="770">
        <f t="shared" ref="AZ100:AZ131" si="66">R100/AI100/16</f>
        <v>4.8261455942346343</v>
      </c>
      <c r="BA100" s="770"/>
      <c r="BB100" s="770">
        <f t="shared" ref="BB100:BB131" si="67">IFERROR(AVERAGE(AK100:AZ100),"")</f>
        <v>11.944813100866821</v>
      </c>
    </row>
    <row r="101" spans="1:54" x14ac:dyDescent="0.75">
      <c r="A101" s="132" t="s">
        <v>353</v>
      </c>
      <c r="B101" s="132" t="str">
        <f>VLOOKUP(A101,'HCW + Staff Summary'!B:E,4,FALSE)</f>
        <v>Upper middle income</v>
      </c>
      <c r="C101" s="770">
        <v>11.963688320073899</v>
      </c>
      <c r="D101" s="770">
        <v>20.487766117500499</v>
      </c>
      <c r="E101" s="770">
        <v>26.159180167492</v>
      </c>
      <c r="F101" s="770">
        <v>29.480900922468301</v>
      </c>
      <c r="G101" s="770">
        <v>19.019978819965999</v>
      </c>
      <c r="H101" s="770">
        <v>19.195678081248701</v>
      </c>
      <c r="I101" s="770">
        <v>18.581484250213201</v>
      </c>
      <c r="J101" s="770">
        <v>18.042691308786601</v>
      </c>
      <c r="K101" s="770">
        <v>16.7120213669611</v>
      </c>
      <c r="L101" s="770">
        <v>13.2621519810358</v>
      </c>
      <c r="M101" s="770">
        <v>9.8477305582446295</v>
      </c>
      <c r="N101" s="770">
        <v>6.0608640284073303</v>
      </c>
      <c r="O101" s="770">
        <v>3.2772401108632399</v>
      </c>
      <c r="P101" s="770">
        <v>1.9877411014392501</v>
      </c>
      <c r="Q101" s="770">
        <v>1.12912682831689</v>
      </c>
      <c r="R101" s="770">
        <v>0.72722527745106902</v>
      </c>
      <c r="S101" s="770"/>
      <c r="T101" s="770">
        <v>7.2932020517658153E-2</v>
      </c>
      <c r="U101" s="770">
        <v>7.2794450012774403E-2</v>
      </c>
      <c r="V101" s="770">
        <v>7.6135447988522689E-2</v>
      </c>
      <c r="W101" s="770">
        <v>8.3465990605899806E-2</v>
      </c>
      <c r="X101" s="770">
        <v>8.6905253227993626E-2</v>
      </c>
      <c r="Y101" s="770">
        <v>8.6983864945070058E-2</v>
      </c>
      <c r="Z101" s="770">
        <v>7.9731934044769373E-2</v>
      </c>
      <c r="AA101" s="770">
        <v>7.3757443546960677E-2</v>
      </c>
      <c r="AB101" s="770">
        <v>6.7232671029616969E-2</v>
      </c>
      <c r="AC101" s="770">
        <v>5.9528722756126799E-2</v>
      </c>
      <c r="AD101" s="770">
        <v>5.7150718314564787E-2</v>
      </c>
      <c r="AE101" s="770">
        <v>5.1805121553367528E-2</v>
      </c>
      <c r="AF101" s="770">
        <v>4.0996010455358368E-2</v>
      </c>
      <c r="AG101" s="770">
        <v>3.311518581844624E-2</v>
      </c>
      <c r="AH101" s="770">
        <v>2.3347679971699783E-2</v>
      </c>
      <c r="AI101" s="770">
        <v>1.5565119981133187E-2</v>
      </c>
      <c r="AJ101" s="770"/>
      <c r="AK101" s="770">
        <f t="shared" si="51"/>
        <v>10.252431163943685</v>
      </c>
      <c r="AL101" s="770">
        <f t="shared" si="52"/>
        <v>17.59042594756982</v>
      </c>
      <c r="AM101" s="770">
        <f t="shared" si="53"/>
        <v>21.474212126718111</v>
      </c>
      <c r="AN101" s="770">
        <f t="shared" si="54"/>
        <v>22.075533930391373</v>
      </c>
      <c r="AO101" s="770">
        <f t="shared" si="55"/>
        <v>13.678674557557807</v>
      </c>
      <c r="AP101" s="770">
        <f t="shared" si="56"/>
        <v>13.792556594670382</v>
      </c>
      <c r="AQ101" s="770">
        <f t="shared" si="57"/>
        <v>14.565591309828665</v>
      </c>
      <c r="AR101" s="770">
        <f t="shared" si="58"/>
        <v>15.288873265803833</v>
      </c>
      <c r="AS101" s="770">
        <f t="shared" si="59"/>
        <v>15.535621587530722</v>
      </c>
      <c r="AT101" s="770">
        <f t="shared" si="60"/>
        <v>13.924110251961139</v>
      </c>
      <c r="AU101" s="770">
        <f t="shared" si="61"/>
        <v>10.769473736140849</v>
      </c>
      <c r="AV101" s="770">
        <f t="shared" si="62"/>
        <v>7.3120956078682235</v>
      </c>
      <c r="AW101" s="770">
        <f t="shared" si="63"/>
        <v>4.9962790196864288</v>
      </c>
      <c r="AX101" s="770">
        <f t="shared" si="64"/>
        <v>3.7515664118892196</v>
      </c>
      <c r="AY101" s="770">
        <f t="shared" si="65"/>
        <v>3.0225884051582659</v>
      </c>
      <c r="AZ101" s="770">
        <f t="shared" si="66"/>
        <v>2.9200918396892952</v>
      </c>
      <c r="BA101" s="770"/>
      <c r="BB101" s="770">
        <f t="shared" si="67"/>
        <v>11.934382859775489</v>
      </c>
    </row>
    <row r="102" spans="1:54" x14ac:dyDescent="0.75">
      <c r="A102" s="132" t="s">
        <v>223</v>
      </c>
      <c r="B102" s="132" t="str">
        <f>VLOOKUP(A102,'HCW + Staff Summary'!B:E,4,FALSE)</f>
        <v>Upper middle income</v>
      </c>
      <c r="C102" s="770">
        <v>16.212586343707301</v>
      </c>
      <c r="D102" s="770">
        <v>34.3197284607892</v>
      </c>
      <c r="E102" s="770">
        <v>38.894810625739602</v>
      </c>
      <c r="F102" s="770">
        <v>31.442157605755</v>
      </c>
      <c r="G102" s="770">
        <v>17.98072353417</v>
      </c>
      <c r="H102" s="770">
        <v>16.650173524796699</v>
      </c>
      <c r="I102" s="770">
        <v>15.597121223445299</v>
      </c>
      <c r="J102" s="770">
        <v>14.3901965025146</v>
      </c>
      <c r="K102" s="770">
        <v>12.3866757338425</v>
      </c>
      <c r="L102" s="770">
        <v>9.5034509378725094</v>
      </c>
      <c r="M102" s="770">
        <v>7.1576030721475297</v>
      </c>
      <c r="N102" s="770">
        <v>4.6970987025322399</v>
      </c>
      <c r="O102" s="770">
        <v>2.5452371931946001</v>
      </c>
      <c r="P102" s="770">
        <v>1.2937006488873399</v>
      </c>
      <c r="Q102" s="770">
        <v>0.76180134165195501</v>
      </c>
      <c r="R102" s="770">
        <v>0.47294756531086801</v>
      </c>
      <c r="S102" s="770"/>
      <c r="T102" s="770">
        <v>0.11526010270149586</v>
      </c>
      <c r="U102" s="770">
        <v>0.11062737218129047</v>
      </c>
      <c r="V102" s="770">
        <v>0.10750167448091091</v>
      </c>
      <c r="W102" s="770">
        <v>0.10861799508818933</v>
      </c>
      <c r="X102" s="770">
        <v>0.10058048671578478</v>
      </c>
      <c r="Y102" s="770">
        <v>8.9919624916275948E-2</v>
      </c>
      <c r="Z102" s="770">
        <v>7.5574905112748378E-2</v>
      </c>
      <c r="AA102" s="770">
        <v>6.5751283768698376E-2</v>
      </c>
      <c r="AB102" s="770">
        <v>5.3360125027908017E-2</v>
      </c>
      <c r="AC102" s="770">
        <v>4.1638758651484704E-2</v>
      </c>
      <c r="AD102" s="770">
        <v>3.2540745702165662E-2</v>
      </c>
      <c r="AE102" s="770">
        <v>2.6233534271042643E-2</v>
      </c>
      <c r="AF102" s="770">
        <v>2.1879883902656844E-2</v>
      </c>
      <c r="AG102" s="770">
        <v>1.8251841929002009E-2</v>
      </c>
      <c r="AH102" s="770">
        <v>1.2391158740790355E-2</v>
      </c>
      <c r="AI102" s="770">
        <v>8.9863808885912028E-3</v>
      </c>
      <c r="AJ102" s="770"/>
      <c r="AK102" s="770">
        <f t="shared" si="51"/>
        <v>8.7913043866180391</v>
      </c>
      <c r="AL102" s="770">
        <f t="shared" si="52"/>
        <v>19.389261323899447</v>
      </c>
      <c r="AM102" s="770">
        <f t="shared" si="53"/>
        <v>22.612909760213874</v>
      </c>
      <c r="AN102" s="770">
        <f t="shared" si="54"/>
        <v>18.092166484606455</v>
      </c>
      <c r="AO102" s="770">
        <f t="shared" si="55"/>
        <v>11.173093883122561</v>
      </c>
      <c r="AP102" s="770">
        <f t="shared" si="56"/>
        <v>11.572955806574242</v>
      </c>
      <c r="AQ102" s="770">
        <f t="shared" si="57"/>
        <v>12.898727097454117</v>
      </c>
      <c r="AR102" s="770">
        <f t="shared" si="58"/>
        <v>13.678626938616912</v>
      </c>
      <c r="AS102" s="770">
        <f t="shared" si="59"/>
        <v>14.508347440345334</v>
      </c>
      <c r="AT102" s="770">
        <f t="shared" si="60"/>
        <v>14.264730814588127</v>
      </c>
      <c r="AU102" s="770">
        <f t="shared" si="61"/>
        <v>13.747386003494334</v>
      </c>
      <c r="AV102" s="770">
        <f t="shared" si="62"/>
        <v>11.190587813107395</v>
      </c>
      <c r="AW102" s="770">
        <f t="shared" si="63"/>
        <v>7.2704830282644215</v>
      </c>
      <c r="AX102" s="770">
        <f t="shared" si="64"/>
        <v>4.4300345614421985</v>
      </c>
      <c r="AY102" s="770">
        <f t="shared" si="65"/>
        <v>3.8424641996161109</v>
      </c>
      <c r="AZ102" s="770">
        <f t="shared" si="66"/>
        <v>3.2893356289244999</v>
      </c>
      <c r="BA102" s="770"/>
      <c r="BB102" s="770">
        <f t="shared" si="67"/>
        <v>11.922025948180503</v>
      </c>
    </row>
    <row r="103" spans="1:54" x14ac:dyDescent="0.75">
      <c r="A103" s="132" t="s">
        <v>476</v>
      </c>
      <c r="B103" s="132" t="str">
        <f>VLOOKUP(A103,'HCW + Staff Summary'!B:E,4,FALSE)</f>
        <v>Upper middle income</v>
      </c>
      <c r="C103" s="770">
        <v>8.3951618969429198</v>
      </c>
      <c r="D103" s="770">
        <v>14.8555437474346</v>
      </c>
      <c r="E103" s="770">
        <v>21.794771472617001</v>
      </c>
      <c r="F103" s="770">
        <v>24.313345481819301</v>
      </c>
      <c r="G103" s="770">
        <v>14.3574670600352</v>
      </c>
      <c r="H103" s="770">
        <v>16.781813790902699</v>
      </c>
      <c r="I103" s="770">
        <v>17.618014930416098</v>
      </c>
      <c r="J103" s="770">
        <v>17.715555132838201</v>
      </c>
      <c r="K103" s="770">
        <v>15.543056174538901</v>
      </c>
      <c r="L103" s="770">
        <v>12.978068084118</v>
      </c>
      <c r="M103" s="770">
        <v>9.6206047232223995</v>
      </c>
      <c r="N103" s="770">
        <v>6.5710474090309301</v>
      </c>
      <c r="O103" s="770">
        <v>4.7550373319031998</v>
      </c>
      <c r="P103" s="770">
        <v>3.2754736697253599</v>
      </c>
      <c r="Q103" s="770">
        <v>2.8516432393303801</v>
      </c>
      <c r="R103" s="770">
        <v>1.59198806817397</v>
      </c>
      <c r="S103" s="770"/>
      <c r="T103" s="770">
        <v>5.9485530546623797E-2</v>
      </c>
      <c r="U103" s="770">
        <v>5.9485530546623797E-2</v>
      </c>
      <c r="V103" s="770">
        <v>6.2700964630225078E-2</v>
      </c>
      <c r="W103" s="770">
        <v>6.1093247588424437E-2</v>
      </c>
      <c r="X103" s="770">
        <v>6.591639871382636E-2</v>
      </c>
      <c r="Y103" s="770">
        <v>6.7524115755627015E-2</v>
      </c>
      <c r="Z103" s="770">
        <v>6.9131832797427656E-2</v>
      </c>
      <c r="AA103" s="770">
        <v>7.2347266881028938E-2</v>
      </c>
      <c r="AB103" s="770">
        <v>6.7524115755627015E-2</v>
      </c>
      <c r="AC103" s="770">
        <v>6.591639871382636E-2</v>
      </c>
      <c r="AD103" s="770">
        <v>6.1093247588424437E-2</v>
      </c>
      <c r="AE103" s="770">
        <v>6.7524115755627015E-2</v>
      </c>
      <c r="AF103" s="770">
        <v>6.2700964630225078E-2</v>
      </c>
      <c r="AG103" s="770">
        <v>5.7877813504823149E-2</v>
      </c>
      <c r="AH103" s="770">
        <v>4.0192926045016078E-2</v>
      </c>
      <c r="AI103" s="770">
        <v>2.5401929260450162E-2</v>
      </c>
      <c r="AJ103" s="770"/>
      <c r="AK103" s="770">
        <f t="shared" si="51"/>
        <v>8.8205923984771886</v>
      </c>
      <c r="AL103" s="770">
        <f t="shared" si="52"/>
        <v>15.608358464365407</v>
      </c>
      <c r="AM103" s="770">
        <f t="shared" si="53"/>
        <v>21.724916435845792</v>
      </c>
      <c r="AN103" s="770">
        <f t="shared" si="54"/>
        <v>24.873192252782246</v>
      </c>
      <c r="AO103" s="770">
        <f t="shared" si="55"/>
        <v>13.613330047777279</v>
      </c>
      <c r="AP103" s="770">
        <f t="shared" si="56"/>
        <v>15.533166931460533</v>
      </c>
      <c r="AQ103" s="770">
        <f t="shared" si="57"/>
        <v>15.927914660928506</v>
      </c>
      <c r="AR103" s="770">
        <f t="shared" si="58"/>
        <v>15.304271239757446</v>
      </c>
      <c r="AS103" s="770">
        <f t="shared" si="59"/>
        <v>14.386578780599994</v>
      </c>
      <c r="AT103" s="770">
        <f t="shared" si="60"/>
        <v>12.305424311465543</v>
      </c>
      <c r="AU103" s="770">
        <f t="shared" si="61"/>
        <v>9.8421318056650211</v>
      </c>
      <c r="AV103" s="770">
        <f t="shared" si="62"/>
        <v>6.0821301910970806</v>
      </c>
      <c r="AW103" s="770">
        <f t="shared" si="63"/>
        <v>4.7397968276342795</v>
      </c>
      <c r="AX103" s="770">
        <f t="shared" si="64"/>
        <v>3.5370566364048157</v>
      </c>
      <c r="AY103" s="770">
        <f t="shared" si="65"/>
        <v>4.4343052371587408</v>
      </c>
      <c r="AZ103" s="770">
        <f t="shared" si="66"/>
        <v>3.9169959588774104</v>
      </c>
      <c r="BA103" s="770"/>
      <c r="BB103" s="770">
        <f t="shared" si="67"/>
        <v>11.915635136268582</v>
      </c>
    </row>
    <row r="104" spans="1:54" x14ac:dyDescent="0.75">
      <c r="A104" s="132" t="s">
        <v>357</v>
      </c>
      <c r="B104" s="132" t="str">
        <f>VLOOKUP(A104,'HCW + Staff Summary'!B:E,4,FALSE)</f>
        <v>Upper middle income</v>
      </c>
      <c r="C104" s="770">
        <v>9.3064074439550204</v>
      </c>
      <c r="D104" s="770">
        <v>20.6294840799283</v>
      </c>
      <c r="E104" s="770">
        <v>25.842892944214501</v>
      </c>
      <c r="F104" s="770">
        <v>29.158299903079602</v>
      </c>
      <c r="G104" s="770">
        <v>19.377371953050499</v>
      </c>
      <c r="H104" s="770">
        <v>19.839069297659201</v>
      </c>
      <c r="I104" s="770">
        <v>18.587108744102199</v>
      </c>
      <c r="J104" s="770">
        <v>17.454040595112701</v>
      </c>
      <c r="K104" s="770">
        <v>15.8871528849785</v>
      </c>
      <c r="L104" s="770">
        <v>12.767240132409</v>
      </c>
      <c r="M104" s="770">
        <v>9.6943749014605594</v>
      </c>
      <c r="N104" s="770">
        <v>5.81613746389288</v>
      </c>
      <c r="O104" s="770">
        <v>3.00167805591814</v>
      </c>
      <c r="P104" s="770">
        <v>1.9265146209299</v>
      </c>
      <c r="Q104" s="770">
        <v>1.0914353081007699</v>
      </c>
      <c r="R104" s="770">
        <v>0.69044980443699</v>
      </c>
      <c r="S104" s="770"/>
      <c r="T104" s="770">
        <v>6.8315665488810365E-2</v>
      </c>
      <c r="U104" s="770">
        <v>7.0278759324695725E-2</v>
      </c>
      <c r="V104" s="770">
        <v>6.9886140557518656E-2</v>
      </c>
      <c r="W104" s="770">
        <v>7.1456615626226933E-2</v>
      </c>
      <c r="X104" s="770">
        <v>7.8523753435414206E-2</v>
      </c>
      <c r="Y104" s="770">
        <v>8.3431488025127606E-2</v>
      </c>
      <c r="Z104" s="770">
        <v>8.4609344326658814E-2</v>
      </c>
      <c r="AA104" s="770">
        <v>7.754220651747154E-2</v>
      </c>
      <c r="AB104" s="770">
        <v>6.8315665488810365E-2</v>
      </c>
      <c r="AC104" s="770">
        <v>5.9285433843737731E-2</v>
      </c>
      <c r="AD104" s="770">
        <v>5.9874361994503335E-2</v>
      </c>
      <c r="AE104" s="770">
        <v>5.8500196309383586E-2</v>
      </c>
      <c r="AF104" s="770">
        <v>4.7899489595602668E-2</v>
      </c>
      <c r="AG104" s="770">
        <v>3.5139379662347862E-2</v>
      </c>
      <c r="AH104" s="770">
        <v>2.728700431880644E-2</v>
      </c>
      <c r="AI104" s="770">
        <v>1.8256772673733806E-2</v>
      </c>
      <c r="AJ104" s="770"/>
      <c r="AK104" s="770">
        <f t="shared" si="51"/>
        <v>8.5141593964631603</v>
      </c>
      <c r="AL104" s="770">
        <f t="shared" si="52"/>
        <v>18.346122888120593</v>
      </c>
      <c r="AM104" s="770">
        <f t="shared" si="53"/>
        <v>23.11160404807385</v>
      </c>
      <c r="AN104" s="770">
        <f t="shared" si="54"/>
        <v>25.503499262755408</v>
      </c>
      <c r="AO104" s="770">
        <f t="shared" si="55"/>
        <v>15.423176988881133</v>
      </c>
      <c r="AP104" s="770">
        <f t="shared" si="56"/>
        <v>14.861796912099406</v>
      </c>
      <c r="AQ104" s="770">
        <f t="shared" si="57"/>
        <v>13.730094539219344</v>
      </c>
      <c r="AR104" s="770">
        <f t="shared" si="58"/>
        <v>14.068177656883559</v>
      </c>
      <c r="AS104" s="770">
        <f t="shared" si="59"/>
        <v>14.534690516537442</v>
      </c>
      <c r="AT104" s="770">
        <f t="shared" si="60"/>
        <v>13.45950356674078</v>
      </c>
      <c r="AU104" s="770">
        <f t="shared" si="61"/>
        <v>10.119497079516412</v>
      </c>
      <c r="AV104" s="770">
        <f t="shared" si="62"/>
        <v>6.213801225056697</v>
      </c>
      <c r="AW104" s="770">
        <f t="shared" si="63"/>
        <v>3.9166362748071224</v>
      </c>
      <c r="AX104" s="770">
        <f t="shared" si="64"/>
        <v>3.426559175634396</v>
      </c>
      <c r="AY104" s="770">
        <f t="shared" si="65"/>
        <v>2.4998972389682201</v>
      </c>
      <c r="AZ104" s="770">
        <f t="shared" si="66"/>
        <v>2.3636769514798566</v>
      </c>
      <c r="BA104" s="770"/>
      <c r="BB104" s="770">
        <f t="shared" si="67"/>
        <v>11.880805857577338</v>
      </c>
    </row>
    <row r="105" spans="1:54" x14ac:dyDescent="0.75">
      <c r="A105" s="132" t="s">
        <v>433</v>
      </c>
      <c r="B105" s="132" t="str">
        <f>VLOOKUP(A105,'HCW + Staff Summary'!B:E,4,FALSE)</f>
        <v>Lower middle income</v>
      </c>
      <c r="C105" s="770">
        <v>13.730525483188099</v>
      </c>
      <c r="D105" s="770">
        <v>21.308585314960499</v>
      </c>
      <c r="E105" s="770">
        <v>27.277595084327601</v>
      </c>
      <c r="F105" s="770">
        <v>33.908110443856501</v>
      </c>
      <c r="G105" s="770">
        <v>21.080378849632002</v>
      </c>
      <c r="H105" s="770">
        <v>19.637054508862001</v>
      </c>
      <c r="I105" s="770">
        <v>17.371021042585099</v>
      </c>
      <c r="J105" s="770">
        <v>16.435687300785801</v>
      </c>
      <c r="K105" s="770">
        <v>14.8543010109283</v>
      </c>
      <c r="L105" s="770">
        <v>11.5539294136519</v>
      </c>
      <c r="M105" s="770">
        <v>8.4601621178053001</v>
      </c>
      <c r="N105" s="770">
        <v>4.4078185491745696</v>
      </c>
      <c r="O105" s="770">
        <v>2.21959431789465</v>
      </c>
      <c r="P105" s="770">
        <v>1.14239866354897</v>
      </c>
      <c r="Q105" s="770">
        <v>0.83244837650645798</v>
      </c>
      <c r="R105" s="770">
        <v>0.48861117821272998</v>
      </c>
      <c r="S105" s="770"/>
      <c r="T105" s="770">
        <v>0.11650485436893204</v>
      </c>
      <c r="U105" s="770">
        <v>0.11789181692094314</v>
      </c>
      <c r="V105" s="770">
        <v>9.2155956233626143E-2</v>
      </c>
      <c r="W105" s="770">
        <v>7.6591154261057171E-2</v>
      </c>
      <c r="X105" s="770">
        <v>7.8902758514409005E-2</v>
      </c>
      <c r="Y105" s="770">
        <v>8.7070426876252119E-2</v>
      </c>
      <c r="Z105" s="770">
        <v>8.7686854677145945E-2</v>
      </c>
      <c r="AA105" s="770">
        <v>6.780705809832023E-2</v>
      </c>
      <c r="AB105" s="770">
        <v>5.5478502080443831E-2</v>
      </c>
      <c r="AC105" s="770">
        <v>4.9776544922175987E-2</v>
      </c>
      <c r="AD105" s="770">
        <v>4.5307443365695796E-2</v>
      </c>
      <c r="AE105" s="770">
        <v>4.3766373863461244E-2</v>
      </c>
      <c r="AF105" s="770">
        <v>3.3749422098936659E-2</v>
      </c>
      <c r="AG105" s="770">
        <v>2.2037293881954075E-2</v>
      </c>
      <c r="AH105" s="770">
        <v>1.2174449067652951E-2</v>
      </c>
      <c r="AI105" s="770">
        <v>5.0855293573740176E-3</v>
      </c>
      <c r="AJ105" s="770"/>
      <c r="AK105" s="770">
        <f t="shared" si="51"/>
        <v>7.3658548165019493</v>
      </c>
      <c r="AL105" s="770">
        <f t="shared" si="52"/>
        <v>11.296683832416559</v>
      </c>
      <c r="AM105" s="770">
        <f t="shared" si="53"/>
        <v>18.49961481001273</v>
      </c>
      <c r="AN105" s="770">
        <f t="shared" si="54"/>
        <v>27.66973449071741</v>
      </c>
      <c r="AO105" s="770">
        <f t="shared" si="55"/>
        <v>16.698068646882575</v>
      </c>
      <c r="AP105" s="770">
        <f t="shared" si="56"/>
        <v>14.09566888362893</v>
      </c>
      <c r="AQ105" s="770">
        <f t="shared" si="57"/>
        <v>12.381431848125516</v>
      </c>
      <c r="AR105" s="770">
        <f t="shared" si="58"/>
        <v>15.149314615738504</v>
      </c>
      <c r="AS105" s="770">
        <f t="shared" si="59"/>
        <v>16.734298482623913</v>
      </c>
      <c r="AT105" s="770">
        <f t="shared" si="60"/>
        <v>14.507246123294735</v>
      </c>
      <c r="AU105" s="770">
        <f t="shared" si="61"/>
        <v>11.670491492865347</v>
      </c>
      <c r="AV105" s="770">
        <f t="shared" si="62"/>
        <v>6.2945278533437019</v>
      </c>
      <c r="AW105" s="770">
        <f t="shared" si="63"/>
        <v>4.1104302308271645</v>
      </c>
      <c r="AX105" s="770">
        <f t="shared" si="64"/>
        <v>3.2399584474516026</v>
      </c>
      <c r="AY105" s="770">
        <f t="shared" si="65"/>
        <v>4.2735423379354476</v>
      </c>
      <c r="AZ105" s="770">
        <f t="shared" si="66"/>
        <v>6.0049203322394034</v>
      </c>
      <c r="BA105" s="770"/>
      <c r="BB105" s="770">
        <f t="shared" si="67"/>
        <v>11.874486702787845</v>
      </c>
    </row>
    <row r="106" spans="1:54" x14ac:dyDescent="0.75">
      <c r="A106" s="132" t="s">
        <v>213</v>
      </c>
      <c r="B106" s="132" t="str">
        <f>VLOOKUP(A106,'HCW + Staff Summary'!B:E,4,FALSE)</f>
        <v>High income</v>
      </c>
      <c r="C106" s="770">
        <v>12.6154654673136</v>
      </c>
      <c r="D106" s="770">
        <v>17.419470708510399</v>
      </c>
      <c r="E106" s="770">
        <v>20.100770174235699</v>
      </c>
      <c r="F106" s="770">
        <v>25.914608180882901</v>
      </c>
      <c r="G106" s="770">
        <v>16.3549651994919</v>
      </c>
      <c r="H106" s="770">
        <v>18.186612456856</v>
      </c>
      <c r="I106" s="770">
        <v>19.3675493705036</v>
      </c>
      <c r="J106" s="770">
        <v>19.682611677225001</v>
      </c>
      <c r="K106" s="770">
        <v>18.4953787548375</v>
      </c>
      <c r="L106" s="770">
        <v>14.9442312411839</v>
      </c>
      <c r="M106" s="770">
        <v>10.6281632609443</v>
      </c>
      <c r="N106" s="770">
        <v>6.2148411278885103</v>
      </c>
      <c r="O106" s="770">
        <v>3.0186826663492798</v>
      </c>
      <c r="P106" s="770">
        <v>2.08705121685025</v>
      </c>
      <c r="Q106" s="770">
        <v>1.3372072795598799</v>
      </c>
      <c r="R106" s="770">
        <v>0.90730042782689801</v>
      </c>
      <c r="S106" s="770"/>
      <c r="T106" s="770">
        <v>8.0612244897959179E-2</v>
      </c>
      <c r="U106" s="770">
        <v>8.0612244897959179E-2</v>
      </c>
      <c r="V106" s="770">
        <v>7.5510204081632656E-2</v>
      </c>
      <c r="W106" s="770">
        <v>6.5306122448979598E-2</v>
      </c>
      <c r="X106" s="770">
        <v>6.4285714285714279E-2</v>
      </c>
      <c r="Y106" s="770">
        <v>7.1428571428571425E-2</v>
      </c>
      <c r="Z106" s="770">
        <v>7.1428571428571425E-2</v>
      </c>
      <c r="AA106" s="770">
        <v>7.4489795918367352E-2</v>
      </c>
      <c r="AB106" s="770">
        <v>7.5510204081632656E-2</v>
      </c>
      <c r="AC106" s="770">
        <v>7.5510204081632656E-2</v>
      </c>
      <c r="AD106" s="770">
        <v>6.8367346938775511E-2</v>
      </c>
      <c r="AE106" s="770">
        <v>6.224489795918367E-2</v>
      </c>
      <c r="AF106" s="770">
        <v>4.8979591836734691E-2</v>
      </c>
      <c r="AG106" s="770">
        <v>3.1632653061224487E-2</v>
      </c>
      <c r="AH106" s="770">
        <v>1.7346938775510204E-2</v>
      </c>
      <c r="AI106" s="770">
        <v>1.6326530612244899E-2</v>
      </c>
      <c r="AJ106" s="770"/>
      <c r="AK106" s="770">
        <f t="shared" si="51"/>
        <v>9.7809779730754176</v>
      </c>
      <c r="AL106" s="770">
        <f t="shared" si="52"/>
        <v>13.505602289826102</v>
      </c>
      <c r="AM106" s="770">
        <f t="shared" si="53"/>
        <v>16.637461799620763</v>
      </c>
      <c r="AN106" s="770">
        <f t="shared" si="54"/>
        <v>24.801089860610588</v>
      </c>
      <c r="AO106" s="770">
        <f t="shared" si="55"/>
        <v>15.900660610617127</v>
      </c>
      <c r="AP106" s="770">
        <f t="shared" si="56"/>
        <v>15.913285899749001</v>
      </c>
      <c r="AQ106" s="770">
        <f t="shared" si="57"/>
        <v>16.946605699190652</v>
      </c>
      <c r="AR106" s="770">
        <f t="shared" si="58"/>
        <v>16.514520071644263</v>
      </c>
      <c r="AS106" s="770">
        <f t="shared" si="59"/>
        <v>15.308674982889146</v>
      </c>
      <c r="AT106" s="770">
        <f t="shared" si="60"/>
        <v>12.369380588142079</v>
      </c>
      <c r="AU106" s="770">
        <f t="shared" si="61"/>
        <v>9.7160447721319159</v>
      </c>
      <c r="AV106" s="770">
        <f t="shared" si="62"/>
        <v>6.2403117882487091</v>
      </c>
      <c r="AW106" s="770">
        <f t="shared" si="63"/>
        <v>3.8519648607061123</v>
      </c>
      <c r="AX106" s="770">
        <f t="shared" si="64"/>
        <v>4.1236092590992843</v>
      </c>
      <c r="AY106" s="770">
        <f t="shared" si="65"/>
        <v>4.8178791690025085</v>
      </c>
      <c r="AZ106" s="770">
        <f t="shared" si="66"/>
        <v>3.4732594502748437</v>
      </c>
      <c r="BA106" s="770"/>
      <c r="BB106" s="770">
        <f t="shared" si="67"/>
        <v>11.86883306717678</v>
      </c>
    </row>
    <row r="107" spans="1:54" x14ac:dyDescent="0.75">
      <c r="A107" s="132" t="s">
        <v>253</v>
      </c>
      <c r="B107" s="132" t="str">
        <f>VLOOKUP(A107,'HCW + Staff Summary'!B:E,4,FALSE)</f>
        <v>Lower middle income</v>
      </c>
      <c r="C107" s="770">
        <v>11.935159186803</v>
      </c>
      <c r="D107" s="770">
        <v>25.7352338083946</v>
      </c>
      <c r="E107" s="770">
        <v>31.228279590148201</v>
      </c>
      <c r="F107" s="770">
        <v>31.5678400503562</v>
      </c>
      <c r="G107" s="770">
        <v>18.812023398769501</v>
      </c>
      <c r="H107" s="770">
        <v>18.4323914597142</v>
      </c>
      <c r="I107" s="770">
        <v>17.784252292399199</v>
      </c>
      <c r="J107" s="770">
        <v>17.440405720625499</v>
      </c>
      <c r="K107" s="770">
        <v>15.8353322827851</v>
      </c>
      <c r="L107" s="770">
        <v>12.386154601895999</v>
      </c>
      <c r="M107" s="770">
        <v>9.3606389857104393</v>
      </c>
      <c r="N107" s="770">
        <v>5.4908805938915402</v>
      </c>
      <c r="O107" s="770">
        <v>2.90877546621393</v>
      </c>
      <c r="P107" s="770">
        <v>1.4281840061307201</v>
      </c>
      <c r="Q107" s="770">
        <v>0.883734269288036</v>
      </c>
      <c r="R107" s="770">
        <v>0.43444253001980998</v>
      </c>
      <c r="S107" s="770"/>
      <c r="T107" s="770">
        <v>9.6887234100802147E-2</v>
      </c>
      <c r="U107" s="770">
        <v>0.10401438205528331</v>
      </c>
      <c r="V107" s="770">
        <v>9.9533678283644067E-2</v>
      </c>
      <c r="W107" s="770">
        <v>9.5481880983017131E-2</v>
      </c>
      <c r="X107" s="770">
        <v>9.2214891267646759E-2</v>
      </c>
      <c r="Y107" s="770">
        <v>8.6511347770142633E-2</v>
      </c>
      <c r="Z107" s="770">
        <v>7.5259397158266489E-2</v>
      </c>
      <c r="AA107" s="770">
        <v>6.6206732919027927E-2</v>
      </c>
      <c r="AB107" s="770">
        <v>5.9791387193035291E-2</v>
      </c>
      <c r="AC107" s="770">
        <v>5.2563856872998055E-2</v>
      </c>
      <c r="AD107" s="770">
        <v>4.6696051322765809E-2</v>
      </c>
      <c r="AE107" s="770">
        <v>3.8784095783028077E-2</v>
      </c>
      <c r="AF107" s="770">
        <v>3.0963396939250418E-2</v>
      </c>
      <c r="AG107" s="770">
        <v>2.2686414615672425E-2</v>
      </c>
      <c r="AH107" s="770">
        <v>1.5166862868562982E-2</v>
      </c>
      <c r="AI107" s="770">
        <v>8.9249048648944625E-3</v>
      </c>
      <c r="AJ107" s="770"/>
      <c r="AK107" s="770">
        <f t="shared" si="51"/>
        <v>7.6991303972936072</v>
      </c>
      <c r="AL107" s="770">
        <f t="shared" si="52"/>
        <v>15.463747236125245</v>
      </c>
      <c r="AM107" s="770">
        <f t="shared" si="53"/>
        <v>19.609116311589059</v>
      </c>
      <c r="AN107" s="770">
        <f t="shared" si="54"/>
        <v>20.663501628106676</v>
      </c>
      <c r="AO107" s="770">
        <f t="shared" si="55"/>
        <v>12.750125779691741</v>
      </c>
      <c r="AP107" s="770">
        <f t="shared" si="56"/>
        <v>13.3164549614118</v>
      </c>
      <c r="AQ107" s="770">
        <f t="shared" si="57"/>
        <v>14.769129308031683</v>
      </c>
      <c r="AR107" s="770">
        <f t="shared" si="58"/>
        <v>16.463965362438515</v>
      </c>
      <c r="AS107" s="770">
        <f t="shared" si="59"/>
        <v>16.552689511598309</v>
      </c>
      <c r="AT107" s="770">
        <f t="shared" si="60"/>
        <v>14.727508761180182</v>
      </c>
      <c r="AU107" s="770">
        <f t="shared" si="61"/>
        <v>12.528681120445764</v>
      </c>
      <c r="AV107" s="770">
        <f t="shared" si="62"/>
        <v>8.8484733288121902</v>
      </c>
      <c r="AW107" s="770">
        <f t="shared" si="63"/>
        <v>5.8713992846151761</v>
      </c>
      <c r="AX107" s="770">
        <f t="shared" si="64"/>
        <v>3.9345794342269316</v>
      </c>
      <c r="AY107" s="770">
        <f t="shared" si="65"/>
        <v>3.641714988073566</v>
      </c>
      <c r="AZ107" s="770">
        <f t="shared" si="66"/>
        <v>3.0423470655739258</v>
      </c>
      <c r="BA107" s="770"/>
      <c r="BB107" s="770">
        <f t="shared" si="67"/>
        <v>11.867660279950897</v>
      </c>
    </row>
    <row r="108" spans="1:54" x14ac:dyDescent="0.75">
      <c r="A108" s="132" t="s">
        <v>434</v>
      </c>
      <c r="B108" s="132" t="str">
        <f>VLOOKUP(A108,'HCW + Staff Summary'!B:E,4,FALSE)</f>
        <v>Lower middle income</v>
      </c>
      <c r="C108" s="770">
        <v>15.206591992050701</v>
      </c>
      <c r="D108" s="770">
        <v>33.523817509587701</v>
      </c>
      <c r="E108" s="770">
        <v>37.215448458533302</v>
      </c>
      <c r="F108" s="770">
        <v>34.463874104576298</v>
      </c>
      <c r="G108" s="770">
        <v>17.743498932572301</v>
      </c>
      <c r="H108" s="770">
        <v>16.359080558959</v>
      </c>
      <c r="I108" s="770">
        <v>14.9344750377686</v>
      </c>
      <c r="J108" s="770">
        <v>14.6535122839077</v>
      </c>
      <c r="K108" s="770">
        <v>12.659667862275599</v>
      </c>
      <c r="L108" s="770">
        <v>10.0515254770113</v>
      </c>
      <c r="M108" s="770">
        <v>7.99674920143047</v>
      </c>
      <c r="N108" s="770">
        <v>5.3115620154274898</v>
      </c>
      <c r="O108" s="770">
        <v>3.25573967921583</v>
      </c>
      <c r="P108" s="770">
        <v>1.3339588591793801</v>
      </c>
      <c r="Q108" s="770">
        <v>0.68411792784694603</v>
      </c>
      <c r="R108" s="770">
        <v>0.40796663696153301</v>
      </c>
      <c r="S108" s="770"/>
      <c r="T108" s="770">
        <v>0.10953820780648708</v>
      </c>
      <c r="U108" s="770">
        <v>0.10582737768004398</v>
      </c>
      <c r="V108" s="770">
        <v>0.10404068169323805</v>
      </c>
      <c r="W108" s="770">
        <v>9.7443650357339193E-2</v>
      </c>
      <c r="X108" s="770">
        <v>9.5107201759208351E-2</v>
      </c>
      <c r="Y108" s="770">
        <v>9.2221000549752616E-2</v>
      </c>
      <c r="Z108" s="770">
        <v>8.122594832325454E-2</v>
      </c>
      <c r="AA108" s="770">
        <v>6.8031885651456847E-2</v>
      </c>
      <c r="AB108" s="770">
        <v>5.7311709730621219E-2</v>
      </c>
      <c r="AC108" s="770">
        <v>4.8927982407916439E-2</v>
      </c>
      <c r="AD108" s="770">
        <v>3.9719626168224297E-2</v>
      </c>
      <c r="AE108" s="770">
        <v>3.2710280373831772E-2</v>
      </c>
      <c r="AF108" s="770">
        <v>2.5426058273776801E-2</v>
      </c>
      <c r="AG108" s="770">
        <v>1.8416712479384277E-2</v>
      </c>
      <c r="AH108" s="770">
        <v>1.154480483782298E-2</v>
      </c>
      <c r="AI108" s="770">
        <v>7.1467839472237494E-3</v>
      </c>
      <c r="AJ108" s="770"/>
      <c r="AK108" s="770">
        <f t="shared" si="51"/>
        <v>8.6765341385006973</v>
      </c>
      <c r="AL108" s="770">
        <f t="shared" si="52"/>
        <v>19.798644172058452</v>
      </c>
      <c r="AM108" s="770">
        <f t="shared" si="53"/>
        <v>22.356308040314424</v>
      </c>
      <c r="AN108" s="770">
        <f t="shared" si="54"/>
        <v>22.105002466933811</v>
      </c>
      <c r="AO108" s="770">
        <f t="shared" si="55"/>
        <v>11.660196733507593</v>
      </c>
      <c r="AP108" s="770">
        <f t="shared" si="56"/>
        <v>11.086873150799709</v>
      </c>
      <c r="AQ108" s="770">
        <f t="shared" si="57"/>
        <v>11.491459430499612</v>
      </c>
      <c r="AR108" s="770">
        <f t="shared" si="58"/>
        <v>13.461989315367729</v>
      </c>
      <c r="AS108" s="770">
        <f t="shared" si="59"/>
        <v>13.805716931342515</v>
      </c>
      <c r="AT108" s="770">
        <f t="shared" si="60"/>
        <v>12.839694411996877</v>
      </c>
      <c r="AU108" s="770">
        <f t="shared" si="61"/>
        <v>12.58312006695677</v>
      </c>
      <c r="AV108" s="770">
        <f t="shared" si="62"/>
        <v>10.148877422334669</v>
      </c>
      <c r="AW108" s="770">
        <f t="shared" si="63"/>
        <v>8.0029601033697215</v>
      </c>
      <c r="AX108" s="770">
        <f t="shared" si="64"/>
        <v>4.526998441879277</v>
      </c>
      <c r="AY108" s="770">
        <f t="shared" si="65"/>
        <v>3.7036027105761749</v>
      </c>
      <c r="AZ108" s="770">
        <f t="shared" si="66"/>
        <v>3.5677466953510986</v>
      </c>
      <c r="BA108" s="770"/>
      <c r="BB108" s="770">
        <f t="shared" si="67"/>
        <v>11.863482764486822</v>
      </c>
    </row>
    <row r="109" spans="1:54" x14ac:dyDescent="0.75">
      <c r="A109" s="132" t="s">
        <v>205</v>
      </c>
      <c r="B109" s="132" t="str">
        <f>VLOOKUP(A109,'HCW + Staff Summary'!B:E,4,FALSE)</f>
        <v>Lower middle income</v>
      </c>
      <c r="C109" s="770">
        <v>17.986763613844399</v>
      </c>
      <c r="D109" s="770">
        <v>38.328877638974603</v>
      </c>
      <c r="E109" s="770">
        <v>39.461404851122801</v>
      </c>
      <c r="F109" s="770">
        <v>27.8694573437588</v>
      </c>
      <c r="G109" s="770">
        <v>16.374161846057099</v>
      </c>
      <c r="H109" s="770">
        <v>15.723520591645</v>
      </c>
      <c r="I109" s="770">
        <v>14.020602443617999</v>
      </c>
      <c r="J109" s="770">
        <v>13.130918503075399</v>
      </c>
      <c r="K109" s="770">
        <v>11.2052862518489</v>
      </c>
      <c r="L109" s="770">
        <v>8.6258545213424203</v>
      </c>
      <c r="M109" s="770">
        <v>7.0106047561532501</v>
      </c>
      <c r="N109" s="770">
        <v>4.4778401481590304</v>
      </c>
      <c r="O109" s="770">
        <v>2.7435731169728199</v>
      </c>
      <c r="P109" s="770">
        <v>1.2538164735339301</v>
      </c>
      <c r="Q109" s="770">
        <v>0.67350922513127798</v>
      </c>
      <c r="R109" s="770">
        <v>0.39290011718066897</v>
      </c>
      <c r="S109" s="770"/>
      <c r="T109" s="770">
        <v>0.14838709677419354</v>
      </c>
      <c r="U109" s="770">
        <v>0.13290322580645161</v>
      </c>
      <c r="V109" s="770">
        <v>0.11548387096774193</v>
      </c>
      <c r="W109" s="770">
        <v>0.1010752688172043</v>
      </c>
      <c r="X109" s="770">
        <v>8.9462365591397849E-2</v>
      </c>
      <c r="Y109" s="770">
        <v>7.9784946236559143E-2</v>
      </c>
      <c r="Z109" s="770">
        <v>7.1827956989247307E-2</v>
      </c>
      <c r="AA109" s="770">
        <v>6.1290322580645158E-2</v>
      </c>
      <c r="AB109" s="770">
        <v>5.053763440860215E-2</v>
      </c>
      <c r="AC109" s="770">
        <v>4.0430107526881719E-2</v>
      </c>
      <c r="AD109" s="770">
        <v>3.2043010752688172E-2</v>
      </c>
      <c r="AE109" s="770">
        <v>2.5161290322580646E-2</v>
      </c>
      <c r="AF109" s="770">
        <v>1.9139784946236558E-2</v>
      </c>
      <c r="AG109" s="770">
        <v>1.3333333333333334E-2</v>
      </c>
      <c r="AH109" s="770">
        <v>8.8172043010752692E-3</v>
      </c>
      <c r="AI109" s="770">
        <v>5.3763440860215058E-3</v>
      </c>
      <c r="AJ109" s="770"/>
      <c r="AK109" s="770">
        <f t="shared" si="51"/>
        <v>7.5759466308312016</v>
      </c>
      <c r="AL109" s="770">
        <f t="shared" si="52"/>
        <v>18.024805928522643</v>
      </c>
      <c r="AM109" s="770">
        <f t="shared" si="53"/>
        <v>21.3565563963828</v>
      </c>
      <c r="AN109" s="770">
        <f t="shared" si="54"/>
        <v>17.233108596872132</v>
      </c>
      <c r="AO109" s="770">
        <f t="shared" si="55"/>
        <v>11.439280736803713</v>
      </c>
      <c r="AP109" s="770">
        <f t="shared" si="56"/>
        <v>12.317110975597918</v>
      </c>
      <c r="AQ109" s="770">
        <f t="shared" si="57"/>
        <v>12.199813129270902</v>
      </c>
      <c r="AR109" s="770">
        <f t="shared" si="58"/>
        <v>13.390081368267678</v>
      </c>
      <c r="AS109" s="770">
        <f t="shared" si="59"/>
        <v>13.857601348696113</v>
      </c>
      <c r="AT109" s="770">
        <f t="shared" si="60"/>
        <v>13.334515799282665</v>
      </c>
      <c r="AU109" s="770">
        <f t="shared" si="61"/>
        <v>13.67420810239623</v>
      </c>
      <c r="AV109" s="770">
        <f t="shared" si="62"/>
        <v>11.122840111612977</v>
      </c>
      <c r="AW109" s="770">
        <f t="shared" si="63"/>
        <v>8.9589992934856841</v>
      </c>
      <c r="AX109" s="770">
        <f t="shared" si="64"/>
        <v>5.877264719690297</v>
      </c>
      <c r="AY109" s="770">
        <f t="shared" si="65"/>
        <v>4.7741126476531131</v>
      </c>
      <c r="AZ109" s="770">
        <f t="shared" si="66"/>
        <v>4.5674638622252761</v>
      </c>
      <c r="BA109" s="770"/>
      <c r="BB109" s="770">
        <f t="shared" si="67"/>
        <v>11.856481852974458</v>
      </c>
    </row>
    <row r="110" spans="1:54" x14ac:dyDescent="0.75">
      <c r="A110" s="132" t="s">
        <v>425</v>
      </c>
      <c r="B110" s="132" t="str">
        <f>VLOOKUP(A110,'HCW + Staff Summary'!B:E,4,FALSE)</f>
        <v>Upper middle income</v>
      </c>
      <c r="C110" s="770">
        <v>9.9876345562945996</v>
      </c>
      <c r="D110" s="770">
        <v>21.320106562904002</v>
      </c>
      <c r="E110" s="770">
        <v>29.068048957148399</v>
      </c>
      <c r="F110" s="770">
        <v>30.9818611923451</v>
      </c>
      <c r="G110" s="770">
        <v>19.314994678190399</v>
      </c>
      <c r="H110" s="770">
        <v>17.487015944945401</v>
      </c>
      <c r="I110" s="770">
        <v>17.452157541673898</v>
      </c>
      <c r="J110" s="770">
        <v>16.309194122660401</v>
      </c>
      <c r="K110" s="770">
        <v>16.521169981512902</v>
      </c>
      <c r="L110" s="770">
        <v>11.808979989201699</v>
      </c>
      <c r="M110" s="770">
        <v>9.6450426722490405</v>
      </c>
      <c r="N110" s="770">
        <v>5.8845786697565297</v>
      </c>
      <c r="O110" s="770">
        <v>3.2458459630494301</v>
      </c>
      <c r="P110" s="770">
        <v>2.00493579480742</v>
      </c>
      <c r="Q110" s="770">
        <v>1.26544991309602</v>
      </c>
      <c r="R110" s="770">
        <v>0.789183578922937</v>
      </c>
      <c r="S110" s="770"/>
      <c r="T110" s="770">
        <v>7.8014184397163122E-2</v>
      </c>
      <c r="U110" s="770">
        <v>7.9027355623100301E-2</v>
      </c>
      <c r="V110" s="770">
        <v>7.666328942924687E-2</v>
      </c>
      <c r="W110" s="770">
        <v>8.0715974332995613E-2</v>
      </c>
      <c r="X110" s="770">
        <v>8.8145896656534953E-2</v>
      </c>
      <c r="Y110" s="770">
        <v>8.5781830462681521E-2</v>
      </c>
      <c r="Z110" s="770">
        <v>7.8351908139142182E-2</v>
      </c>
      <c r="AA110" s="770">
        <v>7.1259709557581902E-2</v>
      </c>
      <c r="AB110" s="770">
        <v>6.0452549814251945E-2</v>
      </c>
      <c r="AC110" s="770">
        <v>6.0452549814251945E-2</v>
      </c>
      <c r="AD110" s="770">
        <v>5.7750759878419454E-2</v>
      </c>
      <c r="AE110" s="770">
        <v>5.0320837554880107E-2</v>
      </c>
      <c r="AF110" s="770">
        <v>4.1877744005403582E-2</v>
      </c>
      <c r="AG110" s="770">
        <v>3.0395136778115502E-2</v>
      </c>
      <c r="AH110" s="770">
        <v>2.3978385680513341E-2</v>
      </c>
      <c r="AI110" s="770">
        <v>1.6210739614994935E-2</v>
      </c>
      <c r="AJ110" s="770"/>
      <c r="AK110" s="770">
        <f t="shared" si="51"/>
        <v>8.0014572297587421</v>
      </c>
      <c r="AL110" s="770">
        <f t="shared" si="52"/>
        <v>16.861334276912061</v>
      </c>
      <c r="AM110" s="770">
        <f t="shared" si="53"/>
        <v>23.697822952124564</v>
      </c>
      <c r="AN110" s="770">
        <f t="shared" si="54"/>
        <v>23.989877351081024</v>
      </c>
      <c r="AO110" s="770">
        <f t="shared" si="55"/>
        <v>13.695330278285864</v>
      </c>
      <c r="AP110" s="770">
        <f t="shared" si="56"/>
        <v>12.74090900910023</v>
      </c>
      <c r="AQ110" s="770">
        <f t="shared" si="57"/>
        <v>13.921292694207008</v>
      </c>
      <c r="AR110" s="770">
        <f t="shared" si="58"/>
        <v>14.304361314335736</v>
      </c>
      <c r="AS110" s="770">
        <f t="shared" si="59"/>
        <v>17.080720780467772</v>
      </c>
      <c r="AT110" s="770">
        <f t="shared" si="60"/>
        <v>12.208934967886254</v>
      </c>
      <c r="AU110" s="770">
        <f t="shared" si="61"/>
        <v>10.43822052358531</v>
      </c>
      <c r="AV110" s="770">
        <f t="shared" si="62"/>
        <v>7.3088244300121996</v>
      </c>
      <c r="AW110" s="770">
        <f t="shared" si="63"/>
        <v>4.8442287785228642</v>
      </c>
      <c r="AX110" s="770">
        <f t="shared" si="64"/>
        <v>4.1226492280727571</v>
      </c>
      <c r="AY110" s="770">
        <f t="shared" si="65"/>
        <v>3.2984130217229883</v>
      </c>
      <c r="AZ110" s="770">
        <f t="shared" si="66"/>
        <v>3.0426726265505422</v>
      </c>
      <c r="BA110" s="770"/>
      <c r="BB110" s="770">
        <f t="shared" si="67"/>
        <v>11.847315591414119</v>
      </c>
    </row>
    <row r="111" spans="1:54" x14ac:dyDescent="0.75">
      <c r="A111" s="132" t="s">
        <v>423</v>
      </c>
      <c r="B111" s="132" t="str">
        <f>VLOOKUP(A111,'HCW + Staff Summary'!B:E,4,FALSE)</f>
        <v>High income</v>
      </c>
      <c r="C111" s="770">
        <v>14.091738506075099</v>
      </c>
      <c r="D111" s="770">
        <v>18.754254003560799</v>
      </c>
      <c r="E111" s="770">
        <v>21.588331712723502</v>
      </c>
      <c r="F111" s="770">
        <v>20.582672039573499</v>
      </c>
      <c r="G111" s="770">
        <v>15.8635744348261</v>
      </c>
      <c r="H111" s="770">
        <v>17.7985209186193</v>
      </c>
      <c r="I111" s="770">
        <v>18.162977742387401</v>
      </c>
      <c r="J111" s="770">
        <v>18.565311464685401</v>
      </c>
      <c r="K111" s="770">
        <v>16.548570584096598</v>
      </c>
      <c r="L111" s="770">
        <v>12.887633357386701</v>
      </c>
      <c r="M111" s="770">
        <v>10.3291399988734</v>
      </c>
      <c r="N111" s="770">
        <v>6.7141098862556001</v>
      </c>
      <c r="O111" s="770">
        <v>3.89339916993521</v>
      </c>
      <c r="P111" s="770">
        <v>2.4207676900194302</v>
      </c>
      <c r="Q111" s="770">
        <v>1.68786578063485</v>
      </c>
      <c r="R111" s="770">
        <v>1.0219062352313999</v>
      </c>
      <c r="S111" s="770"/>
      <c r="T111" s="770">
        <v>9.8011363636363633E-2</v>
      </c>
      <c r="U111" s="770">
        <v>9.5061188811188815E-2</v>
      </c>
      <c r="V111" s="770">
        <v>8.5227272727272721E-2</v>
      </c>
      <c r="W111" s="770">
        <v>7.7032342657342656E-2</v>
      </c>
      <c r="X111" s="770">
        <v>7.200611888111888E-2</v>
      </c>
      <c r="Y111" s="770">
        <v>6.6215034965034961E-2</v>
      </c>
      <c r="Z111" s="770">
        <v>6.523164335664336E-2</v>
      </c>
      <c r="AA111" s="770">
        <v>6.4466783216783216E-2</v>
      </c>
      <c r="AB111" s="770">
        <v>6.28277972027972E-2</v>
      </c>
      <c r="AC111" s="770">
        <v>5.7364510489510488E-2</v>
      </c>
      <c r="AD111" s="770">
        <v>4.8186188811188808E-2</v>
      </c>
      <c r="AE111" s="770">
        <v>4.3706293706293704E-2</v>
      </c>
      <c r="AF111" s="770">
        <v>4.042832167832168E-2</v>
      </c>
      <c r="AG111" s="770">
        <v>4.0865384615384616E-2</v>
      </c>
      <c r="AH111" s="770">
        <v>3.3326048951048952E-2</v>
      </c>
      <c r="AI111" s="770">
        <v>1.9777097902097904E-2</v>
      </c>
      <c r="AJ111" s="770"/>
      <c r="AK111" s="770">
        <f t="shared" si="51"/>
        <v>8.9860361488015137</v>
      </c>
      <c r="AL111" s="770">
        <f t="shared" si="52"/>
        <v>12.330383091996294</v>
      </c>
      <c r="AM111" s="770">
        <f t="shared" si="53"/>
        <v>15.831443255997236</v>
      </c>
      <c r="AN111" s="770">
        <f t="shared" si="54"/>
        <v>16.699699867568853</v>
      </c>
      <c r="AO111" s="770">
        <f t="shared" si="55"/>
        <v>13.769293743126752</v>
      </c>
      <c r="AP111" s="770">
        <f t="shared" si="56"/>
        <v>16.799924035396437</v>
      </c>
      <c r="AQ111" s="770">
        <f t="shared" si="57"/>
        <v>17.402384034582234</v>
      </c>
      <c r="AR111" s="770">
        <f t="shared" si="58"/>
        <v>17.99891213186449</v>
      </c>
      <c r="AS111" s="770">
        <f t="shared" si="59"/>
        <v>16.462230215831749</v>
      </c>
      <c r="AT111" s="770">
        <f t="shared" si="60"/>
        <v>14.041383391286082</v>
      </c>
      <c r="AU111" s="770">
        <f t="shared" si="61"/>
        <v>13.397433286520601</v>
      </c>
      <c r="AV111" s="770">
        <f t="shared" si="62"/>
        <v>9.601177137345509</v>
      </c>
      <c r="AW111" s="770">
        <f t="shared" si="63"/>
        <v>6.0189846627106487</v>
      </c>
      <c r="AX111" s="770">
        <f t="shared" si="64"/>
        <v>3.7023505847355991</v>
      </c>
      <c r="AY111" s="770">
        <f t="shared" si="65"/>
        <v>3.1654400869610959</v>
      </c>
      <c r="AZ111" s="770">
        <f t="shared" si="66"/>
        <v>3.2294495389633187</v>
      </c>
      <c r="BA111" s="770"/>
      <c r="BB111" s="770">
        <f t="shared" si="67"/>
        <v>11.839782825855524</v>
      </c>
    </row>
    <row r="112" spans="1:54" x14ac:dyDescent="0.75">
      <c r="A112" s="132" t="s">
        <v>246</v>
      </c>
      <c r="B112" s="132" t="str">
        <f>VLOOKUP(A112,'HCW + Staff Summary'!B:E,4,FALSE)</f>
        <v>Lower middle income</v>
      </c>
      <c r="C112" s="770">
        <v>20.8163143248645</v>
      </c>
      <c r="D112" s="770">
        <v>45.8060477229551</v>
      </c>
      <c r="E112" s="770">
        <v>34.528384017285703</v>
      </c>
      <c r="F112" s="770">
        <v>24.325358910523601</v>
      </c>
      <c r="G112" s="770">
        <v>14.8173906579032</v>
      </c>
      <c r="H112" s="770">
        <v>14.4913294438231</v>
      </c>
      <c r="I112" s="770">
        <v>13.108123333708701</v>
      </c>
      <c r="J112" s="770">
        <v>13.7928034681968</v>
      </c>
      <c r="K112" s="770">
        <v>11.4281431008827</v>
      </c>
      <c r="L112" s="770">
        <v>8.9835901464713892</v>
      </c>
      <c r="M112" s="770">
        <v>7.4984668157048597</v>
      </c>
      <c r="N112" s="770">
        <v>4.5832295706828301</v>
      </c>
      <c r="O112" s="770">
        <v>2.49956081586729</v>
      </c>
      <c r="P112" s="770">
        <v>1.5478413490517</v>
      </c>
      <c r="Q112" s="770">
        <v>0.63370161576331496</v>
      </c>
      <c r="R112" s="770">
        <v>0.40601506092193301</v>
      </c>
      <c r="S112" s="770"/>
      <c r="T112" s="770">
        <v>0.13505311077389984</v>
      </c>
      <c r="U112" s="770">
        <v>0.11608497723823975</v>
      </c>
      <c r="V112" s="770">
        <v>0.11684370257966616</v>
      </c>
      <c r="W112" s="770">
        <v>0.11608497723823975</v>
      </c>
      <c r="X112" s="770">
        <v>9.8634294385432475E-2</v>
      </c>
      <c r="Y112" s="770">
        <v>8.7253414264036419E-2</v>
      </c>
      <c r="Z112" s="770">
        <v>6.8285280728376321E-2</v>
      </c>
      <c r="AA112" s="770">
        <v>5.2352048558421849E-2</v>
      </c>
      <c r="AB112" s="770">
        <v>3.490136570561457E-2</v>
      </c>
      <c r="AC112" s="770">
        <v>4.1729893778452203E-2</v>
      </c>
      <c r="AD112" s="770">
        <v>3.7177541729893779E-2</v>
      </c>
      <c r="AE112" s="770">
        <v>3.0349013657056147E-2</v>
      </c>
      <c r="AF112" s="770">
        <v>2.2761760242792108E-2</v>
      </c>
      <c r="AG112" s="770">
        <v>1.5022761760242791E-2</v>
      </c>
      <c r="AH112" s="770">
        <v>1.3657056145675266E-2</v>
      </c>
      <c r="AI112" s="770">
        <v>8.3459787556904395E-3</v>
      </c>
      <c r="AJ112" s="770"/>
      <c r="AK112" s="770">
        <f t="shared" si="51"/>
        <v>9.6333926545545694</v>
      </c>
      <c r="AL112" s="770">
        <f t="shared" si="52"/>
        <v>24.661916216852461</v>
      </c>
      <c r="AM112" s="770">
        <f t="shared" si="53"/>
        <v>18.469322294960453</v>
      </c>
      <c r="AN112" s="770">
        <f t="shared" si="54"/>
        <v>13.096741439571122</v>
      </c>
      <c r="AO112" s="770">
        <f t="shared" si="55"/>
        <v>9.3890965803444306</v>
      </c>
      <c r="AP112" s="770">
        <f t="shared" si="56"/>
        <v>10.380202286390677</v>
      </c>
      <c r="AQ112" s="770">
        <f t="shared" si="57"/>
        <v>11.997573995713937</v>
      </c>
      <c r="AR112" s="770">
        <f t="shared" si="58"/>
        <v>16.466408488300164</v>
      </c>
      <c r="AS112" s="770">
        <f t="shared" si="59"/>
        <v>20.46507147685244</v>
      </c>
      <c r="AT112" s="770">
        <f t="shared" si="60"/>
        <v>13.454967969374193</v>
      </c>
      <c r="AU112" s="770">
        <f t="shared" si="61"/>
        <v>12.605840896809955</v>
      </c>
      <c r="AV112" s="770">
        <f t="shared" si="62"/>
        <v>9.4385883971249527</v>
      </c>
      <c r="AW112" s="770">
        <f t="shared" si="63"/>
        <v>6.8633774069022673</v>
      </c>
      <c r="AX112" s="770">
        <f t="shared" si="64"/>
        <v>6.4395672286936261</v>
      </c>
      <c r="AY112" s="770">
        <f t="shared" si="65"/>
        <v>2.9000650332501703</v>
      </c>
      <c r="AZ112" s="770">
        <f t="shared" si="66"/>
        <v>3.0404991494040212</v>
      </c>
      <c r="BA112" s="770"/>
      <c r="BB112" s="770">
        <f t="shared" si="67"/>
        <v>11.831414469693712</v>
      </c>
    </row>
    <row r="113" spans="1:54" x14ac:dyDescent="0.75">
      <c r="A113" s="132" t="s">
        <v>206</v>
      </c>
      <c r="B113" s="132" t="str">
        <f>VLOOKUP(A113,'HCW + Staff Summary'!B:E,4,FALSE)</f>
        <v>Upper middle income</v>
      </c>
      <c r="C113" s="770">
        <v>12.5975958634683</v>
      </c>
      <c r="D113" s="770">
        <v>20.616533622010799</v>
      </c>
      <c r="E113" s="770">
        <v>18.891810035526898</v>
      </c>
      <c r="F113" s="770">
        <v>21.047148937224701</v>
      </c>
      <c r="G113" s="770">
        <v>15.9867734757358</v>
      </c>
      <c r="H113" s="770">
        <v>16.9426793427461</v>
      </c>
      <c r="I113" s="770">
        <v>18.498031017652899</v>
      </c>
      <c r="J113" s="770">
        <v>17.681288268805499</v>
      </c>
      <c r="K113" s="770">
        <v>16.445681280195402</v>
      </c>
      <c r="L113" s="770">
        <v>13.784565951928499</v>
      </c>
      <c r="M113" s="770">
        <v>10.4170588207768</v>
      </c>
      <c r="N113" s="770">
        <v>6.1755347769643301</v>
      </c>
      <c r="O113" s="770">
        <v>3.78118257798095</v>
      </c>
      <c r="P113" s="770">
        <v>2.3444301447342899</v>
      </c>
      <c r="Q113" s="770">
        <v>1.3509568557837299</v>
      </c>
      <c r="R113" s="770">
        <v>0.83453156319135302</v>
      </c>
      <c r="S113" s="770"/>
      <c r="T113" s="770">
        <v>5.0393700787401574E-2</v>
      </c>
      <c r="U113" s="770">
        <v>5.4330708661417322E-2</v>
      </c>
      <c r="V113" s="770">
        <v>6.2992125984251968E-2</v>
      </c>
      <c r="W113" s="770">
        <v>7.4015748031496062E-2</v>
      </c>
      <c r="X113" s="770">
        <v>7.4015748031496062E-2</v>
      </c>
      <c r="Y113" s="770">
        <v>8.1102362204724415E-2</v>
      </c>
      <c r="Z113" s="770">
        <v>6.9291338582677164E-2</v>
      </c>
      <c r="AA113" s="770">
        <v>6.8503937007874022E-2</v>
      </c>
      <c r="AB113" s="770">
        <v>7.7952755905511817E-2</v>
      </c>
      <c r="AC113" s="770">
        <v>6.5354330708661423E-2</v>
      </c>
      <c r="AD113" s="770">
        <v>6.6929133858267723E-2</v>
      </c>
      <c r="AE113" s="770">
        <v>7.0866141732283464E-2</v>
      </c>
      <c r="AF113" s="770">
        <v>5.905511811023622E-2</v>
      </c>
      <c r="AG113" s="770">
        <v>4.8818897637795275E-2</v>
      </c>
      <c r="AH113" s="770">
        <v>3.5433070866141732E-2</v>
      </c>
      <c r="AI113" s="770">
        <v>1.889763779527559E-2</v>
      </c>
      <c r="AJ113" s="770"/>
      <c r="AK113" s="770">
        <f t="shared" si="51"/>
        <v>15.623971432231192</v>
      </c>
      <c r="AL113" s="770">
        <f t="shared" si="52"/>
        <v>23.716483423871118</v>
      </c>
      <c r="AM113" s="770">
        <f t="shared" si="53"/>
        <v>18.744217769624345</v>
      </c>
      <c r="AN113" s="770">
        <f t="shared" si="54"/>
        <v>17.772526030768198</v>
      </c>
      <c r="AO113" s="770">
        <f t="shared" si="55"/>
        <v>13.499469623792864</v>
      </c>
      <c r="AP113" s="770">
        <f t="shared" si="56"/>
        <v>13.056555076023995</v>
      </c>
      <c r="AQ113" s="770">
        <f t="shared" si="57"/>
        <v>16.685013773024988</v>
      </c>
      <c r="AR113" s="770">
        <f t="shared" si="58"/>
        <v>16.131635130303867</v>
      </c>
      <c r="AS113" s="770">
        <f t="shared" si="59"/>
        <v>13.185615672883939</v>
      </c>
      <c r="AT113" s="770">
        <f t="shared" si="60"/>
        <v>13.182529185955717</v>
      </c>
      <c r="AU113" s="770">
        <f t="shared" si="61"/>
        <v>9.7276946341077473</v>
      </c>
      <c r="AV113" s="770">
        <f t="shared" si="62"/>
        <v>5.4464785880171522</v>
      </c>
      <c r="AW113" s="770">
        <f t="shared" si="63"/>
        <v>4.0017515616965058</v>
      </c>
      <c r="AX113" s="770">
        <f t="shared" si="64"/>
        <v>3.0014377861013593</v>
      </c>
      <c r="AY113" s="770">
        <f t="shared" si="65"/>
        <v>2.3829377872851905</v>
      </c>
      <c r="AZ113" s="770">
        <f t="shared" si="66"/>
        <v>2.7600392845130686</v>
      </c>
      <c r="BA113" s="770"/>
      <c r="BB113" s="770">
        <f t="shared" si="67"/>
        <v>11.807397297512576</v>
      </c>
    </row>
    <row r="114" spans="1:54" x14ac:dyDescent="0.75">
      <c r="A114" s="132" t="s">
        <v>377</v>
      </c>
      <c r="B114" s="132" t="str">
        <f>VLOOKUP(A114,'HCW + Staff Summary'!B:E,4,FALSE)</f>
        <v>Upper middle income</v>
      </c>
      <c r="C114" s="770">
        <v>11.6354794150567</v>
      </c>
      <c r="D114" s="770">
        <v>26.057280194874899</v>
      </c>
      <c r="E114" s="770">
        <v>29.387971098895001</v>
      </c>
      <c r="F114" s="770">
        <v>28.023143391340401</v>
      </c>
      <c r="G114" s="770">
        <v>17.7132334670885</v>
      </c>
      <c r="H114" s="770">
        <v>18.0862499757507</v>
      </c>
      <c r="I114" s="770">
        <v>17.705788141160301</v>
      </c>
      <c r="J114" s="770">
        <v>17.475540632433599</v>
      </c>
      <c r="K114" s="770">
        <v>15.519417149927699</v>
      </c>
      <c r="L114" s="770">
        <v>12.2360142567608</v>
      </c>
      <c r="M114" s="770">
        <v>9.3852827200965301</v>
      </c>
      <c r="N114" s="770">
        <v>5.9605222788391004</v>
      </c>
      <c r="O114" s="770">
        <v>3.1286067962219999</v>
      </c>
      <c r="P114" s="770">
        <v>1.82045083321588</v>
      </c>
      <c r="Q114" s="770">
        <v>1.0472153613264801</v>
      </c>
      <c r="R114" s="770">
        <v>0.63338366651974198</v>
      </c>
      <c r="S114" s="770"/>
      <c r="T114" s="770">
        <v>9.4485064898259932E-2</v>
      </c>
      <c r="U114" s="770">
        <v>9.1311001530351987E-2</v>
      </c>
      <c r="V114" s="770">
        <v>8.8136938162444028E-2</v>
      </c>
      <c r="W114" s="770">
        <v>8.8477016380434162E-2</v>
      </c>
      <c r="X114" s="770">
        <v>8.8817094598424309E-2</v>
      </c>
      <c r="Y114" s="770">
        <v>8.3319163407583746E-2</v>
      </c>
      <c r="Z114" s="770">
        <v>7.7254435186759618E-2</v>
      </c>
      <c r="AA114" s="770">
        <v>6.9659354984979882E-2</v>
      </c>
      <c r="AB114" s="770">
        <v>6.2290993595193564E-2</v>
      </c>
      <c r="AC114" s="770">
        <v>5.6056226265374369E-2</v>
      </c>
      <c r="AD114" s="770">
        <v>4.8971263390579833E-2</v>
      </c>
      <c r="AE114" s="770">
        <v>4.1206144079805024E-2</v>
      </c>
      <c r="AF114" s="770">
        <v>3.406450150201213E-2</v>
      </c>
      <c r="AG114" s="770">
        <v>2.7546335657201156E-2</v>
      </c>
      <c r="AH114" s="770">
        <v>1.8590942583460862E-2</v>
      </c>
      <c r="AI114" s="770">
        <v>1.3716488125602222E-2</v>
      </c>
      <c r="AJ114" s="770"/>
      <c r="AK114" s="770">
        <f t="shared" si="51"/>
        <v>7.6966392966348742</v>
      </c>
      <c r="AL114" s="770">
        <f t="shared" si="52"/>
        <v>17.835528960202428</v>
      </c>
      <c r="AM114" s="770">
        <f t="shared" si="53"/>
        <v>20.839709569847447</v>
      </c>
      <c r="AN114" s="770">
        <f t="shared" si="54"/>
        <v>19.79549643071023</v>
      </c>
      <c r="AO114" s="770">
        <f t="shared" si="55"/>
        <v>12.464684830083057</v>
      </c>
      <c r="AP114" s="770">
        <f t="shared" si="56"/>
        <v>13.566994401452789</v>
      </c>
      <c r="AQ114" s="770">
        <f t="shared" si="57"/>
        <v>14.324248907487675</v>
      </c>
      <c r="AR114" s="770">
        <f t="shared" si="58"/>
        <v>15.679463149818245</v>
      </c>
      <c r="AS114" s="770">
        <f t="shared" si="59"/>
        <v>15.571489807562237</v>
      </c>
      <c r="AT114" s="770">
        <f t="shared" si="60"/>
        <v>13.642568221184959</v>
      </c>
      <c r="AU114" s="770">
        <f t="shared" si="61"/>
        <v>11.978048540991253</v>
      </c>
      <c r="AV114" s="770">
        <f t="shared" si="62"/>
        <v>9.0407062040541817</v>
      </c>
      <c r="AW114" s="770">
        <f t="shared" si="63"/>
        <v>5.7402256349568157</v>
      </c>
      <c r="AX114" s="770">
        <f t="shared" si="64"/>
        <v>4.1304287616290853</v>
      </c>
      <c r="AY114" s="770">
        <f t="shared" si="65"/>
        <v>3.5205831973862591</v>
      </c>
      <c r="AZ114" s="770">
        <f t="shared" si="66"/>
        <v>2.8860506271714379</v>
      </c>
      <c r="BA114" s="770"/>
      <c r="BB114" s="770">
        <f t="shared" si="67"/>
        <v>11.794554158823312</v>
      </c>
    </row>
    <row r="115" spans="1:54" x14ac:dyDescent="0.75">
      <c r="A115" s="132" t="s">
        <v>367</v>
      </c>
      <c r="B115" s="132" t="str">
        <f>VLOOKUP(A115,'HCW + Staff Summary'!B:E,4,FALSE)</f>
        <v>Upper middle income</v>
      </c>
      <c r="C115" s="770">
        <v>12.7996911825855</v>
      </c>
      <c r="D115" s="770">
        <v>23.419555592124901</v>
      </c>
      <c r="E115" s="770">
        <v>27.389282087067599</v>
      </c>
      <c r="F115" s="770">
        <v>28.4855742591424</v>
      </c>
      <c r="G115" s="770">
        <v>19.154455156665801</v>
      </c>
      <c r="H115" s="770">
        <v>19.291519838253802</v>
      </c>
      <c r="I115" s="770">
        <v>18.484710172756198</v>
      </c>
      <c r="J115" s="770">
        <v>17.854702012895601</v>
      </c>
      <c r="K115" s="770">
        <v>15.8282909194039</v>
      </c>
      <c r="L115" s="770">
        <v>12.2275921198293</v>
      </c>
      <c r="M115" s="770">
        <v>9.0345800770318903</v>
      </c>
      <c r="N115" s="770">
        <v>5.5761451565131797</v>
      </c>
      <c r="O115" s="770">
        <v>2.90540432829081</v>
      </c>
      <c r="P115" s="770">
        <v>1.7162193739217</v>
      </c>
      <c r="Q115" s="770">
        <v>1.02896106430273</v>
      </c>
      <c r="R115" s="770">
        <v>0.63170223526862601</v>
      </c>
      <c r="S115" s="770"/>
      <c r="T115" s="770">
        <v>9.2459439528023601E-2</v>
      </c>
      <c r="U115" s="770">
        <v>9.1814159292035402E-2</v>
      </c>
      <c r="V115" s="770">
        <v>9.0062684365781714E-2</v>
      </c>
      <c r="W115" s="770">
        <v>8.8403392330383482E-2</v>
      </c>
      <c r="X115" s="770">
        <v>8.6559734513274339E-2</v>
      </c>
      <c r="Y115" s="770">
        <v>8.4255162241887907E-2</v>
      </c>
      <c r="Z115" s="770">
        <v>7.6143067846607668E-2</v>
      </c>
      <c r="AA115" s="770">
        <v>6.8030973451327428E-2</v>
      </c>
      <c r="AB115" s="770">
        <v>6.1670353982300884E-2</v>
      </c>
      <c r="AC115" s="770">
        <v>5.5955014749262538E-2</v>
      </c>
      <c r="AD115" s="770">
        <v>4.9870943952802359E-2</v>
      </c>
      <c r="AE115" s="770">
        <v>4.3602507374631269E-2</v>
      </c>
      <c r="AF115" s="770">
        <v>3.5859144542772864E-2</v>
      </c>
      <c r="AG115" s="770">
        <v>2.7009587020648967E-2</v>
      </c>
      <c r="AH115" s="770">
        <v>1.8805309734513276E-2</v>
      </c>
      <c r="AI115" s="770">
        <v>1.2721238938053098E-2</v>
      </c>
      <c r="AJ115" s="770"/>
      <c r="AK115" s="770">
        <f t="shared" si="51"/>
        <v>8.6522339200328702</v>
      </c>
      <c r="AL115" s="770">
        <f t="shared" si="52"/>
        <v>15.942227601868154</v>
      </c>
      <c r="AM115" s="770">
        <f t="shared" si="53"/>
        <v>19.007096473932275</v>
      </c>
      <c r="AN115" s="770">
        <f t="shared" si="54"/>
        <v>20.138914856828517</v>
      </c>
      <c r="AO115" s="770">
        <f t="shared" si="55"/>
        <v>13.830373371905658</v>
      </c>
      <c r="AP115" s="770">
        <f t="shared" si="56"/>
        <v>14.31033966119921</v>
      </c>
      <c r="AQ115" s="770">
        <f t="shared" si="57"/>
        <v>15.172679778606177</v>
      </c>
      <c r="AR115" s="770">
        <f t="shared" si="58"/>
        <v>16.403100223229291</v>
      </c>
      <c r="AS115" s="770">
        <f t="shared" si="59"/>
        <v>16.041227568543864</v>
      </c>
      <c r="AT115" s="770">
        <f t="shared" si="60"/>
        <v>13.657837656086103</v>
      </c>
      <c r="AU115" s="770">
        <f t="shared" si="61"/>
        <v>11.322449708368987</v>
      </c>
      <c r="AV115" s="770">
        <f t="shared" si="62"/>
        <v>7.992867687348701</v>
      </c>
      <c r="AW115" s="770">
        <f t="shared" si="63"/>
        <v>5.063918083756219</v>
      </c>
      <c r="AX115" s="770">
        <f t="shared" si="64"/>
        <v>3.9713199164468009</v>
      </c>
      <c r="AY115" s="770">
        <f t="shared" si="65"/>
        <v>3.4197823607708377</v>
      </c>
      <c r="AZ115" s="770">
        <f t="shared" si="66"/>
        <v>3.1035805471893365</v>
      </c>
      <c r="BA115" s="770"/>
      <c r="BB115" s="770">
        <f t="shared" si="67"/>
        <v>11.751871838507062</v>
      </c>
    </row>
    <row r="116" spans="1:54" x14ac:dyDescent="0.75">
      <c r="A116" s="132" t="s">
        <v>342</v>
      </c>
      <c r="B116" s="132" t="str">
        <f>VLOOKUP(A116,'HCW + Staff Summary'!B:E,4,FALSE)</f>
        <v>Lower middle income</v>
      </c>
      <c r="C116" s="770">
        <v>16.302992513546101</v>
      </c>
      <c r="D116" s="770">
        <v>28.990905201994401</v>
      </c>
      <c r="E116" s="770">
        <v>38.035467761500797</v>
      </c>
      <c r="F116" s="770">
        <v>38.5412383211305</v>
      </c>
      <c r="G116" s="770">
        <v>17.2098304387026</v>
      </c>
      <c r="H116" s="770">
        <v>14.526691924198399</v>
      </c>
      <c r="I116" s="770">
        <v>13.7057496446567</v>
      </c>
      <c r="J116" s="770">
        <v>14.2117433447462</v>
      </c>
      <c r="K116" s="770">
        <v>12.3346332261656</v>
      </c>
      <c r="L116" s="770">
        <v>9.0570018799534893</v>
      </c>
      <c r="M116" s="770">
        <v>6.7374060095274499</v>
      </c>
      <c r="N116" s="770">
        <v>4.2984931032095597</v>
      </c>
      <c r="O116" s="770">
        <v>2.9295241112022898</v>
      </c>
      <c r="P116" s="770">
        <v>1.68697936084072</v>
      </c>
      <c r="Q116" s="770">
        <v>0.98488427058652195</v>
      </c>
      <c r="R116" s="770">
        <v>0.56935819717009195</v>
      </c>
      <c r="S116" s="770"/>
      <c r="T116" s="770">
        <v>9.3525179856115109E-2</v>
      </c>
      <c r="U116" s="770">
        <v>9.5323741007194249E-2</v>
      </c>
      <c r="V116" s="770">
        <v>9.172661870503597E-2</v>
      </c>
      <c r="W116" s="770">
        <v>8.8129496402877691E-2</v>
      </c>
      <c r="X116" s="770">
        <v>8.2733812949640287E-2</v>
      </c>
      <c r="Y116" s="770">
        <v>9.3525179856115109E-2</v>
      </c>
      <c r="Z116" s="770">
        <v>9.5323741007194249E-2</v>
      </c>
      <c r="AA116" s="770">
        <v>8.2733812949640287E-2</v>
      </c>
      <c r="AB116" s="770">
        <v>6.4748201438848921E-2</v>
      </c>
      <c r="AC116" s="770">
        <v>5.3956834532374098E-2</v>
      </c>
      <c r="AD116" s="770">
        <v>4.4964028776978415E-2</v>
      </c>
      <c r="AE116" s="770">
        <v>3.9568345323741004E-2</v>
      </c>
      <c r="AF116" s="770">
        <v>2.7697841726618704E-2</v>
      </c>
      <c r="AG116" s="770">
        <v>1.9784172661870502E-2</v>
      </c>
      <c r="AH116" s="770">
        <v>8.4532374100719423E-3</v>
      </c>
      <c r="AI116" s="770">
        <v>7.9136690647482015E-3</v>
      </c>
      <c r="AJ116" s="770"/>
      <c r="AK116" s="770">
        <f t="shared" si="51"/>
        <v>10.894788266263982</v>
      </c>
      <c r="AL116" s="770">
        <f t="shared" si="52"/>
        <v>19.008187844703876</v>
      </c>
      <c r="AM116" s="770">
        <f t="shared" si="53"/>
        <v>25.916323621806917</v>
      </c>
      <c r="AN116" s="770">
        <f t="shared" si="54"/>
        <v>27.332816972638469</v>
      </c>
      <c r="AO116" s="770">
        <f t="shared" si="55"/>
        <v>13.000904516193811</v>
      </c>
      <c r="AP116" s="770">
        <f t="shared" si="56"/>
        <v>9.70774123780566</v>
      </c>
      <c r="AQ116" s="770">
        <f t="shared" si="57"/>
        <v>8.9863169839966091</v>
      </c>
      <c r="AR116" s="770">
        <f t="shared" si="58"/>
        <v>10.736045244128922</v>
      </c>
      <c r="AS116" s="770">
        <f t="shared" si="59"/>
        <v>11.906347350257072</v>
      </c>
      <c r="AT116" s="770">
        <f t="shared" si="60"/>
        <v>10.491027177612793</v>
      </c>
      <c r="AU116" s="770">
        <f t="shared" si="61"/>
        <v>9.364994353243155</v>
      </c>
      <c r="AV116" s="770">
        <f t="shared" si="62"/>
        <v>6.7896652425696455</v>
      </c>
      <c r="AW116" s="770">
        <f t="shared" si="63"/>
        <v>6.6104521340441282</v>
      </c>
      <c r="AX116" s="770">
        <f t="shared" si="64"/>
        <v>5.3293211626559112</v>
      </c>
      <c r="AY116" s="770">
        <f t="shared" si="65"/>
        <v>7.2818571069960933</v>
      </c>
      <c r="AZ116" s="770">
        <f t="shared" si="66"/>
        <v>4.496635761741067</v>
      </c>
      <c r="BA116" s="770"/>
      <c r="BB116" s="770">
        <f t="shared" si="67"/>
        <v>11.740839061041132</v>
      </c>
    </row>
    <row r="117" spans="1:54" x14ac:dyDescent="0.75">
      <c r="A117" s="132" t="s">
        <v>227</v>
      </c>
      <c r="B117" s="132" t="str">
        <f>VLOOKUP(A117,'HCW + Staff Summary'!B:E,4,FALSE)</f>
        <v>Lower middle income</v>
      </c>
      <c r="C117" s="770">
        <v>13.040313748263401</v>
      </c>
      <c r="D117" s="770">
        <v>30.078744077998302</v>
      </c>
      <c r="E117" s="770">
        <v>33.823728170699397</v>
      </c>
      <c r="F117" s="770">
        <v>32.451729809356998</v>
      </c>
      <c r="G117" s="770">
        <v>20.0890600928849</v>
      </c>
      <c r="H117" s="770">
        <v>19.3907908083279</v>
      </c>
      <c r="I117" s="770">
        <v>17.135388211708499</v>
      </c>
      <c r="J117" s="770">
        <v>15.822941707375501</v>
      </c>
      <c r="K117" s="770">
        <v>13.7830443516348</v>
      </c>
      <c r="L117" s="770">
        <v>10.251283922520299</v>
      </c>
      <c r="M117" s="770">
        <v>8.0055343431729007</v>
      </c>
      <c r="N117" s="770">
        <v>4.8135266467684596</v>
      </c>
      <c r="O117" s="770">
        <v>2.5801741194603101</v>
      </c>
      <c r="P117" s="770">
        <v>1.30103040371089</v>
      </c>
      <c r="Q117" s="770">
        <v>0.72247239715820499</v>
      </c>
      <c r="R117" s="770">
        <v>0.42467796652561302</v>
      </c>
      <c r="S117" s="770"/>
      <c r="T117" s="770">
        <v>9.9169811320754711E-2</v>
      </c>
      <c r="U117" s="770">
        <v>9.9622641509433965E-2</v>
      </c>
      <c r="V117" s="770">
        <v>9.6301886792452829E-2</v>
      </c>
      <c r="W117" s="770">
        <v>9.1018867924528304E-2</v>
      </c>
      <c r="X117" s="770">
        <v>8.8301886792452836E-2</v>
      </c>
      <c r="Y117" s="770">
        <v>8.7698113207547168E-2</v>
      </c>
      <c r="Z117" s="770">
        <v>8.2867924528301884E-2</v>
      </c>
      <c r="AA117" s="770">
        <v>7.6377358490566039E-2</v>
      </c>
      <c r="AB117" s="770">
        <v>6.3547169811320761E-2</v>
      </c>
      <c r="AC117" s="770">
        <v>5.1622641509433964E-2</v>
      </c>
      <c r="AD117" s="770">
        <v>4.1358490566037735E-2</v>
      </c>
      <c r="AE117" s="770">
        <v>3.5169811320754717E-2</v>
      </c>
      <c r="AF117" s="770">
        <v>3.0188679245283019E-2</v>
      </c>
      <c r="AG117" s="770">
        <v>2.2490566037735849E-2</v>
      </c>
      <c r="AH117" s="770">
        <v>1.2528301886792452E-2</v>
      </c>
      <c r="AI117" s="770">
        <v>1.0113207547169812E-2</v>
      </c>
      <c r="AJ117" s="770"/>
      <c r="AK117" s="770">
        <f t="shared" si="51"/>
        <v>8.2184245226641011</v>
      </c>
      <c r="AL117" s="770">
        <f t="shared" si="52"/>
        <v>18.870424196660867</v>
      </c>
      <c r="AM117" s="770">
        <f t="shared" si="53"/>
        <v>21.951626090407867</v>
      </c>
      <c r="AN117" s="770">
        <f t="shared" si="54"/>
        <v>22.283655678585209</v>
      </c>
      <c r="AO117" s="770">
        <f t="shared" si="55"/>
        <v>14.2190195636071</v>
      </c>
      <c r="AP117" s="770">
        <f t="shared" si="56"/>
        <v>13.819275936442807</v>
      </c>
      <c r="AQ117" s="770">
        <f t="shared" si="57"/>
        <v>12.923718909673134</v>
      </c>
      <c r="AR117" s="770">
        <f t="shared" si="58"/>
        <v>12.947997629861993</v>
      </c>
      <c r="AS117" s="770">
        <f t="shared" si="59"/>
        <v>13.555918769237016</v>
      </c>
      <c r="AT117" s="770">
        <f t="shared" si="60"/>
        <v>12.411322365989944</v>
      </c>
      <c r="AU117" s="770">
        <f t="shared" si="61"/>
        <v>12.097779430547552</v>
      </c>
      <c r="AV117" s="770">
        <f t="shared" si="62"/>
        <v>8.5540810179294642</v>
      </c>
      <c r="AW117" s="770">
        <f t="shared" si="63"/>
        <v>5.3417667316951727</v>
      </c>
      <c r="AX117" s="770">
        <f t="shared" si="64"/>
        <v>3.6154892720573177</v>
      </c>
      <c r="AY117" s="770">
        <f t="shared" si="65"/>
        <v>3.6042015294978227</v>
      </c>
      <c r="AZ117" s="770">
        <f t="shared" si="66"/>
        <v>2.6245256793210689</v>
      </c>
      <c r="BA117" s="770"/>
      <c r="BB117" s="770">
        <f t="shared" si="67"/>
        <v>11.689951707761153</v>
      </c>
    </row>
    <row r="118" spans="1:54" x14ac:dyDescent="0.75">
      <c r="A118" s="132" t="s">
        <v>493</v>
      </c>
      <c r="B118" s="132" t="str">
        <f>VLOOKUP(A118,'HCW + Staff Summary'!B:E,4,FALSE)</f>
        <v>High income</v>
      </c>
      <c r="C118" s="770">
        <v>11.292763021115899</v>
      </c>
      <c r="D118" s="770">
        <v>17.109584531766501</v>
      </c>
      <c r="E118" s="770">
        <v>18.103522643973299</v>
      </c>
      <c r="F118" s="770">
        <v>21.6142116814781</v>
      </c>
      <c r="G118" s="770">
        <v>21.225037192169701</v>
      </c>
      <c r="H118" s="770">
        <v>28.249016969580399</v>
      </c>
      <c r="I118" s="770">
        <v>23.306498317650501</v>
      </c>
      <c r="J118" s="770">
        <v>17.3040892810155</v>
      </c>
      <c r="K118" s="770">
        <v>13.4060323164669</v>
      </c>
      <c r="L118" s="770">
        <v>9.4174129897107104</v>
      </c>
      <c r="M118" s="770">
        <v>6.9758096287837201</v>
      </c>
      <c r="N118" s="770">
        <v>3.4689558339712998</v>
      </c>
      <c r="O118" s="770">
        <v>1.4833517331013</v>
      </c>
      <c r="P118" s="770">
        <v>0.90974881285829401</v>
      </c>
      <c r="Q118" s="770">
        <v>0.53298165755398996</v>
      </c>
      <c r="R118" s="770">
        <v>0.407941895156821</v>
      </c>
      <c r="S118" s="770"/>
      <c r="T118" s="770">
        <v>8.8897591541022128E-2</v>
      </c>
      <c r="U118" s="770">
        <v>7.4211866066183671E-2</v>
      </c>
      <c r="V118" s="770">
        <v>6.1875856667319366E-2</v>
      </c>
      <c r="W118" s="770">
        <v>4.2099079694536912E-2</v>
      </c>
      <c r="X118" s="770">
        <v>6.4421382416291362E-2</v>
      </c>
      <c r="Y118" s="770">
        <v>0.1482279224593695</v>
      </c>
      <c r="Z118" s="770">
        <v>0.16996279616213042</v>
      </c>
      <c r="AA118" s="770">
        <v>0.11180732328177012</v>
      </c>
      <c r="AB118" s="770">
        <v>7.8323869199138432E-2</v>
      </c>
      <c r="AC118" s="770">
        <v>5.5609947131388289E-2</v>
      </c>
      <c r="AD118" s="770">
        <v>3.5637360485607991E-2</v>
      </c>
      <c r="AE118" s="770">
        <v>2.6238496181711375E-2</v>
      </c>
      <c r="AF118" s="770">
        <v>1.7622870569806149E-2</v>
      </c>
      <c r="AG118" s="770">
        <v>1.0573722341883689E-2</v>
      </c>
      <c r="AH118" s="770">
        <v>5.6784805169375367E-3</v>
      </c>
      <c r="AI118" s="770">
        <v>4.895241824946152E-3</v>
      </c>
      <c r="AJ118" s="770"/>
      <c r="AK118" s="770">
        <f t="shared" si="51"/>
        <v>7.9394466889921391</v>
      </c>
      <c r="AL118" s="770">
        <f t="shared" si="52"/>
        <v>14.409407685311926</v>
      </c>
      <c r="AM118" s="770">
        <f t="shared" si="53"/>
        <v>18.286133335200088</v>
      </c>
      <c r="AN118" s="770">
        <f t="shared" si="54"/>
        <v>32.088307865496702</v>
      </c>
      <c r="AO118" s="770">
        <f t="shared" si="55"/>
        <v>20.591995619378928</v>
      </c>
      <c r="AP118" s="770">
        <f t="shared" si="56"/>
        <v>11.911140163775354</v>
      </c>
      <c r="AQ118" s="770">
        <f t="shared" si="57"/>
        <v>8.57044116562796</v>
      </c>
      <c r="AR118" s="770">
        <f t="shared" si="58"/>
        <v>9.6729404507603061</v>
      </c>
      <c r="AS118" s="770">
        <f t="shared" si="59"/>
        <v>10.697594850030697</v>
      </c>
      <c r="AT118" s="770">
        <f t="shared" si="60"/>
        <v>10.584227143145378</v>
      </c>
      <c r="AU118" s="770">
        <f t="shared" si="61"/>
        <v>12.234017779601118</v>
      </c>
      <c r="AV118" s="770">
        <f t="shared" si="62"/>
        <v>8.2630398526545843</v>
      </c>
      <c r="AW118" s="770">
        <f t="shared" si="63"/>
        <v>5.2607481256585684</v>
      </c>
      <c r="AX118" s="770">
        <f t="shared" si="64"/>
        <v>5.3774157260038287</v>
      </c>
      <c r="AY118" s="770">
        <f t="shared" si="65"/>
        <v>5.8662442351901438</v>
      </c>
      <c r="AZ118" s="770">
        <f t="shared" si="66"/>
        <v>5.2083981464147122</v>
      </c>
      <c r="BA118" s="770"/>
      <c r="BB118" s="770">
        <f t="shared" si="67"/>
        <v>11.685093677077653</v>
      </c>
    </row>
    <row r="119" spans="1:54" x14ac:dyDescent="0.75">
      <c r="A119" s="132" t="s">
        <v>245</v>
      </c>
      <c r="B119" s="132" t="str">
        <f>VLOOKUP(A119,'HCW + Staff Summary'!B:E,4,FALSE)</f>
        <v>Upper middle income</v>
      </c>
      <c r="C119" s="770">
        <v>10.6065066322818</v>
      </c>
      <c r="D119" s="770">
        <v>22.331421088099699</v>
      </c>
      <c r="E119" s="770">
        <v>27.007366393913301</v>
      </c>
      <c r="F119" s="770">
        <v>31.223152555631401</v>
      </c>
      <c r="G119" s="770">
        <v>18.426088696333299</v>
      </c>
      <c r="H119" s="770">
        <v>17.174153329302499</v>
      </c>
      <c r="I119" s="770">
        <v>16.6599943435222</v>
      </c>
      <c r="J119" s="770">
        <v>15.776951789373699</v>
      </c>
      <c r="K119" s="770">
        <v>14.8238443940394</v>
      </c>
      <c r="L119" s="770">
        <v>11.338233053003099</v>
      </c>
      <c r="M119" s="770">
        <v>8.7944661488042009</v>
      </c>
      <c r="N119" s="770">
        <v>5.2900346856207801</v>
      </c>
      <c r="O119" s="770">
        <v>2.9268848677763399</v>
      </c>
      <c r="P119" s="770">
        <v>2.0126399605816498</v>
      </c>
      <c r="Q119" s="770">
        <v>1.17515670547725</v>
      </c>
      <c r="R119" s="770">
        <v>0.97250047995813504</v>
      </c>
      <c r="S119" s="770"/>
      <c r="T119" s="770">
        <v>7.7528964601364658E-2</v>
      </c>
      <c r="U119" s="770">
        <v>7.8902779685854282E-2</v>
      </c>
      <c r="V119" s="770">
        <v>8.0413976278792876E-2</v>
      </c>
      <c r="W119" s="770">
        <v>7.7712139945963279E-2</v>
      </c>
      <c r="X119" s="770">
        <v>6.9881393964372401E-2</v>
      </c>
      <c r="Y119" s="770">
        <v>6.5668361038604198E-2</v>
      </c>
      <c r="Z119" s="770">
        <v>6.3195493886522874E-2</v>
      </c>
      <c r="AA119" s="770">
        <v>6.8553372716032415E-2</v>
      </c>
      <c r="AB119" s="770">
        <v>7.1163621376562708E-2</v>
      </c>
      <c r="AC119" s="770">
        <v>6.3378669231121496E-2</v>
      </c>
      <c r="AD119" s="770">
        <v>6.1546915785135319E-2</v>
      </c>
      <c r="AE119" s="770">
        <v>5.7791821220863675E-2</v>
      </c>
      <c r="AF119" s="770">
        <v>5.2021797866007233E-2</v>
      </c>
      <c r="AG119" s="770">
        <v>4.1992947749232956E-2</v>
      </c>
      <c r="AH119" s="770">
        <v>3.3933232586893805E-2</v>
      </c>
      <c r="AI119" s="770">
        <v>1.9553968035902366E-2</v>
      </c>
      <c r="AJ119" s="770"/>
      <c r="AK119" s="770">
        <f t="shared" si="51"/>
        <v>8.5504387673190223</v>
      </c>
      <c r="AL119" s="770">
        <f t="shared" si="52"/>
        <v>17.689032294719716</v>
      </c>
      <c r="AM119" s="770">
        <f t="shared" si="53"/>
        <v>20.99088339777494</v>
      </c>
      <c r="AN119" s="770">
        <f t="shared" si="54"/>
        <v>25.111225042623854</v>
      </c>
      <c r="AO119" s="770">
        <f t="shared" si="55"/>
        <v>16.479787797420961</v>
      </c>
      <c r="AP119" s="770">
        <f t="shared" si="56"/>
        <v>16.345536360354721</v>
      </c>
      <c r="AQ119" s="770">
        <f t="shared" si="57"/>
        <v>16.476643862295937</v>
      </c>
      <c r="AR119" s="770">
        <f t="shared" si="58"/>
        <v>14.38382165266172</v>
      </c>
      <c r="AS119" s="770">
        <f t="shared" si="59"/>
        <v>13.019155808905985</v>
      </c>
      <c r="AT119" s="770">
        <f t="shared" si="60"/>
        <v>11.181042051048982</v>
      </c>
      <c r="AU119" s="770">
        <f t="shared" si="61"/>
        <v>8.9306527758294898</v>
      </c>
      <c r="AV119" s="770">
        <f t="shared" si="62"/>
        <v>5.7210027451416883</v>
      </c>
      <c r="AW119" s="770">
        <f t="shared" si="63"/>
        <v>3.5164164204242923</v>
      </c>
      <c r="AX119" s="770">
        <f t="shared" si="64"/>
        <v>2.9955029184311264</v>
      </c>
      <c r="AY119" s="770">
        <f t="shared" si="65"/>
        <v>2.1644649947289736</v>
      </c>
      <c r="AZ119" s="770">
        <f t="shared" si="66"/>
        <v>3.1083859749481553</v>
      </c>
      <c r="BA119" s="770"/>
      <c r="BB119" s="770">
        <f t="shared" si="67"/>
        <v>11.666499554039348</v>
      </c>
    </row>
    <row r="120" spans="1:54" x14ac:dyDescent="0.75">
      <c r="A120" s="132" t="s">
        <v>563</v>
      </c>
      <c r="B120" s="132" t="str">
        <f>VLOOKUP(A120,'HCW + Staff Summary'!B:E,4,FALSE)</f>
        <v>Upper middle income</v>
      </c>
      <c r="C120" s="770">
        <v>14.186406846401701</v>
      </c>
      <c r="D120" s="770">
        <v>21.761169474958901</v>
      </c>
      <c r="E120" s="770">
        <v>24.731886942580601</v>
      </c>
      <c r="F120" s="770">
        <v>23.516539969879201</v>
      </c>
      <c r="G120" s="770">
        <v>18.4324847829905</v>
      </c>
      <c r="H120" s="770">
        <v>19.2457656097965</v>
      </c>
      <c r="I120" s="770">
        <v>18.739728923745702</v>
      </c>
      <c r="J120" s="770">
        <v>18.171371877064502</v>
      </c>
      <c r="K120" s="770">
        <v>16.321980562476799</v>
      </c>
      <c r="L120" s="770">
        <v>12.701795722121799</v>
      </c>
      <c r="M120" s="770">
        <v>9.5081154551822706</v>
      </c>
      <c r="N120" s="770">
        <v>5.8777371172817698</v>
      </c>
      <c r="O120" s="770">
        <v>3.2858077700465298</v>
      </c>
      <c r="P120" s="770">
        <v>1.9877128930619801</v>
      </c>
      <c r="Q120" s="770">
        <v>1.0625555789574099</v>
      </c>
      <c r="R120" s="770">
        <v>0.65749867066267198</v>
      </c>
      <c r="S120" s="770"/>
      <c r="T120" s="770">
        <v>8.313405542270362E-2</v>
      </c>
      <c r="U120" s="770">
        <v>9.6040230693487133E-2</v>
      </c>
      <c r="V120" s="770">
        <v>9.3473062315374875E-2</v>
      </c>
      <c r="W120" s="770">
        <v>8.7951891967927978E-2</v>
      </c>
      <c r="X120" s="770">
        <v>7.3920382613588409E-2</v>
      </c>
      <c r="Y120" s="770">
        <v>7.1318047545365026E-2</v>
      </c>
      <c r="Z120" s="770">
        <v>7.2584048389365594E-2</v>
      </c>
      <c r="AA120" s="770">
        <v>6.9067379378252913E-2</v>
      </c>
      <c r="AB120" s="770">
        <v>6.5691377127584757E-2</v>
      </c>
      <c r="AC120" s="770">
        <v>5.9677873118582081E-2</v>
      </c>
      <c r="AD120" s="770">
        <v>5.6266704177802787E-2</v>
      </c>
      <c r="AE120" s="770">
        <v>4.9760866507244338E-2</v>
      </c>
      <c r="AF120" s="770">
        <v>4.1391194260796176E-2</v>
      </c>
      <c r="AG120" s="770">
        <v>3.0454353636235759E-2</v>
      </c>
      <c r="AH120" s="770">
        <v>2.1240680827120551E-2</v>
      </c>
      <c r="AI120" s="770">
        <v>1.3574342382894922E-2</v>
      </c>
      <c r="AJ120" s="770"/>
      <c r="AK120" s="770">
        <f t="shared" si="51"/>
        <v>10.66530946183055</v>
      </c>
      <c r="AL120" s="770">
        <f t="shared" si="52"/>
        <v>14.161493390468952</v>
      </c>
      <c r="AM120" s="770">
        <f t="shared" si="53"/>
        <v>16.536774292212709</v>
      </c>
      <c r="AN120" s="770">
        <f t="shared" si="54"/>
        <v>16.711223775077094</v>
      </c>
      <c r="AO120" s="770">
        <f t="shared" si="55"/>
        <v>15.584744805218776</v>
      </c>
      <c r="AP120" s="770">
        <f t="shared" si="56"/>
        <v>16.866142470419543</v>
      </c>
      <c r="AQ120" s="770">
        <f t="shared" si="57"/>
        <v>16.136232184945275</v>
      </c>
      <c r="AR120" s="770">
        <f t="shared" si="58"/>
        <v>16.443518670322245</v>
      </c>
      <c r="AS120" s="770">
        <f t="shared" si="59"/>
        <v>15.529036378298656</v>
      </c>
      <c r="AT120" s="770">
        <f t="shared" si="60"/>
        <v>13.302455183936928</v>
      </c>
      <c r="AU120" s="770">
        <f t="shared" si="61"/>
        <v>10.56143637045168</v>
      </c>
      <c r="AV120" s="770">
        <f t="shared" si="62"/>
        <v>7.382479358084117</v>
      </c>
      <c r="AW120" s="770">
        <f t="shared" si="63"/>
        <v>4.9615138991632923</v>
      </c>
      <c r="AX120" s="770">
        <f t="shared" si="64"/>
        <v>4.0792872277071641</v>
      </c>
      <c r="AY120" s="770">
        <f t="shared" si="65"/>
        <v>3.1265346071226108</v>
      </c>
      <c r="AZ120" s="770">
        <f t="shared" si="66"/>
        <v>3.0273044363607093</v>
      </c>
      <c r="BA120" s="770"/>
      <c r="BB120" s="770">
        <f t="shared" si="67"/>
        <v>11.567217906976268</v>
      </c>
    </row>
    <row r="121" spans="1:54" x14ac:dyDescent="0.75">
      <c r="A121" s="132" t="s">
        <v>463</v>
      </c>
      <c r="B121" s="132" t="str">
        <f>VLOOKUP(A121,'HCW + Staff Summary'!B:E,4,FALSE)</f>
        <v>Upper middle income</v>
      </c>
      <c r="C121" s="770">
        <v>14.6449339667424</v>
      </c>
      <c r="D121" s="770">
        <v>23.693062958584498</v>
      </c>
      <c r="E121" s="770">
        <v>27.483198542612801</v>
      </c>
      <c r="F121" s="770">
        <v>27.762658810774901</v>
      </c>
      <c r="G121" s="770">
        <v>17.924786774609601</v>
      </c>
      <c r="H121" s="770">
        <v>17.668350285261301</v>
      </c>
      <c r="I121" s="770">
        <v>17.714338770839799</v>
      </c>
      <c r="J121" s="770">
        <v>17.935049098224599</v>
      </c>
      <c r="K121" s="770">
        <v>15.4918674931653</v>
      </c>
      <c r="L121" s="770">
        <v>11.7519525011099</v>
      </c>
      <c r="M121" s="770">
        <v>8.8644054910078793</v>
      </c>
      <c r="N121" s="770">
        <v>5.3068191250033303</v>
      </c>
      <c r="O121" s="770">
        <v>2.9820592156762702</v>
      </c>
      <c r="P121" s="770">
        <v>1.7778573256164201</v>
      </c>
      <c r="Q121" s="770">
        <v>1.05060720725593</v>
      </c>
      <c r="R121" s="770">
        <v>0.62788849780307898</v>
      </c>
      <c r="S121" s="770"/>
      <c r="T121" s="770">
        <v>8.499763443028549E-2</v>
      </c>
      <c r="U121" s="770">
        <v>8.6952137932104268E-2</v>
      </c>
      <c r="V121" s="770">
        <v>8.640922029271017E-2</v>
      </c>
      <c r="W121" s="770">
        <v>8.6944381965827211E-2</v>
      </c>
      <c r="X121" s="770">
        <v>8.4850271071021388E-2</v>
      </c>
      <c r="Y121" s="770">
        <v>8.373341192712494E-2</v>
      </c>
      <c r="Z121" s="770">
        <v>7.5923153886126901E-2</v>
      </c>
      <c r="AA121" s="770">
        <v>7.0501733458462917E-2</v>
      </c>
      <c r="AB121" s="770">
        <v>6.6173904275864212E-2</v>
      </c>
      <c r="AC121" s="770">
        <v>6.2171825676901958E-2</v>
      </c>
      <c r="AD121" s="770">
        <v>5.3710066468630996E-2</v>
      </c>
      <c r="AE121" s="770">
        <v>4.524055129408297E-2</v>
      </c>
      <c r="AF121" s="770">
        <v>3.6212606547586734E-2</v>
      </c>
      <c r="AG121" s="770">
        <v>2.7882698766025765E-2</v>
      </c>
      <c r="AH121" s="770">
        <v>1.9133968805503634E-2</v>
      </c>
      <c r="AI121" s="770">
        <v>1.3355773929094957E-2</v>
      </c>
      <c r="AJ121" s="770"/>
      <c r="AK121" s="770">
        <f t="shared" si="51"/>
        <v>10.768633492643021</v>
      </c>
      <c r="AL121" s="770">
        <f t="shared" si="52"/>
        <v>17.030247560650118</v>
      </c>
      <c r="AM121" s="770">
        <f t="shared" si="53"/>
        <v>19.878664604247241</v>
      </c>
      <c r="AN121" s="770">
        <f t="shared" si="54"/>
        <v>19.957197192515835</v>
      </c>
      <c r="AO121" s="770">
        <f t="shared" si="55"/>
        <v>13.203248018799929</v>
      </c>
      <c r="AP121" s="770">
        <f t="shared" si="56"/>
        <v>13.187948125055549</v>
      </c>
      <c r="AQ121" s="770">
        <f t="shared" si="57"/>
        <v>14.582457610204616</v>
      </c>
      <c r="AR121" s="770">
        <f t="shared" si="58"/>
        <v>15.899475284525526</v>
      </c>
      <c r="AS121" s="770">
        <f t="shared" si="59"/>
        <v>14.631775605780309</v>
      </c>
      <c r="AT121" s="770">
        <f t="shared" si="60"/>
        <v>11.813985246893733</v>
      </c>
      <c r="AU121" s="770">
        <f t="shared" si="61"/>
        <v>10.315111851733924</v>
      </c>
      <c r="AV121" s="770">
        <f t="shared" si="62"/>
        <v>7.331391546417521</v>
      </c>
      <c r="AW121" s="770">
        <f t="shared" si="63"/>
        <v>5.1467905447471152</v>
      </c>
      <c r="AX121" s="770">
        <f t="shared" si="64"/>
        <v>3.9851265397027449</v>
      </c>
      <c r="AY121" s="770">
        <f t="shared" si="65"/>
        <v>3.4317475439078038</v>
      </c>
      <c r="AZ121" s="770">
        <f t="shared" si="66"/>
        <v>2.9382820734336663</v>
      </c>
      <c r="BA121" s="770"/>
      <c r="BB121" s="770">
        <f t="shared" si="67"/>
        <v>11.506380177578668</v>
      </c>
    </row>
    <row r="122" spans="1:54" x14ac:dyDescent="0.75">
      <c r="A122" s="132" t="s">
        <v>242</v>
      </c>
      <c r="B122" s="132" t="str">
        <f>VLOOKUP(A122,'HCW + Staff Summary'!B:E,4,FALSE)</f>
        <v>Lower middle income</v>
      </c>
      <c r="C122" s="770">
        <v>9.4354545960650995</v>
      </c>
      <c r="D122" s="770">
        <v>18.2823915349591</v>
      </c>
      <c r="E122" s="770">
        <v>25.6097060192591</v>
      </c>
      <c r="F122" s="770">
        <v>28.6146776590051</v>
      </c>
      <c r="G122" s="770">
        <v>17.779966458488001</v>
      </c>
      <c r="H122" s="770">
        <v>19.278958846768202</v>
      </c>
      <c r="I122" s="770">
        <v>19.447725641654898</v>
      </c>
      <c r="J122" s="770">
        <v>19.178112359515701</v>
      </c>
      <c r="K122" s="770">
        <v>17.377370349310699</v>
      </c>
      <c r="L122" s="770">
        <v>13.3504157814472</v>
      </c>
      <c r="M122" s="770">
        <v>9.9904393402136602</v>
      </c>
      <c r="N122" s="770">
        <v>6.2294322056933904</v>
      </c>
      <c r="O122" s="770">
        <v>3.1470242257079799</v>
      </c>
      <c r="P122" s="770">
        <v>1.62507782188239</v>
      </c>
      <c r="Q122" s="770">
        <v>0.933610231766552</v>
      </c>
      <c r="R122" s="770">
        <v>0.68471371265641001</v>
      </c>
      <c r="S122" s="770"/>
      <c r="T122" s="770">
        <v>8.6496980155306297E-2</v>
      </c>
      <c r="U122" s="770">
        <v>8.8833155408666153E-2</v>
      </c>
      <c r="V122" s="770">
        <v>8.4032845381026899E-2</v>
      </c>
      <c r="W122" s="770">
        <v>8.5250288822918643E-2</v>
      </c>
      <c r="X122" s="770">
        <v>8.2822713911759119E-2</v>
      </c>
      <c r="Y122" s="770">
        <v>7.6475921674149253E-2</v>
      </c>
      <c r="Z122" s="770">
        <v>7.3021014609321297E-2</v>
      </c>
      <c r="AA122" s="770">
        <v>7.7481317909945752E-2</v>
      </c>
      <c r="AB122" s="770">
        <v>7.1953466606221025E-2</v>
      </c>
      <c r="AC122" s="770">
        <v>6.641464734356034E-2</v>
      </c>
      <c r="AD122" s="770">
        <v>5.8331261607756542E-2</v>
      </c>
      <c r="AE122" s="770">
        <v>4.825901931823167E-2</v>
      </c>
      <c r="AF122" s="770">
        <v>3.8000321726795454E-2</v>
      </c>
      <c r="AG122" s="770">
        <v>2.6089118322341003E-2</v>
      </c>
      <c r="AH122" s="770">
        <v>1.6879688802445125E-2</v>
      </c>
      <c r="AI122" s="770">
        <v>1.0810751524546292E-2</v>
      </c>
      <c r="AJ122" s="770"/>
      <c r="AK122" s="770">
        <f t="shared" si="51"/>
        <v>6.8177630154859417</v>
      </c>
      <c r="AL122" s="770">
        <f t="shared" si="52"/>
        <v>12.862871589760866</v>
      </c>
      <c r="AM122" s="770">
        <f t="shared" si="53"/>
        <v>19.047392944343663</v>
      </c>
      <c r="AN122" s="770">
        <f t="shared" si="54"/>
        <v>20.978431608633112</v>
      </c>
      <c r="AO122" s="770">
        <f t="shared" si="55"/>
        <v>13.417187763726803</v>
      </c>
      <c r="AP122" s="770">
        <f t="shared" si="56"/>
        <v>15.755742481366005</v>
      </c>
      <c r="AQ122" s="770">
        <f t="shared" si="57"/>
        <v>16.645658227382011</v>
      </c>
      <c r="AR122" s="770">
        <f t="shared" si="58"/>
        <v>15.469948818667049</v>
      </c>
      <c r="AS122" s="770">
        <f t="shared" si="59"/>
        <v>15.094278261473184</v>
      </c>
      <c r="AT122" s="770">
        <f t="shared" si="60"/>
        <v>12.563508498722078</v>
      </c>
      <c r="AU122" s="770">
        <f t="shared" si="61"/>
        <v>10.704422320951901</v>
      </c>
      <c r="AV122" s="770">
        <f t="shared" si="62"/>
        <v>8.0677046147257521</v>
      </c>
      <c r="AW122" s="770">
        <f t="shared" si="63"/>
        <v>5.1759828645886419</v>
      </c>
      <c r="AX122" s="770">
        <f t="shared" si="64"/>
        <v>3.8930929981130782</v>
      </c>
      <c r="AY122" s="770">
        <f t="shared" si="65"/>
        <v>3.4568551688557823</v>
      </c>
      <c r="AZ122" s="770">
        <f t="shared" si="66"/>
        <v>3.9585228597529567</v>
      </c>
      <c r="BA122" s="770"/>
      <c r="BB122" s="770">
        <f t="shared" si="67"/>
        <v>11.4943352522843</v>
      </c>
    </row>
    <row r="123" spans="1:54" x14ac:dyDescent="0.75">
      <c r="A123" s="132" t="s">
        <v>420</v>
      </c>
      <c r="B123" s="132" t="str">
        <f>VLOOKUP(A123,'HCW + Staff Summary'!B:E,4,FALSE)</f>
        <v>High income</v>
      </c>
      <c r="C123" s="770">
        <v>8.6806370695494106</v>
      </c>
      <c r="D123" s="770">
        <v>17.4542056090628</v>
      </c>
      <c r="E123" s="770">
        <v>20.619842980966499</v>
      </c>
      <c r="F123" s="770">
        <v>18.706584953533302</v>
      </c>
      <c r="G123" s="770">
        <v>13.4252984649823</v>
      </c>
      <c r="H123" s="770">
        <v>16.863147932129401</v>
      </c>
      <c r="I123" s="770">
        <v>19.151111846147799</v>
      </c>
      <c r="J123" s="770">
        <v>18.801661544125899</v>
      </c>
      <c r="K123" s="770">
        <v>16.963524334908101</v>
      </c>
      <c r="L123" s="770">
        <v>13.2033412699154</v>
      </c>
      <c r="M123" s="770">
        <v>10.184545805999299</v>
      </c>
      <c r="N123" s="770">
        <v>6.5262787489500402</v>
      </c>
      <c r="O123" s="770">
        <v>4.0936527394961297</v>
      </c>
      <c r="P123" s="770">
        <v>3.2726627457462301</v>
      </c>
      <c r="Q123" s="770">
        <v>1.9517241491013699</v>
      </c>
      <c r="R123" s="770">
        <v>1.22065421068805</v>
      </c>
      <c r="S123" s="770"/>
      <c r="T123" s="770">
        <v>6.3450233123859723E-2</v>
      </c>
      <c r="U123" s="770">
        <v>7.257247111291304E-2</v>
      </c>
      <c r="V123" s="770">
        <v>7.2369754713156292E-2</v>
      </c>
      <c r="W123" s="770">
        <v>6.3247516724102976E-2</v>
      </c>
      <c r="X123" s="770">
        <v>5.8787755929454691E-2</v>
      </c>
      <c r="Y123" s="770">
        <v>5.6152442732617068E-2</v>
      </c>
      <c r="Z123" s="770">
        <v>6.3044800324346242E-2</v>
      </c>
      <c r="AA123" s="770">
        <v>7.8045813906345018E-2</v>
      </c>
      <c r="AB123" s="770">
        <v>8.0072977903912421E-2</v>
      </c>
      <c r="AC123" s="770">
        <v>7.4599635110480442E-2</v>
      </c>
      <c r="AD123" s="770">
        <v>6.3247516724102976E-2</v>
      </c>
      <c r="AE123" s="770">
        <v>5.838232312994121E-2</v>
      </c>
      <c r="AF123" s="770">
        <v>5.0679099939185082E-2</v>
      </c>
      <c r="AG123" s="770">
        <v>4.6624771944050271E-2</v>
      </c>
      <c r="AH123" s="770">
        <v>3.9935130752077844E-2</v>
      </c>
      <c r="AI123" s="770">
        <v>2.7163997567403203E-2</v>
      </c>
      <c r="AJ123" s="770"/>
      <c r="AK123" s="770">
        <f t="shared" si="51"/>
        <v>8.5506355159918606</v>
      </c>
      <c r="AL123" s="770">
        <f t="shared" si="52"/>
        <v>15.031703259341269</v>
      </c>
      <c r="AM123" s="770">
        <f t="shared" si="53"/>
        <v>17.807718036608499</v>
      </c>
      <c r="AN123" s="770">
        <f t="shared" si="54"/>
        <v>18.485493504763578</v>
      </c>
      <c r="AO123" s="770">
        <f t="shared" si="55"/>
        <v>14.273059768913294</v>
      </c>
      <c r="AP123" s="770">
        <f t="shared" si="56"/>
        <v>18.769383743049264</v>
      </c>
      <c r="AQ123" s="770">
        <f t="shared" si="57"/>
        <v>18.985617913393707</v>
      </c>
      <c r="AR123" s="770">
        <f t="shared" si="58"/>
        <v>15.056590324216407</v>
      </c>
      <c r="AS123" s="770">
        <f t="shared" si="59"/>
        <v>13.240674927864188</v>
      </c>
      <c r="AT123" s="770">
        <f t="shared" si="60"/>
        <v>11.061834661089108</v>
      </c>
      <c r="AU123" s="770">
        <f t="shared" si="61"/>
        <v>10.064175573115895</v>
      </c>
      <c r="AV123" s="770">
        <f t="shared" si="62"/>
        <v>6.9865740166168724</v>
      </c>
      <c r="AW123" s="770">
        <f t="shared" si="63"/>
        <v>5.0484972409836022</v>
      </c>
      <c r="AX123" s="770">
        <f t="shared" si="64"/>
        <v>4.3869688382516721</v>
      </c>
      <c r="AY123" s="770">
        <f t="shared" si="65"/>
        <v>3.0545225975625185</v>
      </c>
      <c r="AZ123" s="770">
        <f t="shared" si="66"/>
        <v>2.8085294875579061</v>
      </c>
      <c r="BA123" s="770"/>
      <c r="BB123" s="770">
        <f t="shared" si="67"/>
        <v>11.475748713082478</v>
      </c>
    </row>
    <row r="124" spans="1:54" x14ac:dyDescent="0.75">
      <c r="A124" s="132" t="s">
        <v>460</v>
      </c>
      <c r="B124" s="132" t="str">
        <f>VLOOKUP(A124,'HCW + Staff Summary'!B:E,4,FALSE)</f>
        <v>Upper middle income</v>
      </c>
      <c r="C124" s="770">
        <v>12.142894786911601</v>
      </c>
      <c r="D124" s="770">
        <v>20.160016043876499</v>
      </c>
      <c r="E124" s="770">
        <v>23.930332393976801</v>
      </c>
      <c r="F124" s="770">
        <v>26.4134411213942</v>
      </c>
      <c r="G124" s="770">
        <v>20.4788931583739</v>
      </c>
      <c r="H124" s="770">
        <v>21.075799931180502</v>
      </c>
      <c r="I124" s="770">
        <v>19.074460011338601</v>
      </c>
      <c r="J124" s="770">
        <v>17.725235572722902</v>
      </c>
      <c r="K124" s="770">
        <v>16.008555247366999</v>
      </c>
      <c r="L124" s="770">
        <v>12.562943425995799</v>
      </c>
      <c r="M124" s="770">
        <v>8.9577561225083198</v>
      </c>
      <c r="N124" s="770">
        <v>5.2919027103295599</v>
      </c>
      <c r="O124" s="770">
        <v>3.8488695187137099</v>
      </c>
      <c r="P124" s="770">
        <v>1.65937541549311</v>
      </c>
      <c r="Q124" s="770">
        <v>0.88774162331638296</v>
      </c>
      <c r="R124" s="770">
        <v>0.537404030740675</v>
      </c>
      <c r="S124" s="770"/>
      <c r="T124" s="770">
        <v>8.1412593462275223E-2</v>
      </c>
      <c r="U124" s="770">
        <v>7.7488722733732932E-2</v>
      </c>
      <c r="V124" s="770">
        <v>7.5573132299326454E-2</v>
      </c>
      <c r="W124" s="770">
        <v>8.2493975159117591E-2</v>
      </c>
      <c r="X124" s="770">
        <v>8.845702280170549E-2</v>
      </c>
      <c r="Y124" s="770">
        <v>8.9816474077735894E-2</v>
      </c>
      <c r="Z124" s="770">
        <v>9.0527096335660875E-2</v>
      </c>
      <c r="AA124" s="770">
        <v>8.4069702774516461E-2</v>
      </c>
      <c r="AB124" s="770">
        <v>6.4759315330902803E-2</v>
      </c>
      <c r="AC124" s="770">
        <v>5.8549094729036646E-2</v>
      </c>
      <c r="AD124" s="770">
        <v>5.1751838348884631E-2</v>
      </c>
      <c r="AE124" s="770">
        <v>4.5448927887289131E-2</v>
      </c>
      <c r="AF124" s="770">
        <v>3.7786566149663227E-2</v>
      </c>
      <c r="AG124" s="770">
        <v>2.8641166656367793E-2</v>
      </c>
      <c r="AH124" s="770">
        <v>2.0329975900636472E-2</v>
      </c>
      <c r="AI124" s="770">
        <v>1.1369956126799727E-2</v>
      </c>
      <c r="AJ124" s="770"/>
      <c r="AK124" s="770">
        <f t="shared" si="51"/>
        <v>9.3220335074283884</v>
      </c>
      <c r="AL124" s="770">
        <f t="shared" si="52"/>
        <v>16.260443562502662</v>
      </c>
      <c r="AM124" s="770">
        <f t="shared" si="53"/>
        <v>19.790707743853567</v>
      </c>
      <c r="AN124" s="770">
        <f t="shared" si="54"/>
        <v>20.011644085558164</v>
      </c>
      <c r="AO124" s="770">
        <f t="shared" si="55"/>
        <v>14.469521829460568</v>
      </c>
      <c r="AP124" s="770">
        <f t="shared" si="56"/>
        <v>14.665878495282682</v>
      </c>
      <c r="AQ124" s="770">
        <f t="shared" si="57"/>
        <v>13.169026721992005</v>
      </c>
      <c r="AR124" s="770">
        <f t="shared" si="58"/>
        <v>13.177484714873886</v>
      </c>
      <c r="AS124" s="770">
        <f t="shared" si="59"/>
        <v>15.450050666038891</v>
      </c>
      <c r="AT124" s="770">
        <f t="shared" si="60"/>
        <v>13.410693500190634</v>
      </c>
      <c r="AU124" s="770">
        <f t="shared" si="61"/>
        <v>10.81816174108598</v>
      </c>
      <c r="AV124" s="770">
        <f t="shared" si="62"/>
        <v>7.2772655983398424</v>
      </c>
      <c r="AW124" s="770">
        <f t="shared" si="63"/>
        <v>6.3661340373409612</v>
      </c>
      <c r="AX124" s="770">
        <f t="shared" si="64"/>
        <v>3.621045354493662</v>
      </c>
      <c r="AY124" s="770">
        <f t="shared" si="65"/>
        <v>2.7291646447813496</v>
      </c>
      <c r="AZ124" s="770">
        <f t="shared" si="66"/>
        <v>2.9540792899036497</v>
      </c>
      <c r="BA124" s="770"/>
      <c r="BB124" s="770">
        <f t="shared" si="67"/>
        <v>11.468333468320434</v>
      </c>
    </row>
    <row r="125" spans="1:54" x14ac:dyDescent="0.75">
      <c r="A125" s="132" t="s">
        <v>176</v>
      </c>
      <c r="B125" s="132" t="str">
        <f>VLOOKUP(A125,'HCW + Staff Summary'!B:E,4,FALSE)</f>
        <v>Lower middle income</v>
      </c>
      <c r="C125" s="770">
        <v>14.820089942618299</v>
      </c>
      <c r="D125" s="770">
        <v>40.392940939985202</v>
      </c>
      <c r="E125" s="770">
        <v>36.051873282647399</v>
      </c>
      <c r="F125" s="770">
        <v>31.8668269871268</v>
      </c>
      <c r="G125" s="770">
        <v>16.7413360459486</v>
      </c>
      <c r="H125" s="770">
        <v>15.0494746611653</v>
      </c>
      <c r="I125" s="770">
        <v>13.471788947220499</v>
      </c>
      <c r="J125" s="770">
        <v>13.688184066868899</v>
      </c>
      <c r="K125" s="770">
        <v>11.7411188409553</v>
      </c>
      <c r="L125" s="770">
        <v>9.3934682446030102</v>
      </c>
      <c r="M125" s="770">
        <v>7.12291251946003</v>
      </c>
      <c r="N125" s="770">
        <v>4.2953806594467396</v>
      </c>
      <c r="O125" s="770">
        <v>2.37083942482613</v>
      </c>
      <c r="P125" s="770">
        <v>1.2735192538828399</v>
      </c>
      <c r="Q125" s="770">
        <v>0.652600283528459</v>
      </c>
      <c r="R125" s="770">
        <v>0.33343749045600801</v>
      </c>
      <c r="S125" s="770"/>
      <c r="T125" s="770">
        <v>0.1265912753743911</v>
      </c>
      <c r="U125" s="770">
        <v>0.1154365029063977</v>
      </c>
      <c r="V125" s="770">
        <v>0.10616953081143726</v>
      </c>
      <c r="W125" s="770">
        <v>9.9487532368759388E-2</v>
      </c>
      <c r="X125" s="770">
        <v>9.403690491280807E-2</v>
      </c>
      <c r="Y125" s="770">
        <v>8.6730166778335116E-2</v>
      </c>
      <c r="Z125" s="770">
        <v>7.6136754613114102E-2</v>
      </c>
      <c r="AA125" s="770">
        <v>6.3365807725042106E-2</v>
      </c>
      <c r="AB125" s="770">
        <v>5.2586784491968928E-2</v>
      </c>
      <c r="AC125" s="770">
        <v>4.3609546746826502E-2</v>
      </c>
      <c r="AD125" s="770">
        <v>3.7262553646125705E-2</v>
      </c>
      <c r="AE125" s="770">
        <v>3.1200767796027019E-2</v>
      </c>
      <c r="AF125" s="770">
        <v>2.3898556760769969E-2</v>
      </c>
      <c r="AG125" s="770">
        <v>1.6401680459228945E-2</v>
      </c>
      <c r="AH125" s="770">
        <v>1.2250330478242762E-2</v>
      </c>
      <c r="AI125" s="770">
        <v>8.3932419462904948E-3</v>
      </c>
      <c r="AJ125" s="770"/>
      <c r="AK125" s="770">
        <f t="shared" si="51"/>
        <v>7.3168993571971024</v>
      </c>
      <c r="AL125" s="770">
        <f t="shared" si="52"/>
        <v>21.869675061069088</v>
      </c>
      <c r="AM125" s="770">
        <f t="shared" si="53"/>
        <v>21.223057716694072</v>
      </c>
      <c r="AN125" s="770">
        <f t="shared" si="54"/>
        <v>20.019359604911077</v>
      </c>
      <c r="AO125" s="770">
        <f t="shared" si="55"/>
        <v>11.12683901965891</v>
      </c>
      <c r="AP125" s="770">
        <f t="shared" si="56"/>
        <v>10.845040442811506</v>
      </c>
      <c r="AQ125" s="770">
        <f t="shared" si="57"/>
        <v>11.058874435610026</v>
      </c>
      <c r="AR125" s="770">
        <f t="shared" si="58"/>
        <v>13.501153617287654</v>
      </c>
      <c r="AS125" s="770">
        <f t="shared" si="59"/>
        <v>13.954455185822885</v>
      </c>
      <c r="AT125" s="770">
        <f t="shared" si="60"/>
        <v>13.462459692507839</v>
      </c>
      <c r="AU125" s="770">
        <f t="shared" si="61"/>
        <v>11.947169179387112</v>
      </c>
      <c r="AV125" s="770">
        <f t="shared" si="62"/>
        <v>8.6043168222804436</v>
      </c>
      <c r="AW125" s="770">
        <f t="shared" si="63"/>
        <v>6.2002683063635811</v>
      </c>
      <c r="AX125" s="770">
        <f t="shared" si="64"/>
        <v>4.852853557629869</v>
      </c>
      <c r="AY125" s="770">
        <f t="shared" si="65"/>
        <v>3.3295034605776137</v>
      </c>
      <c r="AZ125" s="770">
        <f t="shared" si="66"/>
        <v>2.482931301975746</v>
      </c>
      <c r="BA125" s="770"/>
      <c r="BB125" s="770">
        <f t="shared" si="67"/>
        <v>11.362178547611533</v>
      </c>
    </row>
    <row r="126" spans="1:54" x14ac:dyDescent="0.75">
      <c r="A126" s="132" t="s">
        <v>229</v>
      </c>
      <c r="B126" s="132" t="str">
        <f>VLOOKUP(A126,'HCW + Staff Summary'!B:E,4,FALSE)</f>
        <v>Upper middle income</v>
      </c>
      <c r="C126" s="770">
        <v>13.9282237559188</v>
      </c>
      <c r="D126" s="770">
        <v>22.192672517415001</v>
      </c>
      <c r="E126" s="770">
        <v>23.8341311308732</v>
      </c>
      <c r="F126" s="770">
        <v>23.063709104115901</v>
      </c>
      <c r="G126" s="770">
        <v>17.458796216449699</v>
      </c>
      <c r="H126" s="770">
        <v>18.819136433577299</v>
      </c>
      <c r="I126" s="770">
        <v>18.5964578156931</v>
      </c>
      <c r="J126" s="770">
        <v>18.057730445622202</v>
      </c>
      <c r="K126" s="770">
        <v>16.171097690396198</v>
      </c>
      <c r="L126" s="770">
        <v>12.366966269154799</v>
      </c>
      <c r="M126" s="770">
        <v>9.3096004287947292</v>
      </c>
      <c r="N126" s="770">
        <v>4.5621422532918201</v>
      </c>
      <c r="O126" s="770">
        <v>3.8570378138149799</v>
      </c>
      <c r="P126" s="770">
        <v>1.9722351773492099</v>
      </c>
      <c r="Q126" s="770">
        <v>1.0903017225951801</v>
      </c>
      <c r="R126" s="770">
        <v>0.64022617276187299</v>
      </c>
      <c r="S126" s="770"/>
      <c r="T126" s="770">
        <v>8.8586030664395229E-2</v>
      </c>
      <c r="U126" s="770">
        <v>8.8586030664395229E-2</v>
      </c>
      <c r="V126" s="770">
        <v>8.8586030664395229E-2</v>
      </c>
      <c r="W126" s="770">
        <v>8.5178875638841564E-2</v>
      </c>
      <c r="X126" s="770">
        <v>8.3475298126064731E-2</v>
      </c>
      <c r="Y126" s="770">
        <v>8.006814310051108E-2</v>
      </c>
      <c r="Z126" s="770">
        <v>7.3253833049403749E-2</v>
      </c>
      <c r="AA126" s="770">
        <v>6.8143100511073251E-2</v>
      </c>
      <c r="AB126" s="770">
        <v>6.1328790459965928E-2</v>
      </c>
      <c r="AC126" s="770">
        <v>6.4735945485519586E-2</v>
      </c>
      <c r="AD126" s="770">
        <v>5.6218057921635436E-2</v>
      </c>
      <c r="AE126" s="770">
        <v>5.4514480408858604E-2</v>
      </c>
      <c r="AF126" s="770">
        <v>3.7478705281090291E-2</v>
      </c>
      <c r="AG126" s="770">
        <v>2.6064735945485518E-2</v>
      </c>
      <c r="AH126" s="770">
        <v>1.9250425894378195E-2</v>
      </c>
      <c r="AI126" s="770">
        <v>1.2606473594548553E-2</v>
      </c>
      <c r="AJ126" s="770"/>
      <c r="AK126" s="770">
        <f t="shared" si="51"/>
        <v>9.82676363548598</v>
      </c>
      <c r="AL126" s="770">
        <f t="shared" si="52"/>
        <v>15.657570634281978</v>
      </c>
      <c r="AM126" s="770">
        <f t="shared" si="53"/>
        <v>16.815667035844434</v>
      </c>
      <c r="AN126" s="770">
        <f t="shared" si="54"/>
        <v>16.922996555145044</v>
      </c>
      <c r="AO126" s="770">
        <f t="shared" si="55"/>
        <v>13.071828289612212</v>
      </c>
      <c r="AP126" s="770">
        <f t="shared" si="56"/>
        <v>14.689937615039725</v>
      </c>
      <c r="AQ126" s="770">
        <f t="shared" si="57"/>
        <v>15.866454560773036</v>
      </c>
      <c r="AR126" s="770">
        <f t="shared" si="58"/>
        <v>16.562324643094115</v>
      </c>
      <c r="AS126" s="770">
        <f t="shared" si="59"/>
        <v>16.47992073656696</v>
      </c>
      <c r="AT126" s="770">
        <f t="shared" si="60"/>
        <v>11.93981776314781</v>
      </c>
      <c r="AU126" s="770">
        <f t="shared" si="61"/>
        <v>10.349877749436564</v>
      </c>
      <c r="AV126" s="770">
        <f t="shared" si="62"/>
        <v>5.2304248099263644</v>
      </c>
      <c r="AW126" s="770">
        <f t="shared" si="63"/>
        <v>6.4320488542880483</v>
      </c>
      <c r="AX126" s="770">
        <f t="shared" si="64"/>
        <v>4.7291750371894867</v>
      </c>
      <c r="AY126" s="770">
        <f t="shared" si="65"/>
        <v>3.5398623405053691</v>
      </c>
      <c r="AZ126" s="770">
        <f t="shared" si="66"/>
        <v>3.1740942855677314</v>
      </c>
      <c r="BA126" s="770"/>
      <c r="BB126" s="770">
        <f t="shared" si="67"/>
        <v>11.330547784119053</v>
      </c>
    </row>
    <row r="127" spans="1:54" x14ac:dyDescent="0.75">
      <c r="A127" s="132" t="s">
        <v>178</v>
      </c>
      <c r="B127" s="132" t="str">
        <f>VLOOKUP(A127,'HCW + Staff Summary'!B:E,4,FALSE)</f>
        <v>Upper middle income</v>
      </c>
      <c r="C127" s="770">
        <v>13.1741808145729</v>
      </c>
      <c r="D127" s="770">
        <v>28.209429338533401</v>
      </c>
      <c r="E127" s="770">
        <v>28.981353495737601</v>
      </c>
      <c r="F127" s="770">
        <v>24.726842007190601</v>
      </c>
      <c r="G127" s="770">
        <v>20.080850384362201</v>
      </c>
      <c r="H127" s="770">
        <v>19.875686788965901</v>
      </c>
      <c r="I127" s="770">
        <v>17.6116766580732</v>
      </c>
      <c r="J127" s="770">
        <v>16.674780104286999</v>
      </c>
      <c r="K127" s="770">
        <v>14.2018767657834</v>
      </c>
      <c r="L127" s="770">
        <v>10.7984331472046</v>
      </c>
      <c r="M127" s="770">
        <v>7.8197093777986098</v>
      </c>
      <c r="N127" s="770">
        <v>4.2674204918517598</v>
      </c>
      <c r="O127" s="770">
        <v>3.3018851420414999</v>
      </c>
      <c r="P127" s="770">
        <v>1.53349337463733</v>
      </c>
      <c r="Q127" s="770">
        <v>0.90595763088579295</v>
      </c>
      <c r="R127" s="770">
        <v>0.51673666042000199</v>
      </c>
      <c r="S127" s="770"/>
      <c r="T127" s="770">
        <v>9.7202785411994813E-2</v>
      </c>
      <c r="U127" s="770">
        <v>9.8130132020435343E-2</v>
      </c>
      <c r="V127" s="770">
        <v>9.2667217454349249E-2</v>
      </c>
      <c r="W127" s="770">
        <v>8.2837343404879527E-2</v>
      </c>
      <c r="X127" s="770">
        <v>8.3022812726567641E-2</v>
      </c>
      <c r="Y127" s="770">
        <v>8.7979901869867982E-2</v>
      </c>
      <c r="Z127" s="770">
        <v>9.0610194068353869E-2</v>
      </c>
      <c r="AA127" s="770">
        <v>8.0628572392048431E-2</v>
      </c>
      <c r="AB127" s="770">
        <v>6.4239828693790149E-2</v>
      </c>
      <c r="AC127" s="770">
        <v>5.4511119728877573E-2</v>
      </c>
      <c r="AD127" s="770">
        <v>4.5389401271307896E-2</v>
      </c>
      <c r="AE127" s="770">
        <v>3.7431081286145439E-2</v>
      </c>
      <c r="AF127" s="770">
        <v>3.0248360282587802E-2</v>
      </c>
      <c r="AG127" s="770">
        <v>2.3099360973882547E-2</v>
      </c>
      <c r="AH127" s="770">
        <v>1.5090458446441518E-2</v>
      </c>
      <c r="AI127" s="770">
        <v>9.7961523546173431E-3</v>
      </c>
      <c r="AJ127" s="770"/>
      <c r="AK127" s="770">
        <f t="shared" si="51"/>
        <v>8.4708097347300964</v>
      </c>
      <c r="AL127" s="770">
        <f t="shared" si="52"/>
        <v>17.966849706175662</v>
      </c>
      <c r="AM127" s="770">
        <f t="shared" si="53"/>
        <v>19.546660008173006</v>
      </c>
      <c r="AN127" s="770">
        <f t="shared" si="54"/>
        <v>18.656170779112397</v>
      </c>
      <c r="AO127" s="770">
        <f t="shared" si="55"/>
        <v>15.11696734674728</v>
      </c>
      <c r="AP127" s="770">
        <f t="shared" si="56"/>
        <v>14.119479539176631</v>
      </c>
      <c r="AQ127" s="770">
        <f t="shared" si="57"/>
        <v>12.14796858617491</v>
      </c>
      <c r="AR127" s="770">
        <f t="shared" si="58"/>
        <v>12.925613409728637</v>
      </c>
      <c r="AS127" s="770">
        <f t="shared" si="59"/>
        <v>13.817242603376766</v>
      </c>
      <c r="AT127" s="770">
        <f t="shared" si="60"/>
        <v>12.380998135005367</v>
      </c>
      <c r="AU127" s="770">
        <f t="shared" si="61"/>
        <v>10.767532120353309</v>
      </c>
      <c r="AV127" s="770">
        <f t="shared" si="62"/>
        <v>7.1254628927712851</v>
      </c>
      <c r="AW127" s="770">
        <f t="shared" si="63"/>
        <v>6.8224465541157793</v>
      </c>
      <c r="AX127" s="770">
        <f t="shared" si="64"/>
        <v>4.1491769414400279</v>
      </c>
      <c r="AY127" s="770">
        <f t="shared" si="65"/>
        <v>3.7521956096512215</v>
      </c>
      <c r="AZ127" s="770">
        <f t="shared" si="66"/>
        <v>3.2968087987144901</v>
      </c>
      <c r="BA127" s="770"/>
      <c r="BB127" s="770">
        <f t="shared" si="67"/>
        <v>11.316398922840429</v>
      </c>
    </row>
    <row r="128" spans="1:54" x14ac:dyDescent="0.75">
      <c r="A128" s="132" t="s">
        <v>250</v>
      </c>
      <c r="B128" s="132" t="str">
        <f>VLOOKUP(A128,'HCW + Staff Summary'!B:E,4,FALSE)</f>
        <v>Lower middle income</v>
      </c>
      <c r="C128" s="770">
        <v>14.1837876015205</v>
      </c>
      <c r="D128" s="770">
        <v>19.2410690975669</v>
      </c>
      <c r="E128" s="770">
        <v>24.051739976061999</v>
      </c>
      <c r="F128" s="770">
        <v>27.985955128867399</v>
      </c>
      <c r="G128" s="770">
        <v>21.659535043297598</v>
      </c>
      <c r="H128" s="770">
        <v>20.093688012203401</v>
      </c>
      <c r="I128" s="770">
        <v>18.819302867154999</v>
      </c>
      <c r="J128" s="770">
        <v>18.133073300894001</v>
      </c>
      <c r="K128" s="770">
        <v>15.7510616863121</v>
      </c>
      <c r="L128" s="770">
        <v>11.5821318388913</v>
      </c>
      <c r="M128" s="770">
        <v>7.4523541728735001</v>
      </c>
      <c r="N128" s="770">
        <v>3.6828385349298798</v>
      </c>
      <c r="O128" s="770">
        <v>1.94174765652064</v>
      </c>
      <c r="P128" s="770">
        <v>1.2595016982498299</v>
      </c>
      <c r="Q128" s="770">
        <v>0.69462616124476495</v>
      </c>
      <c r="R128" s="770">
        <v>0.41582802163080501</v>
      </c>
      <c r="S128" s="770"/>
      <c r="T128" s="770">
        <v>0.11439902379499695</v>
      </c>
      <c r="U128" s="770">
        <v>0.11043319097010372</v>
      </c>
      <c r="V128" s="770">
        <v>8.5723001830384379E-2</v>
      </c>
      <c r="W128" s="770">
        <v>6.6503965832824891E-2</v>
      </c>
      <c r="X128" s="770">
        <v>6.9859670530811477E-2</v>
      </c>
      <c r="Y128" s="770">
        <v>8.2672361195851127E-2</v>
      </c>
      <c r="Z128" s="770">
        <v>9.4264795607077484E-2</v>
      </c>
      <c r="AA128" s="770">
        <v>7.7791336180597928E-2</v>
      </c>
      <c r="AB128" s="770">
        <v>6.8029286150091517E-2</v>
      </c>
      <c r="AC128" s="770">
        <v>6.1012812690665039E-2</v>
      </c>
      <c r="AD128" s="770">
        <v>5.1250762660158634E-2</v>
      </c>
      <c r="AE128" s="770">
        <v>4.4234289200732156E-2</v>
      </c>
      <c r="AF128" s="770">
        <v>2.9896278218425869E-2</v>
      </c>
      <c r="AG128" s="770">
        <v>1.8303843807199512E-2</v>
      </c>
      <c r="AH128" s="770">
        <v>1.0982306284319707E-2</v>
      </c>
      <c r="AI128" s="770">
        <v>7.5350823672971322E-3</v>
      </c>
      <c r="AJ128" s="770"/>
      <c r="AK128" s="770">
        <f t="shared" si="51"/>
        <v>7.7490759596306997</v>
      </c>
      <c r="AL128" s="770">
        <f t="shared" si="52"/>
        <v>10.889541523105024</v>
      </c>
      <c r="AM128" s="770">
        <f t="shared" si="53"/>
        <v>17.535943870447337</v>
      </c>
      <c r="AN128" s="770">
        <f t="shared" si="54"/>
        <v>26.301020903792242</v>
      </c>
      <c r="AO128" s="770">
        <f t="shared" si="55"/>
        <v>19.377717213954565</v>
      </c>
      <c r="AP128" s="770">
        <f t="shared" si="56"/>
        <v>15.190753990775542</v>
      </c>
      <c r="AQ128" s="770">
        <f t="shared" si="57"/>
        <v>12.477685032065956</v>
      </c>
      <c r="AR128" s="770">
        <f t="shared" si="58"/>
        <v>14.568679970669248</v>
      </c>
      <c r="AS128" s="770">
        <f t="shared" si="59"/>
        <v>14.470846470776644</v>
      </c>
      <c r="AT128" s="770">
        <f t="shared" si="60"/>
        <v>11.864446302464275</v>
      </c>
      <c r="AU128" s="770">
        <f t="shared" si="61"/>
        <v>9.0881015545682047</v>
      </c>
      <c r="AV128" s="770">
        <f t="shared" si="62"/>
        <v>5.2035968609914418</v>
      </c>
      <c r="AW128" s="770">
        <f t="shared" si="63"/>
        <v>4.0593423584659805</v>
      </c>
      <c r="AX128" s="770">
        <f t="shared" si="64"/>
        <v>4.3006735071488986</v>
      </c>
      <c r="AY128" s="770">
        <f t="shared" si="65"/>
        <v>3.9530981884728114</v>
      </c>
      <c r="AZ128" s="770">
        <f t="shared" si="66"/>
        <v>3.4490998352879019</v>
      </c>
      <c r="BA128" s="770"/>
      <c r="BB128" s="770">
        <f t="shared" si="67"/>
        <v>11.27997647141355</v>
      </c>
    </row>
    <row r="129" spans="1:54" x14ac:dyDescent="0.75">
      <c r="A129" s="132" t="s">
        <v>240</v>
      </c>
      <c r="B129" s="132" t="str">
        <f>VLOOKUP(A129,'HCW + Staff Summary'!B:E,4,FALSE)</f>
        <v>Lower middle income</v>
      </c>
      <c r="C129" s="770">
        <v>11.2966951895382</v>
      </c>
      <c r="D129" s="770">
        <v>27.411213556216001</v>
      </c>
      <c r="E129" s="770">
        <v>34.252394820910901</v>
      </c>
      <c r="F129" s="770">
        <v>28.8403959894206</v>
      </c>
      <c r="G129" s="770">
        <v>18.949410152693599</v>
      </c>
      <c r="H129" s="770">
        <v>18.503391482832001</v>
      </c>
      <c r="I129" s="770">
        <v>16.847576531492201</v>
      </c>
      <c r="J129" s="770">
        <v>16.001869925402801</v>
      </c>
      <c r="K129" s="770">
        <v>14.841534112169199</v>
      </c>
      <c r="L129" s="770">
        <v>9.5232548026964601</v>
      </c>
      <c r="M129" s="770">
        <v>7.5682072189316303</v>
      </c>
      <c r="N129" s="770">
        <v>4.9254119784252799</v>
      </c>
      <c r="O129" s="770">
        <v>2.7300255740950701</v>
      </c>
      <c r="P129" s="770">
        <v>1.48642332123663</v>
      </c>
      <c r="Q129" s="770">
        <v>0.704375219742153</v>
      </c>
      <c r="R129" s="770">
        <v>0.418608406074577</v>
      </c>
      <c r="S129" s="770"/>
      <c r="T129" s="770">
        <v>8.7000346106904533E-2</v>
      </c>
      <c r="U129" s="770">
        <v>8.8919114209206437E-2</v>
      </c>
      <c r="V129" s="770">
        <v>9.1621176884916417E-2</v>
      </c>
      <c r="W129" s="770">
        <v>9.4632914159415632E-2</v>
      </c>
      <c r="X129" s="770">
        <v>9.2531984528414157E-2</v>
      </c>
      <c r="Y129" s="770">
        <v>8.8202612196321556E-2</v>
      </c>
      <c r="Z129" s="770">
        <v>8.3569637316396356E-2</v>
      </c>
      <c r="AA129" s="770">
        <v>7.7406505595394956E-2</v>
      </c>
      <c r="AB129" s="770">
        <v>6.8164844039371175E-2</v>
      </c>
      <c r="AC129" s="770">
        <v>5.7235152317398251E-2</v>
      </c>
      <c r="AD129" s="770">
        <v>5.0428383194991773E-2</v>
      </c>
      <c r="AE129" s="770">
        <v>4.068274140956591E-2</v>
      </c>
      <c r="AF129" s="770">
        <v>2.7330301355888979E-2</v>
      </c>
      <c r="AG129" s="770">
        <v>1.6983526525754605E-2</v>
      </c>
      <c r="AH129" s="770">
        <v>1.4311824104827888E-2</v>
      </c>
      <c r="AI129" s="770">
        <v>1.0559296613617181E-2</v>
      </c>
      <c r="AJ129" s="770"/>
      <c r="AK129" s="770">
        <f t="shared" si="51"/>
        <v>8.1154096614577078</v>
      </c>
      <c r="AL129" s="770">
        <f t="shared" si="52"/>
        <v>19.266958094439946</v>
      </c>
      <c r="AM129" s="770">
        <f t="shared" si="53"/>
        <v>23.365500740029969</v>
      </c>
      <c r="AN129" s="770">
        <f t="shared" si="54"/>
        <v>19.047545617186753</v>
      </c>
      <c r="AO129" s="770">
        <f t="shared" si="55"/>
        <v>12.799229807717683</v>
      </c>
      <c r="AP129" s="770">
        <f t="shared" si="56"/>
        <v>13.111425374828407</v>
      </c>
      <c r="AQ129" s="770">
        <f t="shared" si="57"/>
        <v>12.599953368610219</v>
      </c>
      <c r="AR129" s="770">
        <f t="shared" si="58"/>
        <v>12.920320619629853</v>
      </c>
      <c r="AS129" s="770">
        <f t="shared" si="59"/>
        <v>13.608127401785104</v>
      </c>
      <c r="AT129" s="770">
        <f t="shared" si="60"/>
        <v>10.399263408400151</v>
      </c>
      <c r="AU129" s="770">
        <f t="shared" si="61"/>
        <v>9.3798952338849428</v>
      </c>
      <c r="AV129" s="770">
        <f t="shared" si="62"/>
        <v>7.5668019898776206</v>
      </c>
      <c r="AW129" s="770">
        <f t="shared" si="63"/>
        <v>6.243129051490544</v>
      </c>
      <c r="AX129" s="770">
        <f t="shared" si="64"/>
        <v>5.4700922942246013</v>
      </c>
      <c r="AY129" s="770">
        <f t="shared" si="65"/>
        <v>3.0760195843263531</v>
      </c>
      <c r="AZ129" s="770">
        <f t="shared" si="66"/>
        <v>2.4777242592012656</v>
      </c>
      <c r="BA129" s="770"/>
      <c r="BB129" s="770">
        <f t="shared" si="67"/>
        <v>11.215462281693195</v>
      </c>
    </row>
    <row r="130" spans="1:54" x14ac:dyDescent="0.75">
      <c r="A130" s="132" t="s">
        <v>417</v>
      </c>
      <c r="B130" s="132" t="str">
        <f>VLOOKUP(A130,'HCW + Staff Summary'!B:E,4,FALSE)</f>
        <v>Lower middle income</v>
      </c>
      <c r="C130" s="770">
        <v>11.049454707636</v>
      </c>
      <c r="D130" s="770">
        <v>25.1655114218674</v>
      </c>
      <c r="E130" s="770">
        <v>26.918971824229999</v>
      </c>
      <c r="F130" s="770">
        <v>30.006474206894001</v>
      </c>
      <c r="G130" s="770">
        <v>19.925337711032999</v>
      </c>
      <c r="H130" s="770">
        <v>19.1401209805794</v>
      </c>
      <c r="I130" s="770">
        <v>17.3941661321529</v>
      </c>
      <c r="J130" s="770">
        <v>16.5545058260962</v>
      </c>
      <c r="K130" s="770">
        <v>14.2461788337384</v>
      </c>
      <c r="L130" s="770">
        <v>10.599906606907901</v>
      </c>
      <c r="M130" s="770">
        <v>8.3557379952989894</v>
      </c>
      <c r="N130" s="770">
        <v>5.4987821318302901</v>
      </c>
      <c r="O130" s="770">
        <v>2.92264533024054</v>
      </c>
      <c r="P130" s="770">
        <v>1.6888384360751001</v>
      </c>
      <c r="Q130" s="770">
        <v>0.91100403362365101</v>
      </c>
      <c r="R130" s="770">
        <v>0.50192164876426204</v>
      </c>
      <c r="S130" s="770"/>
      <c r="T130" s="770">
        <v>8.4694682044399866E-2</v>
      </c>
      <c r="U130" s="770">
        <v>8.5493955089985252E-2</v>
      </c>
      <c r="V130" s="770">
        <v>9.141712632717007E-2</v>
      </c>
      <c r="W130" s="770">
        <v>9.1337416413285757E-2</v>
      </c>
      <c r="X130" s="770">
        <v>8.8771481821791814E-2</v>
      </c>
      <c r="Y130" s="770">
        <v>8.5070043275236887E-2</v>
      </c>
      <c r="Z130" s="770">
        <v>8.1286720908055332E-2</v>
      </c>
      <c r="AA130" s="770">
        <v>7.4970797186095117E-2</v>
      </c>
      <c r="AB130" s="770">
        <v>6.537662209674755E-2</v>
      </c>
      <c r="AC130" s="770">
        <v>5.7565775171666167E-2</v>
      </c>
      <c r="AD130" s="770">
        <v>4.9910000260868809E-2</v>
      </c>
      <c r="AE130" s="770">
        <v>4.293900597389573E-2</v>
      </c>
      <c r="AF130" s="770">
        <v>3.5428158179251656E-2</v>
      </c>
      <c r="AG130" s="770">
        <v>2.7724557320123709E-2</v>
      </c>
      <c r="AH130" s="770">
        <v>1.7457920411824892E-2</v>
      </c>
      <c r="AI130" s="770">
        <v>1.0930403100280869E-2</v>
      </c>
      <c r="AJ130" s="770"/>
      <c r="AK130" s="770">
        <f t="shared" si="51"/>
        <v>8.1538876179406223</v>
      </c>
      <c r="AL130" s="770">
        <f t="shared" si="52"/>
        <v>18.397142373530865</v>
      </c>
      <c r="AM130" s="770">
        <f t="shared" si="53"/>
        <v>18.40394471592943</v>
      </c>
      <c r="AN130" s="770">
        <f t="shared" si="54"/>
        <v>20.532709502587622</v>
      </c>
      <c r="AO130" s="770">
        <f t="shared" si="55"/>
        <v>14.02853237754397</v>
      </c>
      <c r="AP130" s="770">
        <f t="shared" si="56"/>
        <v>14.062030712924678</v>
      </c>
      <c r="AQ130" s="770">
        <f t="shared" si="57"/>
        <v>13.374083381826066</v>
      </c>
      <c r="AR130" s="770">
        <f t="shared" si="58"/>
        <v>13.80079514911322</v>
      </c>
      <c r="AS130" s="770">
        <f t="shared" si="59"/>
        <v>13.619335911711875</v>
      </c>
      <c r="AT130" s="770">
        <f t="shared" si="60"/>
        <v>11.508472889596785</v>
      </c>
      <c r="AU130" s="770">
        <f t="shared" si="61"/>
        <v>10.463506751684719</v>
      </c>
      <c r="AV130" s="770">
        <f t="shared" si="62"/>
        <v>8.0037689612173519</v>
      </c>
      <c r="AW130" s="770">
        <f t="shared" si="63"/>
        <v>5.1559364789957067</v>
      </c>
      <c r="AX130" s="770">
        <f t="shared" si="64"/>
        <v>3.8071807977283432</v>
      </c>
      <c r="AY130" s="770">
        <f t="shared" si="65"/>
        <v>3.2614280944316913</v>
      </c>
      <c r="AZ130" s="770">
        <f t="shared" si="66"/>
        <v>2.8699859245776844</v>
      </c>
      <c r="BA130" s="770"/>
      <c r="BB130" s="770">
        <f t="shared" si="67"/>
        <v>11.215171352583791</v>
      </c>
    </row>
    <row r="131" spans="1:54" x14ac:dyDescent="0.75">
      <c r="A131" s="132" t="s">
        <v>500</v>
      </c>
      <c r="B131" s="132" t="str">
        <f>VLOOKUP(A131,'HCW + Staff Summary'!B:E,4,FALSE)</f>
        <v>High income</v>
      </c>
      <c r="C131" s="770">
        <v>12.780263492405901</v>
      </c>
      <c r="D131" s="770">
        <v>21.564549303155399</v>
      </c>
      <c r="E131" s="770">
        <v>25.212510670309801</v>
      </c>
      <c r="F131" s="770">
        <v>25.660829658102301</v>
      </c>
      <c r="G131" s="770">
        <v>17.319850622979999</v>
      </c>
      <c r="H131" s="770">
        <v>17.9281752963863</v>
      </c>
      <c r="I131" s="770">
        <v>17.600167853334799</v>
      </c>
      <c r="J131" s="770">
        <v>17.892905527784102</v>
      </c>
      <c r="K131" s="770">
        <v>16.063548853651302</v>
      </c>
      <c r="L131" s="770">
        <v>11.981403376652001</v>
      </c>
      <c r="M131" s="770">
        <v>8.7411283084827005</v>
      </c>
      <c r="N131" s="770">
        <v>4.78111103041112</v>
      </c>
      <c r="O131" s="770">
        <v>2.8189600958422201</v>
      </c>
      <c r="P131" s="770">
        <v>1.91755769441465</v>
      </c>
      <c r="Q131" s="770">
        <v>1.0629569552182501</v>
      </c>
      <c r="R131" s="770">
        <v>0.66364595591353803</v>
      </c>
      <c r="S131" s="770"/>
      <c r="T131" s="770">
        <v>9.0150637311703363E-2</v>
      </c>
      <c r="U131" s="770">
        <v>8.8991888760139054E-2</v>
      </c>
      <c r="V131" s="770">
        <v>8.574739281575898E-2</v>
      </c>
      <c r="W131" s="770">
        <v>8.2734646581691773E-2</v>
      </c>
      <c r="X131" s="770">
        <v>8.0880648899188876E-2</v>
      </c>
      <c r="Y131" s="770">
        <v>7.6245654692931639E-2</v>
      </c>
      <c r="Z131" s="770">
        <v>7.3464658169177285E-2</v>
      </c>
      <c r="AA131" s="770">
        <v>6.9988412514484358E-2</v>
      </c>
      <c r="AB131" s="770">
        <v>6.6743916570104284E-2</v>
      </c>
      <c r="AC131" s="770">
        <v>6.2108922363847047E-2</v>
      </c>
      <c r="AD131" s="770">
        <v>5.4461181923522596E-2</v>
      </c>
      <c r="AE131" s="770">
        <v>4.6118192352259557E-2</v>
      </c>
      <c r="AF131" s="770">
        <v>3.7079953650057937E-2</v>
      </c>
      <c r="AG131" s="770">
        <v>2.8505214368482041E-2</v>
      </c>
      <c r="AH131" s="770">
        <v>2.1089223638470451E-2</v>
      </c>
      <c r="AI131" s="770">
        <v>1.5527230590961762E-2</v>
      </c>
      <c r="AJ131" s="770"/>
      <c r="AK131" s="770">
        <f t="shared" si="51"/>
        <v>8.8603529835686796</v>
      </c>
      <c r="AL131" s="770">
        <f t="shared" si="52"/>
        <v>15.145024453632088</v>
      </c>
      <c r="AM131" s="770">
        <f t="shared" si="53"/>
        <v>18.377024247024796</v>
      </c>
      <c r="AN131" s="770">
        <f t="shared" si="54"/>
        <v>19.384887950754802</v>
      </c>
      <c r="AO131" s="770">
        <f t="shared" si="55"/>
        <v>13.383802907979709</v>
      </c>
      <c r="AP131" s="770">
        <f t="shared" si="56"/>
        <v>14.696063146638846</v>
      </c>
      <c r="AQ131" s="770">
        <f t="shared" si="57"/>
        <v>14.973328920966022</v>
      </c>
      <c r="AR131" s="770">
        <f t="shared" si="58"/>
        <v>15.978453508358527</v>
      </c>
      <c r="AS131" s="770">
        <f t="shared" si="59"/>
        <v>15.042146984267658</v>
      </c>
      <c r="AT131" s="770">
        <f t="shared" si="60"/>
        <v>12.056845981868792</v>
      </c>
      <c r="AU131" s="770">
        <f t="shared" si="61"/>
        <v>10.031374641250759</v>
      </c>
      <c r="AV131" s="770">
        <f t="shared" si="62"/>
        <v>6.4794265377587887</v>
      </c>
      <c r="AW131" s="770">
        <f t="shared" si="63"/>
        <v>4.7514893802965545</v>
      </c>
      <c r="AX131" s="770">
        <f t="shared" si="64"/>
        <v>4.2044011440036657</v>
      </c>
      <c r="AY131" s="770">
        <f t="shared" si="65"/>
        <v>3.1501780644002397</v>
      </c>
      <c r="AZ131" s="770">
        <f t="shared" si="66"/>
        <v>2.6712987870960041</v>
      </c>
      <c r="BA131" s="770"/>
      <c r="BB131" s="770">
        <f t="shared" si="67"/>
        <v>11.199131227491621</v>
      </c>
    </row>
    <row r="132" spans="1:54" x14ac:dyDescent="0.75">
      <c r="A132" s="132" t="s">
        <v>224</v>
      </c>
      <c r="B132" s="132" t="str">
        <f>VLOOKUP(A132,'HCW + Staff Summary'!B:E,4,FALSE)</f>
        <v>Upper middle income</v>
      </c>
      <c r="C132" s="770">
        <v>11.822305690970101</v>
      </c>
      <c r="D132" s="770">
        <v>17.802709762070801</v>
      </c>
      <c r="E132" s="770">
        <v>27.486043958597602</v>
      </c>
      <c r="F132" s="770">
        <v>35.850618862340802</v>
      </c>
      <c r="G132" s="770">
        <v>17.599112805816699</v>
      </c>
      <c r="H132" s="770">
        <v>15.846141759736801</v>
      </c>
      <c r="I132" s="770">
        <v>15.656314912104699</v>
      </c>
      <c r="J132" s="770">
        <v>15.7420978832016</v>
      </c>
      <c r="K132" s="770">
        <v>14.2354745379662</v>
      </c>
      <c r="L132" s="770">
        <v>11.224132644535899</v>
      </c>
      <c r="M132" s="770">
        <v>8.4187025857464803</v>
      </c>
      <c r="N132" s="770">
        <v>5.11965571163267</v>
      </c>
      <c r="O132" s="770">
        <v>3.1306129981644601</v>
      </c>
      <c r="P132" s="770">
        <v>1.8304462379386599</v>
      </c>
      <c r="Q132" s="770">
        <v>1.0048999509505301</v>
      </c>
      <c r="R132" s="770">
        <v>0.56723639931984204</v>
      </c>
      <c r="S132" s="770"/>
      <c r="T132" s="770">
        <v>9.4027954256670904E-2</v>
      </c>
      <c r="U132" s="770">
        <v>9.4027954256670904E-2</v>
      </c>
      <c r="V132" s="770">
        <v>9.0216010165184241E-2</v>
      </c>
      <c r="W132" s="770">
        <v>9.5298602287166453E-2</v>
      </c>
      <c r="X132" s="770">
        <v>9.7839898348157567E-2</v>
      </c>
      <c r="Y132" s="770">
        <v>8.6404066073697591E-2</v>
      </c>
      <c r="Z132" s="770">
        <v>5.5908513341804321E-2</v>
      </c>
      <c r="AA132" s="770">
        <v>6.2261753494282084E-2</v>
      </c>
      <c r="AB132" s="770">
        <v>5.8449809402795427E-2</v>
      </c>
      <c r="AC132" s="770">
        <v>5.7179161372299871E-2</v>
      </c>
      <c r="AD132" s="770">
        <v>5.4637865311308764E-2</v>
      </c>
      <c r="AE132" s="770">
        <v>4.7013977128335452E-2</v>
      </c>
      <c r="AF132" s="770">
        <v>3.8119440914866583E-2</v>
      </c>
      <c r="AG132" s="770">
        <v>2.7318932655654382E-2</v>
      </c>
      <c r="AH132" s="770">
        <v>1.9059720457433291E-2</v>
      </c>
      <c r="AI132" s="770">
        <v>1.0038119440914867E-2</v>
      </c>
      <c r="AJ132" s="770"/>
      <c r="AK132" s="770">
        <f t="shared" ref="AK132:AK152" si="68">C132/T132/16</f>
        <v>7.8582386645215108</v>
      </c>
      <c r="AL132" s="770">
        <f t="shared" ref="AL132:AL152" si="69">D132/U132/16</f>
        <v>11.833389005700777</v>
      </c>
      <c r="AM132" s="770">
        <f t="shared" ref="AM132:AM152" si="70">E132/V132/16</f>
        <v>19.041827988922812</v>
      </c>
      <c r="AN132" s="770">
        <f t="shared" ref="AN132:AN152" si="71">F132/W132/16</f>
        <v>23.512030870551843</v>
      </c>
      <c r="AO132" s="770">
        <f t="shared" ref="AO132:AO152" si="72">G132/X132/16</f>
        <v>11.242290404365049</v>
      </c>
      <c r="AP132" s="770">
        <f t="shared" ref="AP132:AP152" si="73">H132/Y132/16</f>
        <v>11.462236732456674</v>
      </c>
      <c r="AQ132" s="770">
        <f t="shared" ref="AQ132:AQ152" si="74">I132/Z132/16</f>
        <v>17.502158857707951</v>
      </c>
      <c r="AR132" s="770">
        <f t="shared" ref="AR132:AR152" si="75">J132/AA132/16</f>
        <v>15.802335502652626</v>
      </c>
      <c r="AS132" s="770">
        <f t="shared" ref="AS132:AS152" si="76">K132/AB132/16</f>
        <v>15.221900083395923</v>
      </c>
      <c r="AT132" s="770">
        <f t="shared" ref="AT132:AT152" si="77">L132/AC132/16</f>
        <v>12.268600543402435</v>
      </c>
      <c r="AU132" s="770">
        <f t="shared" ref="AU132:AU152" si="78">M132/AD132/16</f>
        <v>9.6301147310791873</v>
      </c>
      <c r="AV132" s="770">
        <f t="shared" ref="AV132:AV152" si="79">N132/AE132/16</f>
        <v>6.8060287923224854</v>
      </c>
      <c r="AW132" s="770">
        <f t="shared" ref="AW132:AW152" si="80">O132/AF132/16</f>
        <v>5.132900894907146</v>
      </c>
      <c r="AX132" s="770">
        <f t="shared" ref="AX132:AX152" si="81">P132/AG132/16</f>
        <v>4.1876778757492019</v>
      </c>
      <c r="AY132" s="770">
        <f t="shared" ref="AY132:AY152" si="82">Q132/AH132/16</f>
        <v>3.2952344224919465</v>
      </c>
      <c r="AZ132" s="770">
        <f t="shared" ref="AZ132:AZ152" si="83">R132/AI132/16</f>
        <v>3.5317646065246491</v>
      </c>
      <c r="BA132" s="770"/>
      <c r="BB132" s="770">
        <f t="shared" ref="BB132:BB152" si="84">IFERROR(AVERAGE(AK132:AZ132),"")</f>
        <v>11.145545623547013</v>
      </c>
    </row>
    <row r="133" spans="1:54" x14ac:dyDescent="0.75">
      <c r="A133" s="132" t="s">
        <v>477</v>
      </c>
      <c r="B133" s="132" t="str">
        <f>VLOOKUP(A133,'HCW + Staff Summary'!B:E,4,FALSE)</f>
        <v>Lower middle income</v>
      </c>
      <c r="C133" s="770">
        <v>10.591738089428301</v>
      </c>
      <c r="D133" s="770">
        <v>22.7101984610856</v>
      </c>
      <c r="E133" s="770">
        <v>26.9395182061801</v>
      </c>
      <c r="F133" s="770">
        <v>29.151613348977602</v>
      </c>
      <c r="G133" s="770">
        <v>18.175484664710002</v>
      </c>
      <c r="H133" s="770">
        <v>17.604119351557401</v>
      </c>
      <c r="I133" s="770">
        <v>16.4344587364779</v>
      </c>
      <c r="J133" s="770">
        <v>15.429115340008099</v>
      </c>
      <c r="K133" s="770">
        <v>13.392858732474799</v>
      </c>
      <c r="L133" s="770">
        <v>10.6017195592493</v>
      </c>
      <c r="M133" s="770">
        <v>8.3085439003510295</v>
      </c>
      <c r="N133" s="770">
        <v>4.8895457141783796</v>
      </c>
      <c r="O133" s="770">
        <v>2.8294275015915402</v>
      </c>
      <c r="P133" s="770">
        <v>1.80641528254487</v>
      </c>
      <c r="Q133" s="770">
        <v>1.21027347864951</v>
      </c>
      <c r="R133" s="770">
        <v>0.997759315768041</v>
      </c>
      <c r="S133" s="770"/>
      <c r="T133" s="770">
        <v>9.008154750616347E-2</v>
      </c>
      <c r="U133" s="770">
        <v>9.2872043564249135E-2</v>
      </c>
      <c r="V133" s="770">
        <v>8.4744385142640405E-2</v>
      </c>
      <c r="W133" s="770">
        <v>8.0463818373926466E-2</v>
      </c>
      <c r="X133" s="770">
        <v>7.7890059873750375E-2</v>
      </c>
      <c r="Y133" s="770">
        <v>8.1520413968735606E-2</v>
      </c>
      <c r="Z133" s="770">
        <v>7.7537861342147324E-2</v>
      </c>
      <c r="AA133" s="770">
        <v>7.4340982362981228E-2</v>
      </c>
      <c r="AB133" s="770">
        <v>6.3964671778060742E-2</v>
      </c>
      <c r="AC133" s="770">
        <v>5.6676871393351577E-2</v>
      </c>
      <c r="AD133" s="770">
        <v>5.2152474871989381E-2</v>
      </c>
      <c r="AE133" s="770">
        <v>4.9280702229687626E-2</v>
      </c>
      <c r="AF133" s="770">
        <v>4.2453469155536293E-2</v>
      </c>
      <c r="AG133" s="770">
        <v>3.1643683454796671E-2</v>
      </c>
      <c r="AH133" s="770">
        <v>1.8476876811790523E-2</v>
      </c>
      <c r="AI133" s="770">
        <v>1.3952480290428327E-2</v>
      </c>
      <c r="AJ133" s="770"/>
      <c r="AK133" s="770">
        <f t="shared" si="68"/>
        <v>7.3487151244151887</v>
      </c>
      <c r="AL133" s="770">
        <f t="shared" si="69"/>
        <v>15.283258011178724</v>
      </c>
      <c r="AM133" s="770">
        <f t="shared" si="70"/>
        <v>19.868217641230693</v>
      </c>
      <c r="AN133" s="770">
        <f t="shared" si="71"/>
        <v>22.643417515238053</v>
      </c>
      <c r="AO133" s="770">
        <f t="shared" si="72"/>
        <v>14.58424596650241</v>
      </c>
      <c r="AP133" s="770">
        <f t="shared" si="73"/>
        <v>13.496710896172633</v>
      </c>
      <c r="AQ133" s="770">
        <f t="shared" si="74"/>
        <v>13.247124092027773</v>
      </c>
      <c r="AR133" s="770">
        <f t="shared" si="75"/>
        <v>12.971576082248518</v>
      </c>
      <c r="AS133" s="770">
        <f t="shared" si="76"/>
        <v>13.086187226661831</v>
      </c>
      <c r="AT133" s="770">
        <f t="shared" si="77"/>
        <v>11.69096769393675</v>
      </c>
      <c r="AU133" s="770">
        <f t="shared" si="78"/>
        <v>9.9570345423979489</v>
      </c>
      <c r="AV133" s="770">
        <f t="shared" si="79"/>
        <v>6.2011414876318778</v>
      </c>
      <c r="AW133" s="770">
        <f t="shared" si="80"/>
        <v>4.1654833484064033</v>
      </c>
      <c r="AX133" s="770">
        <f t="shared" si="81"/>
        <v>3.5678828389348087</v>
      </c>
      <c r="AY133" s="770">
        <f t="shared" si="82"/>
        <v>4.0938786996363694</v>
      </c>
      <c r="AZ133" s="770">
        <f t="shared" si="83"/>
        <v>4.4694531679992915</v>
      </c>
      <c r="BA133" s="770"/>
      <c r="BB133" s="770">
        <f t="shared" si="84"/>
        <v>11.042205895913705</v>
      </c>
    </row>
    <row r="134" spans="1:54" x14ac:dyDescent="0.75">
      <c r="A134" s="132" t="s">
        <v>562</v>
      </c>
      <c r="B134" s="132" t="str">
        <f>VLOOKUP(A134,'HCW + Staff Summary'!B:E,4,FALSE)</f>
        <v>Lower middle income</v>
      </c>
      <c r="C134" s="770">
        <v>11.8362262187903</v>
      </c>
      <c r="D134" s="770">
        <v>23.2959366951407</v>
      </c>
      <c r="E134" s="770">
        <v>36.879136680644301</v>
      </c>
      <c r="F134" s="770">
        <v>41.055602806729098</v>
      </c>
      <c r="G134" s="770">
        <v>16.717603417959701</v>
      </c>
      <c r="H134" s="770">
        <v>14.119055094560499</v>
      </c>
      <c r="I134" s="770">
        <v>13.0236664949527</v>
      </c>
      <c r="J134" s="770">
        <v>12.7543273101507</v>
      </c>
      <c r="K134" s="770">
        <v>11.2552607424704</v>
      </c>
      <c r="L134" s="770">
        <v>8.02350212128297</v>
      </c>
      <c r="M134" s="770">
        <v>5.6667648860652902</v>
      </c>
      <c r="N134" s="770">
        <v>3.2326230783748202</v>
      </c>
      <c r="O134" s="770">
        <v>2.34239019625748</v>
      </c>
      <c r="P134" s="770">
        <v>1.4486412339758199</v>
      </c>
      <c r="Q134" s="770">
        <v>0.915933276854206</v>
      </c>
      <c r="R134" s="770">
        <v>0.66618345511802202</v>
      </c>
      <c r="S134" s="770"/>
      <c r="T134" s="770">
        <v>0.10255118670182821</v>
      </c>
      <c r="U134" s="770">
        <v>9.8076980058668412E-2</v>
      </c>
      <c r="V134" s="770">
        <v>8.7409997333254316E-2</v>
      </c>
      <c r="W134" s="770">
        <v>7.5765207858010608E-2</v>
      </c>
      <c r="X134" s="770">
        <v>8.3143204243088686E-2</v>
      </c>
      <c r="Y134" s="770">
        <v>9.4580580165338227E-2</v>
      </c>
      <c r="Z134" s="770">
        <v>9.0521200628166765E-2</v>
      </c>
      <c r="AA134" s="770">
        <v>7.6091143441287146E-2</v>
      </c>
      <c r="AB134" s="770">
        <v>6.290556757237252E-2</v>
      </c>
      <c r="AC134" s="770">
        <v>5.4520133929894223E-2</v>
      </c>
      <c r="AD134" s="770">
        <v>4.6875462976680791E-2</v>
      </c>
      <c r="AE134" s="770">
        <v>4.4801327446739161E-2</v>
      </c>
      <c r="AF134" s="770">
        <v>3.4934368425731131E-2</v>
      </c>
      <c r="AG134" s="770">
        <v>2.3052534889922663E-2</v>
      </c>
      <c r="AH134" s="770">
        <v>1.0281786126996355E-2</v>
      </c>
      <c r="AI134" s="770">
        <v>6.8150167412367778E-3</v>
      </c>
      <c r="AJ134" s="770"/>
      <c r="AK134" s="770">
        <f t="shared" si="68"/>
        <v>7.2136087593533986</v>
      </c>
      <c r="AL134" s="770">
        <f t="shared" si="69"/>
        <v>14.845441229688509</v>
      </c>
      <c r="AM134" s="770">
        <f t="shared" si="70"/>
        <v>26.369364064302214</v>
      </c>
      <c r="AN134" s="770">
        <f t="shared" si="71"/>
        <v>33.867460381411327</v>
      </c>
      <c r="AO134" s="770">
        <f t="shared" si="72"/>
        <v>12.566874504470819</v>
      </c>
      <c r="AP134" s="770">
        <f t="shared" si="73"/>
        <v>9.3300436714113868</v>
      </c>
      <c r="AQ134" s="770">
        <f t="shared" si="74"/>
        <v>8.9921383088821329</v>
      </c>
      <c r="AR134" s="770">
        <f t="shared" si="75"/>
        <v>10.476192377099785</v>
      </c>
      <c r="AS134" s="770">
        <f t="shared" si="76"/>
        <v>11.182695324942108</v>
      </c>
      <c r="AT134" s="770">
        <f t="shared" si="77"/>
        <v>9.1978659338036319</v>
      </c>
      <c r="AU134" s="770">
        <f t="shared" si="78"/>
        <v>7.5556118892152924</v>
      </c>
      <c r="AV134" s="770">
        <f t="shared" si="79"/>
        <v>4.5096641977542911</v>
      </c>
      <c r="AW134" s="770">
        <f t="shared" si="80"/>
        <v>4.1906979820554335</v>
      </c>
      <c r="AX134" s="770">
        <f t="shared" si="81"/>
        <v>3.9275540653478429</v>
      </c>
      <c r="AY134" s="770">
        <f t="shared" si="82"/>
        <v>5.5676931124914626</v>
      </c>
      <c r="AZ134" s="770">
        <f t="shared" si="83"/>
        <v>6.1095177790157944</v>
      </c>
      <c r="BA134" s="770"/>
      <c r="BB134" s="770">
        <f t="shared" si="84"/>
        <v>10.99390147382784</v>
      </c>
    </row>
    <row r="135" spans="1:54" x14ac:dyDescent="0.75">
      <c r="A135" s="132" t="s">
        <v>550</v>
      </c>
      <c r="B135" s="132" t="str">
        <f>VLOOKUP(A135,'HCW + Staff Summary'!B:E,4,FALSE)</f>
        <v>Lower middle income</v>
      </c>
      <c r="C135" s="770">
        <v>9.7316951399390597</v>
      </c>
      <c r="D135" s="770">
        <v>20.859173712706401</v>
      </c>
      <c r="E135" s="770">
        <v>25.409408545281799</v>
      </c>
      <c r="F135" s="770">
        <v>30.5009965270891</v>
      </c>
      <c r="G135" s="770">
        <v>19.088596927724399</v>
      </c>
      <c r="H135" s="770">
        <v>17.8033565553012</v>
      </c>
      <c r="I135" s="770">
        <v>15.729405879919399</v>
      </c>
      <c r="J135" s="770">
        <v>14.6642867392179</v>
      </c>
      <c r="K135" s="770">
        <v>13.166523005976</v>
      </c>
      <c r="L135" s="770">
        <v>9.9796651472667897</v>
      </c>
      <c r="M135" s="770">
        <v>7.1906137056292003</v>
      </c>
      <c r="N135" s="770">
        <v>4.1015539596089399</v>
      </c>
      <c r="O135" s="770">
        <v>2.4597222458825398</v>
      </c>
      <c r="P135" s="770">
        <v>1.8831061844236801</v>
      </c>
      <c r="Q135" s="770">
        <v>1.24683055971282</v>
      </c>
      <c r="R135" s="770">
        <v>0.75544336024494696</v>
      </c>
      <c r="S135" s="770"/>
      <c r="T135" s="770">
        <v>8.4947965140874868E-2</v>
      </c>
      <c r="U135" s="770">
        <v>8.57940604112023E-2</v>
      </c>
      <c r="V135" s="770">
        <v>7.2171926558930538E-2</v>
      </c>
      <c r="W135" s="770">
        <v>6.6587697774769444E-2</v>
      </c>
      <c r="X135" s="770">
        <v>6.9464421693882727E-2</v>
      </c>
      <c r="Y135" s="770">
        <v>7.6487012437600477E-2</v>
      </c>
      <c r="Z135" s="770">
        <v>7.8517641086386328E-2</v>
      </c>
      <c r="AA135" s="770">
        <v>8.3424993654285476E-2</v>
      </c>
      <c r="AB135" s="770">
        <v>7.1664269396734079E-2</v>
      </c>
      <c r="AC135" s="770">
        <v>6.1341907098739316E-2</v>
      </c>
      <c r="AD135" s="770">
        <v>6.0241983247313648E-2</v>
      </c>
      <c r="AE135" s="770">
        <v>5.4996192571283527E-2</v>
      </c>
      <c r="AF135" s="770">
        <v>4.5604535070648954E-2</v>
      </c>
      <c r="AG135" s="770">
        <v>3.5874439461883408E-2</v>
      </c>
      <c r="AH135" s="770">
        <v>2.115238175818597E-2</v>
      </c>
      <c r="AI135" s="770">
        <v>1.4722057703697436E-2</v>
      </c>
      <c r="AJ135" s="770"/>
      <c r="AK135" s="770">
        <f t="shared" si="68"/>
        <v>7.1600413881312086</v>
      </c>
      <c r="AL135" s="770">
        <f t="shared" si="69"/>
        <v>15.195671481168452</v>
      </c>
      <c r="AM135" s="770">
        <f t="shared" si="70"/>
        <v>22.004235023203808</v>
      </c>
      <c r="AN135" s="770">
        <f t="shared" si="71"/>
        <v>28.628595771415664</v>
      </c>
      <c r="AO135" s="770">
        <f t="shared" si="72"/>
        <v>17.174796520156416</v>
      </c>
      <c r="AP135" s="770">
        <f t="shared" si="73"/>
        <v>14.547695736110679</v>
      </c>
      <c r="AQ135" s="770">
        <f t="shared" si="74"/>
        <v>12.520598605520432</v>
      </c>
      <c r="AR135" s="770">
        <f t="shared" si="75"/>
        <v>10.986131146730246</v>
      </c>
      <c r="AS135" s="770">
        <f t="shared" si="76"/>
        <v>11.482816957469771</v>
      </c>
      <c r="AT135" s="770">
        <f t="shared" si="77"/>
        <v>10.1680743427195</v>
      </c>
      <c r="AU135" s="770">
        <f t="shared" si="78"/>
        <v>7.4601354798833848</v>
      </c>
      <c r="AV135" s="770">
        <f t="shared" si="79"/>
        <v>4.6611794469825059</v>
      </c>
      <c r="AW135" s="770">
        <f t="shared" si="80"/>
        <v>3.3709945760767321</v>
      </c>
      <c r="AX135" s="770">
        <f t="shared" si="81"/>
        <v>3.2807240556756301</v>
      </c>
      <c r="AY135" s="770">
        <f t="shared" si="82"/>
        <v>3.6840725963114549</v>
      </c>
      <c r="AZ135" s="770">
        <f t="shared" si="83"/>
        <v>3.2071067078789612</v>
      </c>
      <c r="BA135" s="770"/>
      <c r="BB135" s="770">
        <f t="shared" si="84"/>
        <v>10.970804364714677</v>
      </c>
    </row>
    <row r="136" spans="1:54" x14ac:dyDescent="0.75">
      <c r="A136" s="132" t="s">
        <v>248</v>
      </c>
      <c r="B136" s="132" t="str">
        <f>VLOOKUP(A136,'HCW + Staff Summary'!B:E,4,FALSE)</f>
        <v>Upper middle income</v>
      </c>
      <c r="C136" s="770">
        <v>11.376216982836899</v>
      </c>
      <c r="D136" s="770">
        <v>23.195216844897502</v>
      </c>
      <c r="E136" s="770">
        <v>29.715346124113299</v>
      </c>
      <c r="F136" s="770">
        <v>29.605003283684699</v>
      </c>
      <c r="G136" s="770">
        <v>18.6940556707798</v>
      </c>
      <c r="H136" s="770">
        <v>17.897081266286101</v>
      </c>
      <c r="I136" s="770">
        <v>16.423587558806201</v>
      </c>
      <c r="J136" s="770">
        <v>15.6410307622203</v>
      </c>
      <c r="K136" s="770">
        <v>14.136971089299699</v>
      </c>
      <c r="L136" s="770">
        <v>10.715435848801199</v>
      </c>
      <c r="M136" s="770">
        <v>7.7120707356193403</v>
      </c>
      <c r="N136" s="770">
        <v>4.6978554510418098</v>
      </c>
      <c r="O136" s="770">
        <v>2.9257295466209201</v>
      </c>
      <c r="P136" s="770">
        <v>1.62814145538944</v>
      </c>
      <c r="Q136" s="770">
        <v>0.819844727702983</v>
      </c>
      <c r="R136" s="770">
        <v>0.45255097720515902</v>
      </c>
      <c r="S136" s="770"/>
      <c r="T136" s="770">
        <v>9.9330357142857137E-2</v>
      </c>
      <c r="U136" s="770">
        <v>9.8214285714285712E-2</v>
      </c>
      <c r="V136" s="770">
        <v>9.2633928571428575E-2</v>
      </c>
      <c r="W136" s="770">
        <v>8.4821428571428575E-2</v>
      </c>
      <c r="X136" s="770">
        <v>8.0357142857142863E-2</v>
      </c>
      <c r="Y136" s="770">
        <v>7.8125E-2</v>
      </c>
      <c r="Z136" s="770">
        <v>7.4776785714285712E-2</v>
      </c>
      <c r="AA136" s="770">
        <v>7.5892857142857137E-2</v>
      </c>
      <c r="AB136" s="770">
        <v>6.3616071428571425E-2</v>
      </c>
      <c r="AC136" s="770">
        <v>5.46875E-2</v>
      </c>
      <c r="AD136" s="770">
        <v>5.2455357142857144E-2</v>
      </c>
      <c r="AE136" s="770">
        <v>4.9107142857142856E-2</v>
      </c>
      <c r="AF136" s="770">
        <v>3.90625E-2</v>
      </c>
      <c r="AG136" s="770">
        <v>2.5669642857142856E-2</v>
      </c>
      <c r="AH136" s="770">
        <v>1.7187500000000001E-2</v>
      </c>
      <c r="AI136" s="770">
        <v>9.2633928571428572E-3</v>
      </c>
      <c r="AJ136" s="770"/>
      <c r="AK136" s="770">
        <f t="shared" si="68"/>
        <v>7.1580691127962517</v>
      </c>
      <c r="AL136" s="770">
        <f t="shared" si="69"/>
        <v>14.760592537662047</v>
      </c>
      <c r="AM136" s="770">
        <f t="shared" si="70"/>
        <v>20.048908228317405</v>
      </c>
      <c r="AN136" s="770">
        <f t="shared" si="71"/>
        <v>21.814212945872935</v>
      </c>
      <c r="AO136" s="770">
        <f t="shared" si="72"/>
        <v>14.539821077273176</v>
      </c>
      <c r="AP136" s="770">
        <f t="shared" si="73"/>
        <v>14.317665013028881</v>
      </c>
      <c r="AQ136" s="770">
        <f t="shared" si="74"/>
        <v>13.72717766109175</v>
      </c>
      <c r="AR136" s="770">
        <f t="shared" si="75"/>
        <v>12.880848863004953</v>
      </c>
      <c r="AS136" s="770">
        <f t="shared" si="76"/>
        <v>13.888954052645319</v>
      </c>
      <c r="AT136" s="770">
        <f t="shared" si="77"/>
        <v>12.246212398629941</v>
      </c>
      <c r="AU136" s="770">
        <f t="shared" si="78"/>
        <v>9.1888502381847452</v>
      </c>
      <c r="AV136" s="770">
        <f t="shared" si="79"/>
        <v>5.9790887558713948</v>
      </c>
      <c r="AW136" s="770">
        <f t="shared" si="80"/>
        <v>4.6811672745934718</v>
      </c>
      <c r="AX136" s="770">
        <f t="shared" si="81"/>
        <v>3.9641705000786365</v>
      </c>
      <c r="AY136" s="770">
        <f t="shared" si="82"/>
        <v>2.9812535552835744</v>
      </c>
      <c r="AZ136" s="770">
        <f t="shared" si="83"/>
        <v>3.053355990781796</v>
      </c>
      <c r="BA136" s="770"/>
      <c r="BB136" s="770">
        <f t="shared" si="84"/>
        <v>10.95189676281977</v>
      </c>
    </row>
    <row r="137" spans="1:54" x14ac:dyDescent="0.75">
      <c r="A137" s="132" t="s">
        <v>551</v>
      </c>
      <c r="B137" s="132" t="str">
        <f>VLOOKUP(A137,'HCW + Staff Summary'!B:E,4,FALSE)</f>
        <v>Upper middle income</v>
      </c>
      <c r="C137" s="770">
        <v>10.7169572421864</v>
      </c>
      <c r="D137" s="770">
        <v>20.448383564026798</v>
      </c>
      <c r="E137" s="770">
        <v>26.776062944481399</v>
      </c>
      <c r="F137" s="770">
        <v>27.335814098643599</v>
      </c>
      <c r="G137" s="770">
        <v>16.0104252946911</v>
      </c>
      <c r="H137" s="770">
        <v>16.880079472463201</v>
      </c>
      <c r="I137" s="770">
        <v>17.2879237437926</v>
      </c>
      <c r="J137" s="770">
        <v>16.312249560284101</v>
      </c>
      <c r="K137" s="770">
        <v>14.0490660668384</v>
      </c>
      <c r="L137" s="770">
        <v>10.1713327200113</v>
      </c>
      <c r="M137" s="770">
        <v>7.5770433741062204</v>
      </c>
      <c r="N137" s="770">
        <v>4.9753715797101004</v>
      </c>
      <c r="O137" s="770">
        <v>3.05538036555083</v>
      </c>
      <c r="P137" s="770">
        <v>2.1991149790368101</v>
      </c>
      <c r="Q137" s="770">
        <v>1.2967013272169601</v>
      </c>
      <c r="R137" s="770">
        <v>1.28883307379979</v>
      </c>
      <c r="S137" s="770"/>
      <c r="T137" s="770">
        <v>7.7864333226621132E-2</v>
      </c>
      <c r="U137" s="770">
        <v>8.1243552804752248E-2</v>
      </c>
      <c r="V137" s="770">
        <v>8.0306856851515909E-2</v>
      </c>
      <c r="W137" s="770">
        <v>8.0887845480738449E-2</v>
      </c>
      <c r="X137" s="770">
        <v>8.0271286119114521E-2</v>
      </c>
      <c r="Y137" s="770">
        <v>7.5931656766146147E-2</v>
      </c>
      <c r="Z137" s="770">
        <v>7.582494456894201E-2</v>
      </c>
      <c r="AA137" s="770">
        <v>7.5647090906935111E-2</v>
      </c>
      <c r="AB137" s="770">
        <v>7.1236320089163974E-2</v>
      </c>
      <c r="AC137" s="770">
        <v>6.4489737843702197E-2</v>
      </c>
      <c r="AD137" s="770">
        <v>5.6379610856187527E-2</v>
      </c>
      <c r="AE137" s="770">
        <v>4.9241750554310577E-2</v>
      </c>
      <c r="AF137" s="770">
        <v>4.0858914618385325E-2</v>
      </c>
      <c r="AG137" s="770">
        <v>3.2570933968863749E-2</v>
      </c>
      <c r="AH137" s="770">
        <v>2.3369971187706756E-2</v>
      </c>
      <c r="AI137" s="770">
        <v>1.6398107637036245E-2</v>
      </c>
      <c r="AJ137" s="770"/>
      <c r="AK137" s="770">
        <f t="shared" si="68"/>
        <v>8.6022675579484424</v>
      </c>
      <c r="AL137" s="770">
        <f t="shared" si="69"/>
        <v>15.730774056903607</v>
      </c>
      <c r="AM137" s="770">
        <f t="shared" si="70"/>
        <v>20.838867310226419</v>
      </c>
      <c r="AN137" s="770">
        <f t="shared" si="71"/>
        <v>21.121694749207549</v>
      </c>
      <c r="AO137" s="770">
        <f t="shared" si="72"/>
        <v>12.465872035902445</v>
      </c>
      <c r="AP137" s="770">
        <f t="shared" si="73"/>
        <v>13.894138649946068</v>
      </c>
      <c r="AQ137" s="770">
        <f t="shared" si="74"/>
        <v>14.249865135141947</v>
      </c>
      <c r="AR137" s="770">
        <f t="shared" si="75"/>
        <v>13.477261125242954</v>
      </c>
      <c r="AS137" s="770">
        <f t="shared" si="76"/>
        <v>12.326108761350321</v>
      </c>
      <c r="AT137" s="770">
        <f t="shared" si="77"/>
        <v>9.8575109196662201</v>
      </c>
      <c r="AU137" s="770">
        <f t="shared" si="78"/>
        <v>8.3995828224072628</v>
      </c>
      <c r="AV137" s="770">
        <f t="shared" si="79"/>
        <v>6.3149810929022721</v>
      </c>
      <c r="AW137" s="770">
        <f t="shared" si="80"/>
        <v>4.6736746345435192</v>
      </c>
      <c r="AX137" s="770">
        <f t="shared" si="81"/>
        <v>4.2198570762874397</v>
      </c>
      <c r="AY137" s="770">
        <f t="shared" si="82"/>
        <v>3.4678619113442157</v>
      </c>
      <c r="AZ137" s="770">
        <f t="shared" si="83"/>
        <v>4.9122782271872962</v>
      </c>
      <c r="BA137" s="770"/>
      <c r="BB137" s="770">
        <f t="shared" si="84"/>
        <v>10.909537254138002</v>
      </c>
    </row>
    <row r="138" spans="1:54" x14ac:dyDescent="0.75">
      <c r="A138" s="132" t="s">
        <v>340</v>
      </c>
      <c r="B138" s="132" t="str">
        <f>VLOOKUP(A138,'HCW + Staff Summary'!B:E,4,FALSE)</f>
        <v>High income</v>
      </c>
      <c r="C138" s="770">
        <v>11.0679106426015</v>
      </c>
      <c r="D138" s="770">
        <v>18.7558950960874</v>
      </c>
      <c r="E138" s="770">
        <v>24.634442923688201</v>
      </c>
      <c r="F138" s="770">
        <v>27.491401593795899</v>
      </c>
      <c r="G138" s="770">
        <v>20.249469030010101</v>
      </c>
      <c r="H138" s="770">
        <v>20.787878090054001</v>
      </c>
      <c r="I138" s="770">
        <v>19.834815198200801</v>
      </c>
      <c r="J138" s="770">
        <v>18.935155277560401</v>
      </c>
      <c r="K138" s="770">
        <v>16.278544770614999</v>
      </c>
      <c r="L138" s="770">
        <v>11.7396205889718</v>
      </c>
      <c r="M138" s="770">
        <v>7.0009976638560598</v>
      </c>
      <c r="N138" s="770">
        <v>4.1740202409226796</v>
      </c>
      <c r="O138" s="770">
        <v>2.0731436942799299</v>
      </c>
      <c r="P138" s="770">
        <v>1.1471154258399101</v>
      </c>
      <c r="Q138" s="770">
        <v>0.64282750144401501</v>
      </c>
      <c r="R138" s="770">
        <v>0.420873403821381</v>
      </c>
      <c r="S138" s="770"/>
      <c r="T138" s="770">
        <v>7.0938215102974822E-2</v>
      </c>
      <c r="U138" s="770">
        <v>8.0091533180778038E-2</v>
      </c>
      <c r="V138" s="770">
        <v>7.0938215102974822E-2</v>
      </c>
      <c r="W138" s="770">
        <v>7.5514874141876437E-2</v>
      </c>
      <c r="X138" s="770">
        <v>8.2379862700228831E-2</v>
      </c>
      <c r="Y138" s="770">
        <v>7.780320366132723E-2</v>
      </c>
      <c r="Z138" s="770">
        <v>8.6956521739130432E-2</v>
      </c>
      <c r="AA138" s="770">
        <v>8.924485125858124E-2</v>
      </c>
      <c r="AB138" s="770">
        <v>8.2379862700228831E-2</v>
      </c>
      <c r="AC138" s="770">
        <v>7.5514874141876437E-2</v>
      </c>
      <c r="AD138" s="770">
        <v>6.4073226544622428E-2</v>
      </c>
      <c r="AE138" s="770">
        <v>5.2631578947368418E-2</v>
      </c>
      <c r="AF138" s="770">
        <v>3.9359267734553775E-2</v>
      </c>
      <c r="AG138" s="770">
        <v>2.5858123569794049E-2</v>
      </c>
      <c r="AH138" s="770">
        <v>1.4416475972540047E-2</v>
      </c>
      <c r="AI138" s="770">
        <v>7.7803203661327234E-3</v>
      </c>
      <c r="AJ138" s="770"/>
      <c r="AK138" s="770">
        <f t="shared" si="68"/>
        <v>9.7513648201952741</v>
      </c>
      <c r="AL138" s="770">
        <f t="shared" si="69"/>
        <v>14.636296708911059</v>
      </c>
      <c r="AM138" s="770">
        <f t="shared" si="70"/>
        <v>21.704136204943033</v>
      </c>
      <c r="AN138" s="770">
        <f t="shared" si="71"/>
        <v>22.753300182743953</v>
      </c>
      <c r="AO138" s="770">
        <f t="shared" si="72"/>
        <v>15.36287841339308</v>
      </c>
      <c r="AP138" s="770">
        <f t="shared" si="73"/>
        <v>16.699085892194116</v>
      </c>
      <c r="AQ138" s="770">
        <f t="shared" si="74"/>
        <v>14.256273423706826</v>
      </c>
      <c r="AR138" s="770">
        <f t="shared" si="75"/>
        <v>13.260677654317139</v>
      </c>
      <c r="AS138" s="770">
        <f t="shared" si="76"/>
        <v>12.350215390206172</v>
      </c>
      <c r="AT138" s="770">
        <f t="shared" si="77"/>
        <v>9.7163147677664323</v>
      </c>
      <c r="AU138" s="770">
        <f t="shared" si="78"/>
        <v>6.8290981676453084</v>
      </c>
      <c r="AV138" s="770">
        <f t="shared" si="79"/>
        <v>4.9566490360956825</v>
      </c>
      <c r="AW138" s="770">
        <f t="shared" si="80"/>
        <v>3.2920196017453831</v>
      </c>
      <c r="AX138" s="770">
        <f t="shared" si="81"/>
        <v>2.7726185901108447</v>
      </c>
      <c r="AY138" s="770">
        <f t="shared" si="82"/>
        <v>2.7868612909824857</v>
      </c>
      <c r="AZ138" s="770">
        <f t="shared" si="83"/>
        <v>3.3809131887857258</v>
      </c>
      <c r="BA138" s="770"/>
      <c r="BB138" s="770">
        <f t="shared" si="84"/>
        <v>10.906793958358904</v>
      </c>
    </row>
    <row r="139" spans="1:54" x14ac:dyDescent="0.75">
      <c r="A139" s="132" t="s">
        <v>378</v>
      </c>
      <c r="B139" s="132" t="str">
        <f>VLOOKUP(A139,'HCW + Staff Summary'!B:E,4,FALSE)</f>
        <v>Lower middle income</v>
      </c>
      <c r="C139" s="770">
        <v>12.019360713112301</v>
      </c>
      <c r="D139" s="770">
        <v>22.3785339153522</v>
      </c>
      <c r="E139" s="770">
        <v>29.4166003848175</v>
      </c>
      <c r="F139" s="770">
        <v>34.933125454926802</v>
      </c>
      <c r="G139" s="770">
        <v>19.894342988236801</v>
      </c>
      <c r="H139" s="770">
        <v>16.833676419283002</v>
      </c>
      <c r="I139" s="770">
        <v>13.985980337295</v>
      </c>
      <c r="J139" s="770">
        <v>14.1198977575523</v>
      </c>
      <c r="K139" s="770">
        <v>12.3638674409902</v>
      </c>
      <c r="L139" s="770">
        <v>9.5371133838647104</v>
      </c>
      <c r="M139" s="770">
        <v>7.1785289744852898</v>
      </c>
      <c r="N139" s="770">
        <v>3.88974116552835</v>
      </c>
      <c r="O139" s="770">
        <v>2.15713687267503</v>
      </c>
      <c r="P139" s="770">
        <v>1.39041372939979</v>
      </c>
      <c r="Q139" s="770">
        <v>0.72537356879978798</v>
      </c>
      <c r="R139" s="770">
        <v>0.52525781578945896</v>
      </c>
      <c r="S139" s="770"/>
      <c r="T139" s="770">
        <v>0.12408388218969257</v>
      </c>
      <c r="U139" s="770">
        <v>0.12050735825825239</v>
      </c>
      <c r="V139" s="770">
        <v>9.4631305333515742E-2</v>
      </c>
      <c r="W139" s="770">
        <v>8.5025504719838954E-2</v>
      </c>
      <c r="X139" s="770">
        <v>8.2240506576504391E-2</v>
      </c>
      <c r="Y139" s="770">
        <v>7.909394727070182E-2</v>
      </c>
      <c r="Z139" s="770">
        <v>7.8810561494713383E-2</v>
      </c>
      <c r="AA139" s="770">
        <v>6.9703128969843847E-2</v>
      </c>
      <c r="AB139" s="770">
        <v>5.9022416792073013E-2</v>
      </c>
      <c r="AC139" s="770">
        <v>4.7960599605214295E-2</v>
      </c>
      <c r="AD139" s="770">
        <v>4.117888482811187E-2</v>
      </c>
      <c r="AE139" s="770">
        <v>3.5481853538413433E-2</v>
      </c>
      <c r="AF139" s="770">
        <v>2.8944436844059649E-2</v>
      </c>
      <c r="AG139" s="770">
        <v>2.111712627279301E-2</v>
      </c>
      <c r="AH139" s="770">
        <v>1.6280024234369809E-2</v>
      </c>
      <c r="AI139" s="770">
        <v>8.4527136631031719E-3</v>
      </c>
      <c r="AJ139" s="770"/>
      <c r="AK139" s="770">
        <f t="shared" si="68"/>
        <v>6.0540501418315591</v>
      </c>
      <c r="AL139" s="770">
        <f t="shared" si="69"/>
        <v>11.606414661519077</v>
      </c>
      <c r="AM139" s="770">
        <f t="shared" si="70"/>
        <v>19.42842823071506</v>
      </c>
      <c r="AN139" s="770">
        <f t="shared" si="71"/>
        <v>25.678416707163542</v>
      </c>
      <c r="AO139" s="770">
        <f t="shared" si="72"/>
        <v>15.119026967667425</v>
      </c>
      <c r="AP139" s="770">
        <f t="shared" si="73"/>
        <v>13.301963203382959</v>
      </c>
      <c r="AQ139" s="770">
        <f t="shared" si="74"/>
        <v>11.091454679454019</v>
      </c>
      <c r="AR139" s="770">
        <f t="shared" si="75"/>
        <v>12.660745979263258</v>
      </c>
      <c r="AS139" s="770">
        <f t="shared" si="76"/>
        <v>13.092342826017086</v>
      </c>
      <c r="AT139" s="770">
        <f t="shared" si="77"/>
        <v>12.428318065204913</v>
      </c>
      <c r="AU139" s="770">
        <f t="shared" si="78"/>
        <v>10.89534266841151</v>
      </c>
      <c r="AV139" s="770">
        <f t="shared" si="79"/>
        <v>6.8516381925292302</v>
      </c>
      <c r="AW139" s="770">
        <f t="shared" si="80"/>
        <v>4.6579263320460518</v>
      </c>
      <c r="AX139" s="770">
        <f t="shared" si="81"/>
        <v>4.1151839016774101</v>
      </c>
      <c r="AY139" s="770">
        <f t="shared" si="82"/>
        <v>2.7847531058507466</v>
      </c>
      <c r="AZ139" s="770">
        <f t="shared" si="83"/>
        <v>3.8837957601877524</v>
      </c>
      <c r="BA139" s="770"/>
      <c r="BB139" s="770">
        <f t="shared" si="84"/>
        <v>10.853112588932598</v>
      </c>
    </row>
    <row r="140" spans="1:54" x14ac:dyDescent="0.75">
      <c r="A140" s="132" t="s">
        <v>514</v>
      </c>
      <c r="B140" s="132" t="str">
        <f>VLOOKUP(A140,'HCW + Staff Summary'!B:E,4,FALSE)</f>
        <v>High income</v>
      </c>
      <c r="C140" s="770">
        <v>11.8700760241118</v>
      </c>
      <c r="D140" s="770">
        <v>24.5919621456691</v>
      </c>
      <c r="E140" s="770">
        <v>27.056816593510302</v>
      </c>
      <c r="F140" s="770">
        <v>23.728481685165001</v>
      </c>
      <c r="G140" s="770">
        <v>15.4044659874379</v>
      </c>
      <c r="H140" s="770">
        <v>17.563185661713401</v>
      </c>
      <c r="I140" s="770">
        <v>19.729399012609999</v>
      </c>
      <c r="J140" s="770">
        <v>19.4509787813349</v>
      </c>
      <c r="K140" s="770">
        <v>15.513482182056901</v>
      </c>
      <c r="L140" s="770">
        <v>10.417413003446301</v>
      </c>
      <c r="M140" s="770">
        <v>7.0311044086543601</v>
      </c>
      <c r="N140" s="770">
        <v>3.7966986948661701</v>
      </c>
      <c r="O140" s="770">
        <v>1.9214068679257701</v>
      </c>
      <c r="P140" s="770">
        <v>1.0110796175582299</v>
      </c>
      <c r="Q140" s="770">
        <v>0.51740322024784402</v>
      </c>
      <c r="R140" s="770">
        <v>0.33838996524149501</v>
      </c>
      <c r="S140" s="770"/>
      <c r="T140" s="770">
        <v>8.5569023955879814E-2</v>
      </c>
      <c r="U140" s="770">
        <v>8.5511575802837941E-2</v>
      </c>
      <c r="V140" s="770">
        <v>7.5889010168323084E-2</v>
      </c>
      <c r="W140" s="770">
        <v>6.3738725799965534E-2</v>
      </c>
      <c r="X140" s="770">
        <v>6.701327052335268E-2</v>
      </c>
      <c r="Y140" s="770">
        <v>8.6804159246280238E-2</v>
      </c>
      <c r="Z140" s="770">
        <v>9.8753375078991207E-2</v>
      </c>
      <c r="AA140" s="770">
        <v>0.1017694031136899</v>
      </c>
      <c r="AB140" s="770">
        <v>0.10277474579192279</v>
      </c>
      <c r="AC140" s="770">
        <v>8.1317860630780725E-2</v>
      </c>
      <c r="AD140" s="770">
        <v>5.4345952777618202E-2</v>
      </c>
      <c r="AE140" s="770">
        <v>3.8030677313724365E-2</v>
      </c>
      <c r="AF140" s="770">
        <v>2.3525018670649739E-2</v>
      </c>
      <c r="AG140" s="770">
        <v>1.5913138392600678E-2</v>
      </c>
      <c r="AH140" s="770">
        <v>8.4161544206353758E-3</v>
      </c>
      <c r="AI140" s="770">
        <v>5.77353938070891E-3</v>
      </c>
      <c r="AJ140" s="770"/>
      <c r="AK140" s="770">
        <f t="shared" si="68"/>
        <v>8.6699569214381551</v>
      </c>
      <c r="AL140" s="770">
        <f t="shared" si="69"/>
        <v>17.974147004940463</v>
      </c>
      <c r="AM140" s="770">
        <f t="shared" si="70"/>
        <v>22.283213779486839</v>
      </c>
      <c r="AN140" s="770">
        <f t="shared" si="71"/>
        <v>23.267332170666243</v>
      </c>
      <c r="AO140" s="770">
        <f t="shared" si="72"/>
        <v>14.366992040469968</v>
      </c>
      <c r="AP140" s="770">
        <f t="shared" si="73"/>
        <v>12.645697088577315</v>
      </c>
      <c r="AQ140" s="770">
        <f t="shared" si="74"/>
        <v>12.486534635416749</v>
      </c>
      <c r="AR140" s="770">
        <f t="shared" si="75"/>
        <v>11.945497729561692</v>
      </c>
      <c r="AS140" s="770">
        <f t="shared" si="76"/>
        <v>9.4341526112026433</v>
      </c>
      <c r="AT140" s="770">
        <f t="shared" si="77"/>
        <v>8.0067073538939315</v>
      </c>
      <c r="AU140" s="770">
        <f t="shared" si="78"/>
        <v>8.0860487870934481</v>
      </c>
      <c r="AV140" s="770">
        <f t="shared" si="79"/>
        <v>6.2395330609455648</v>
      </c>
      <c r="AW140" s="770">
        <f t="shared" si="80"/>
        <v>5.104690071731361</v>
      </c>
      <c r="AX140" s="770">
        <f t="shared" si="81"/>
        <v>3.9710882000984</v>
      </c>
      <c r="AY140" s="770">
        <f t="shared" si="82"/>
        <v>3.8423369687944633</v>
      </c>
      <c r="AZ140" s="770">
        <f t="shared" si="83"/>
        <v>3.6631555503474527</v>
      </c>
      <c r="BA140" s="770"/>
      <c r="BB140" s="770">
        <f t="shared" si="84"/>
        <v>10.749192748416545</v>
      </c>
    </row>
    <row r="141" spans="1:54" x14ac:dyDescent="0.75">
      <c r="A141" s="132" t="s">
        <v>249</v>
      </c>
      <c r="B141" s="132" t="str">
        <f>VLOOKUP(A141,'HCW + Staff Summary'!B:E,4,FALSE)</f>
        <v>Lower middle income</v>
      </c>
      <c r="C141" s="770">
        <v>14.6371130462023</v>
      </c>
      <c r="D141" s="770">
        <v>25.274979682423702</v>
      </c>
      <c r="E141" s="770">
        <v>32.537550935140501</v>
      </c>
      <c r="F141" s="770">
        <v>27.039447387621301</v>
      </c>
      <c r="G141" s="770">
        <v>17.975576627364301</v>
      </c>
      <c r="H141" s="770">
        <v>15.9143640878968</v>
      </c>
      <c r="I141" s="770">
        <v>13.9311599452345</v>
      </c>
      <c r="J141" s="770">
        <v>13.003717229240801</v>
      </c>
      <c r="K141" s="770">
        <v>12.2123982559752</v>
      </c>
      <c r="L141" s="770">
        <v>8.9580422195634402</v>
      </c>
      <c r="M141" s="770">
        <v>7.4101658862553803</v>
      </c>
      <c r="N141" s="770">
        <v>4.9450370535404797</v>
      </c>
      <c r="O141" s="770">
        <v>2.9545851090545101</v>
      </c>
      <c r="P141" s="770">
        <v>1.3371323437518701</v>
      </c>
      <c r="Q141" s="770">
        <v>0.71599682771998896</v>
      </c>
      <c r="R141" s="770">
        <v>0.395303255219772</v>
      </c>
      <c r="S141" s="770"/>
      <c r="T141" s="770">
        <v>0.12773109243697478</v>
      </c>
      <c r="U141" s="770">
        <v>0.12016806722689076</v>
      </c>
      <c r="V141" s="770">
        <v>0.11260504201680673</v>
      </c>
      <c r="W141" s="770">
        <v>8.5714285714285715E-2</v>
      </c>
      <c r="X141" s="770">
        <v>9.1596638655462179E-2</v>
      </c>
      <c r="Y141" s="770">
        <v>8.067226890756303E-2</v>
      </c>
      <c r="Z141" s="770">
        <v>7.6470588235294124E-2</v>
      </c>
      <c r="AA141" s="770">
        <v>6.386554621848739E-2</v>
      </c>
      <c r="AB141" s="770">
        <v>5.2941176470588235E-2</v>
      </c>
      <c r="AC141" s="770">
        <v>4.1176470588235294E-2</v>
      </c>
      <c r="AD141" s="770">
        <v>4.53781512605042E-2</v>
      </c>
      <c r="AE141" s="770">
        <v>3.8655462184873951E-2</v>
      </c>
      <c r="AF141" s="770">
        <v>2.6050420168067228E-2</v>
      </c>
      <c r="AG141" s="770">
        <v>1.7647058823529412E-2</v>
      </c>
      <c r="AH141" s="770">
        <v>1.2605042016806723E-2</v>
      </c>
      <c r="AI141" s="770">
        <v>7.5630252100840336E-3</v>
      </c>
      <c r="AJ141" s="770"/>
      <c r="AK141" s="770">
        <f t="shared" si="68"/>
        <v>7.1620742290216848</v>
      </c>
      <c r="AL141" s="770">
        <f t="shared" si="69"/>
        <v>13.145640656505334</v>
      </c>
      <c r="AM141" s="770">
        <f t="shared" si="70"/>
        <v>18.059554856724439</v>
      </c>
      <c r="AN141" s="770">
        <f t="shared" si="71"/>
        <v>19.716263720140532</v>
      </c>
      <c r="AO141" s="770">
        <f t="shared" si="72"/>
        <v>12.265445061102936</v>
      </c>
      <c r="AP141" s="770">
        <f t="shared" si="73"/>
        <v>12.32948780247213</v>
      </c>
      <c r="AQ141" s="770">
        <f t="shared" si="74"/>
        <v>11.386044186008965</v>
      </c>
      <c r="AR141" s="770">
        <f t="shared" si="75"/>
        <v>12.725677222694534</v>
      </c>
      <c r="AS141" s="770">
        <f t="shared" si="76"/>
        <v>14.417414607748501</v>
      </c>
      <c r="AT141" s="770">
        <f t="shared" si="77"/>
        <v>13.597028368980222</v>
      </c>
      <c r="AU141" s="770">
        <f t="shared" si="78"/>
        <v>10.206131255374888</v>
      </c>
      <c r="AV141" s="770">
        <f t="shared" si="79"/>
        <v>7.9953724099363734</v>
      </c>
      <c r="AW141" s="770">
        <f t="shared" si="80"/>
        <v>7.0886215318041668</v>
      </c>
      <c r="AX141" s="770">
        <f t="shared" si="81"/>
        <v>4.7356770507878734</v>
      </c>
      <c r="AY141" s="770">
        <f t="shared" si="82"/>
        <v>3.5501509374449451</v>
      </c>
      <c r="AZ141" s="770">
        <f t="shared" si="83"/>
        <v>3.2667421785522825</v>
      </c>
      <c r="BA141" s="770"/>
      <c r="BB141" s="770">
        <f t="shared" si="84"/>
        <v>10.727957879706237</v>
      </c>
    </row>
    <row r="142" spans="1:54" x14ac:dyDescent="0.75">
      <c r="A142" s="132" t="s">
        <v>446</v>
      </c>
      <c r="B142" s="132" t="str">
        <f>VLOOKUP(A142,'HCW + Staff Summary'!B:E,4,FALSE)</f>
        <v>Upper middle income</v>
      </c>
      <c r="C142" s="770">
        <v>11.4006430027747</v>
      </c>
      <c r="D142" s="770">
        <v>20.0521929272983</v>
      </c>
      <c r="E142" s="770">
        <v>25.548772688564799</v>
      </c>
      <c r="F142" s="770">
        <v>26.9690746983518</v>
      </c>
      <c r="G142" s="770">
        <v>18.214966833434101</v>
      </c>
      <c r="H142" s="770">
        <v>16.158942155377702</v>
      </c>
      <c r="I142" s="770">
        <v>14.9420909817173</v>
      </c>
      <c r="J142" s="770">
        <v>14.386945390312899</v>
      </c>
      <c r="K142" s="770">
        <v>12.909188137144</v>
      </c>
      <c r="L142" s="770">
        <v>9.7559702282563592</v>
      </c>
      <c r="M142" s="770">
        <v>7.4679761732303502</v>
      </c>
      <c r="N142" s="770">
        <v>4.8092964218047296</v>
      </c>
      <c r="O142" s="770">
        <v>3.4348828764277202</v>
      </c>
      <c r="P142" s="770">
        <v>2.6355794880931298</v>
      </c>
      <c r="Q142" s="770">
        <v>1.74969205916501</v>
      </c>
      <c r="R142" s="770">
        <v>0.99189380447473896</v>
      </c>
      <c r="S142" s="770"/>
      <c r="T142" s="770">
        <v>8.2930402930402936E-2</v>
      </c>
      <c r="U142" s="770">
        <v>8.5860805860805856E-2</v>
      </c>
      <c r="V142" s="770">
        <v>8.1904761904761911E-2</v>
      </c>
      <c r="W142" s="770">
        <v>8.4395604395604396E-2</v>
      </c>
      <c r="X142" s="770">
        <v>8.688644688644688E-2</v>
      </c>
      <c r="Y142" s="770">
        <v>8.542124542124542E-2</v>
      </c>
      <c r="Z142" s="770">
        <v>7.6483516483516478E-2</v>
      </c>
      <c r="AA142" s="770">
        <v>7.1501831501831509E-2</v>
      </c>
      <c r="AB142" s="770">
        <v>6.6373626373626371E-2</v>
      </c>
      <c r="AC142" s="770">
        <v>6.0073260073260075E-2</v>
      </c>
      <c r="AD142" s="770">
        <v>5.7142857142857141E-2</v>
      </c>
      <c r="AE142" s="770">
        <v>4.9084249084249083E-2</v>
      </c>
      <c r="AF142" s="770">
        <v>3.6483516483516484E-2</v>
      </c>
      <c r="AG142" s="770">
        <v>2.9157509157509157E-2</v>
      </c>
      <c r="AH142" s="770">
        <v>1.9340659340659341E-2</v>
      </c>
      <c r="AI142" s="770">
        <v>1.1721611721611722E-2</v>
      </c>
      <c r="AJ142" s="770"/>
      <c r="AK142" s="770">
        <f t="shared" si="68"/>
        <v>8.5920261146132209</v>
      </c>
      <c r="AL142" s="770">
        <f t="shared" si="69"/>
        <v>14.596439497526761</v>
      </c>
      <c r="AM142" s="770">
        <f t="shared" si="70"/>
        <v>19.495793112640289</v>
      </c>
      <c r="AN142" s="770">
        <f t="shared" si="71"/>
        <v>19.972215149332794</v>
      </c>
      <c r="AO142" s="770">
        <f t="shared" si="72"/>
        <v>13.102566256132773</v>
      </c>
      <c r="AP142" s="770">
        <f t="shared" si="73"/>
        <v>11.82298244108628</v>
      </c>
      <c r="AQ142" s="770">
        <f t="shared" si="74"/>
        <v>12.210221617603038</v>
      </c>
      <c r="AR142" s="770">
        <f t="shared" si="75"/>
        <v>12.575679084129806</v>
      </c>
      <c r="AS142" s="770">
        <f t="shared" si="76"/>
        <v>12.155795948676573</v>
      </c>
      <c r="AT142" s="770">
        <f t="shared" si="77"/>
        <v>10.150075732903909</v>
      </c>
      <c r="AU142" s="770">
        <f t="shared" si="78"/>
        <v>8.1680989394706955</v>
      </c>
      <c r="AV142" s="770">
        <f t="shared" si="79"/>
        <v>6.1237776266450146</v>
      </c>
      <c r="AW142" s="770">
        <f t="shared" si="80"/>
        <v>5.8843061324345358</v>
      </c>
      <c r="AX142" s="770">
        <f t="shared" si="81"/>
        <v>5.6494440974358078</v>
      </c>
      <c r="AY142" s="770">
        <f t="shared" si="82"/>
        <v>5.6541895377846556</v>
      </c>
      <c r="AZ142" s="770">
        <f t="shared" si="83"/>
        <v>5.2888087621406976</v>
      </c>
      <c r="BA142" s="770"/>
      <c r="BB142" s="770">
        <f t="shared" si="84"/>
        <v>10.715151253159803</v>
      </c>
    </row>
    <row r="143" spans="1:54" x14ac:dyDescent="0.75">
      <c r="A143" s="132" t="s">
        <v>572</v>
      </c>
      <c r="B143" s="132" t="str">
        <f>VLOOKUP(A143,'HCW + Staff Summary'!B:E,4,FALSE)</f>
        <v>Low income</v>
      </c>
      <c r="C143" s="770">
        <v>17.565354840116601</v>
      </c>
      <c r="D143" s="770">
        <v>33.605662405445798</v>
      </c>
      <c r="E143" s="770">
        <v>36.539721105997401</v>
      </c>
      <c r="F143" s="770">
        <v>38.483956644108503</v>
      </c>
      <c r="G143" s="770">
        <v>18.566786078685698</v>
      </c>
      <c r="H143" s="770">
        <v>13.8743612248101</v>
      </c>
      <c r="I143" s="770">
        <v>11.6919344543584</v>
      </c>
      <c r="J143" s="770">
        <v>9.8697172691323107</v>
      </c>
      <c r="K143" s="770">
        <v>8.0646778686050808</v>
      </c>
      <c r="L143" s="770">
        <v>6.2073952038243601</v>
      </c>
      <c r="M143" s="770">
        <v>4.74859398413476</v>
      </c>
      <c r="N143" s="770">
        <v>3.1391950089734402</v>
      </c>
      <c r="O143" s="770">
        <v>1.9409341359680301</v>
      </c>
      <c r="P143" s="770">
        <v>0.972790097162884</v>
      </c>
      <c r="Q143" s="770">
        <v>0.55515031483571398</v>
      </c>
      <c r="R143" s="770">
        <v>0.33357306273356402</v>
      </c>
      <c r="S143" s="770"/>
      <c r="T143" s="770">
        <v>0.13796687453899281</v>
      </c>
      <c r="U143" s="770">
        <v>0.13136189901428283</v>
      </c>
      <c r="V143" s="770">
        <v>0.11895661503386307</v>
      </c>
      <c r="W143" s="770">
        <v>0.10735599812244351</v>
      </c>
      <c r="X143" s="770">
        <v>9.8068799034399523E-2</v>
      </c>
      <c r="Y143" s="770">
        <v>9.4112519278481868E-2</v>
      </c>
      <c r="Z143" s="770">
        <v>7.8119761282102865E-2</v>
      </c>
      <c r="AA143" s="770">
        <v>6.0752363709515186E-2</v>
      </c>
      <c r="AB143" s="770">
        <v>4.5664856165761415E-2</v>
      </c>
      <c r="AC143" s="770">
        <v>3.3527794541675052E-2</v>
      </c>
      <c r="AD143" s="770">
        <v>2.5950512975256489E-2</v>
      </c>
      <c r="AE143" s="770">
        <v>2.1759538657547105E-2</v>
      </c>
      <c r="AF143" s="770">
        <v>1.7065647421712599E-2</v>
      </c>
      <c r="AG143" s="770">
        <v>1.2405283980419768E-2</v>
      </c>
      <c r="AH143" s="770">
        <v>8.6836987862938374E-3</v>
      </c>
      <c r="AI143" s="770">
        <v>4.8615302085428819E-3</v>
      </c>
      <c r="AJ143" s="770"/>
      <c r="AK143" s="770">
        <f t="shared" si="68"/>
        <v>7.9572338010528219</v>
      </c>
      <c r="AL143" s="770">
        <f t="shared" si="69"/>
        <v>15.989064683908028</v>
      </c>
      <c r="AM143" s="770">
        <f t="shared" si="70"/>
        <v>19.198029201442335</v>
      </c>
      <c r="AN143" s="770">
        <f t="shared" si="71"/>
        <v>22.404405271454955</v>
      </c>
      <c r="AO143" s="770">
        <f t="shared" si="72"/>
        <v>11.83275558937777</v>
      </c>
      <c r="AP143" s="770">
        <f t="shared" si="73"/>
        <v>9.2139450011396953</v>
      </c>
      <c r="AQ143" s="770">
        <f t="shared" si="74"/>
        <v>9.3541748131892071</v>
      </c>
      <c r="AR143" s="770">
        <f t="shared" si="75"/>
        <v>10.153635046534918</v>
      </c>
      <c r="AS143" s="770">
        <f t="shared" si="76"/>
        <v>11.037861697366701</v>
      </c>
      <c r="AT143" s="770">
        <f t="shared" si="77"/>
        <v>11.571360584329085</v>
      </c>
      <c r="AU143" s="770">
        <f t="shared" si="78"/>
        <v>11.436657313533862</v>
      </c>
      <c r="AV143" s="770">
        <f t="shared" si="79"/>
        <v>9.0167209493106544</v>
      </c>
      <c r="AW143" s="770">
        <f t="shared" si="80"/>
        <v>7.1083376153465707</v>
      </c>
      <c r="AX143" s="770">
        <f t="shared" si="81"/>
        <v>4.9010874050642199</v>
      </c>
      <c r="AY143" s="770">
        <f t="shared" si="82"/>
        <v>3.9956354464985533</v>
      </c>
      <c r="AZ143" s="770">
        <f t="shared" si="83"/>
        <v>4.2884267970221037</v>
      </c>
      <c r="BA143" s="770"/>
      <c r="BB143" s="770">
        <f t="shared" si="84"/>
        <v>10.591208201035718</v>
      </c>
    </row>
    <row r="144" spans="1:54" x14ac:dyDescent="0.75">
      <c r="A144" s="132" t="s">
        <v>418</v>
      </c>
      <c r="B144" s="132" t="str">
        <f>VLOOKUP(A144,'HCW + Staff Summary'!B:E,4,FALSE)</f>
        <v>Upper middle income</v>
      </c>
      <c r="C144" s="770">
        <v>10.0964752375092</v>
      </c>
      <c r="D144" s="770">
        <v>20.4488401401115</v>
      </c>
      <c r="E144" s="770">
        <v>23.282646611209</v>
      </c>
      <c r="F144" s="770">
        <v>28.009824327067001</v>
      </c>
      <c r="G144" s="770">
        <v>20.211061145894501</v>
      </c>
      <c r="H144" s="770">
        <v>19.902958672557901</v>
      </c>
      <c r="I144" s="770">
        <v>16.704998414388701</v>
      </c>
      <c r="J144" s="770">
        <v>14.396658796147801</v>
      </c>
      <c r="K144" s="770">
        <v>11.951864810602601</v>
      </c>
      <c r="L144" s="770">
        <v>8.60248254255281</v>
      </c>
      <c r="M144" s="770">
        <v>6.4018025384001396</v>
      </c>
      <c r="N144" s="770">
        <v>4.0233572172699104</v>
      </c>
      <c r="O144" s="770">
        <v>2.3034379785872598</v>
      </c>
      <c r="P144" s="770">
        <v>1.4880767634699199</v>
      </c>
      <c r="Q144" s="770">
        <v>0.91224430457668404</v>
      </c>
      <c r="R144" s="770">
        <v>0.63623021588956397</v>
      </c>
      <c r="S144" s="770"/>
      <c r="T144" s="770">
        <v>9.092424368697391E-2</v>
      </c>
      <c r="U144" s="770">
        <v>8.249496981891348E-2</v>
      </c>
      <c r="V144" s="770">
        <v>7.4029978688700246E-2</v>
      </c>
      <c r="W144" s="770">
        <v>6.5838819901658477E-2</v>
      </c>
      <c r="X144" s="770">
        <v>6.6148369506982718E-2</v>
      </c>
      <c r="Y144" s="770">
        <v>8.079244698963009E-2</v>
      </c>
      <c r="Z144" s="770">
        <v>0.10080601954924816</v>
      </c>
      <c r="AA144" s="770">
        <v>9.8484397509316257E-2</v>
      </c>
      <c r="AB144" s="770">
        <v>7.7280249544604912E-2</v>
      </c>
      <c r="AC144" s="770">
        <v>6.148131391901706E-2</v>
      </c>
      <c r="AD144" s="770">
        <v>5.4992677961258674E-2</v>
      </c>
      <c r="AE144" s="770">
        <v>4.3777457645279967E-2</v>
      </c>
      <c r="AF144" s="770">
        <v>3.7288821687521581E-2</v>
      </c>
      <c r="AG144" s="770">
        <v>2.6966532925362829E-2</v>
      </c>
      <c r="AH144" s="770">
        <v>1.7239531865750717E-2</v>
      </c>
      <c r="AI144" s="770">
        <v>1.0786613170145131E-2</v>
      </c>
      <c r="AJ144" s="770"/>
      <c r="AK144" s="770">
        <f t="shared" si="68"/>
        <v>6.9401699343992265</v>
      </c>
      <c r="AL144" s="770">
        <f t="shared" si="69"/>
        <v>15.492490167127158</v>
      </c>
      <c r="AM144" s="770">
        <f t="shared" si="70"/>
        <v>19.656434311829344</v>
      </c>
      <c r="AN144" s="770">
        <f t="shared" si="71"/>
        <v>26.589389406683299</v>
      </c>
      <c r="AO144" s="770">
        <f t="shared" si="72"/>
        <v>19.096333455128654</v>
      </c>
      <c r="AP144" s="770">
        <f t="shared" si="73"/>
        <v>15.396673369659554</v>
      </c>
      <c r="AQ144" s="770">
        <f t="shared" si="74"/>
        <v>10.357143408377746</v>
      </c>
      <c r="AR144" s="770">
        <f t="shared" si="75"/>
        <v>9.1363829958356675</v>
      </c>
      <c r="AS144" s="770">
        <f t="shared" si="76"/>
        <v>9.6660085217699905</v>
      </c>
      <c r="AT144" s="770">
        <f t="shared" si="77"/>
        <v>8.7450173823179487</v>
      </c>
      <c r="AU144" s="770">
        <f t="shared" si="78"/>
        <v>7.2757442169279463</v>
      </c>
      <c r="AV144" s="770">
        <f t="shared" si="79"/>
        <v>5.7440481838141073</v>
      </c>
      <c r="AW144" s="770">
        <f t="shared" si="80"/>
        <v>3.860805119242491</v>
      </c>
      <c r="AX144" s="770">
        <f t="shared" si="81"/>
        <v>3.448897119043294</v>
      </c>
      <c r="AY144" s="770">
        <f t="shared" si="82"/>
        <v>3.3072399807626653</v>
      </c>
      <c r="AZ144" s="770">
        <f t="shared" si="83"/>
        <v>3.686457265674127</v>
      </c>
      <c r="BA144" s="770"/>
      <c r="BB144" s="770">
        <f t="shared" si="84"/>
        <v>10.524952177412073</v>
      </c>
    </row>
    <row r="145" spans="1:54" x14ac:dyDescent="0.75">
      <c r="A145" s="132" t="s">
        <v>314</v>
      </c>
      <c r="B145" s="132" t="str">
        <f>VLOOKUP(A145,'HCW + Staff Summary'!B:E,4,FALSE)</f>
        <v>Upper middle income</v>
      </c>
      <c r="C145" s="770">
        <v>10.7331925082079</v>
      </c>
      <c r="D145" s="770">
        <v>21.0502859900954</v>
      </c>
      <c r="E145" s="770">
        <v>26.888227432394402</v>
      </c>
      <c r="F145" s="770">
        <v>31.283381192413</v>
      </c>
      <c r="G145" s="770">
        <v>19.8347463765801</v>
      </c>
      <c r="H145" s="770">
        <v>17.791412954204201</v>
      </c>
      <c r="I145" s="770">
        <v>14.696285936199899</v>
      </c>
      <c r="J145" s="770">
        <v>13.512762625628699</v>
      </c>
      <c r="K145" s="770">
        <v>11.2684273626289</v>
      </c>
      <c r="L145" s="770">
        <v>8.2255529357130701</v>
      </c>
      <c r="M145" s="770">
        <v>5.7470202463960298</v>
      </c>
      <c r="N145" s="770">
        <v>3.1883306364682298</v>
      </c>
      <c r="O145" s="770">
        <v>1.90887489599131</v>
      </c>
      <c r="P145" s="770">
        <v>1.4869542552999799</v>
      </c>
      <c r="Q145" s="770">
        <v>0.87364712021003899</v>
      </c>
      <c r="R145" s="770">
        <v>0.55270889921871602</v>
      </c>
      <c r="S145" s="770"/>
      <c r="T145" s="770">
        <v>0.11495746961300768</v>
      </c>
      <c r="U145" s="770">
        <v>0.10572164830904654</v>
      </c>
      <c r="V145" s="770">
        <v>8.7135983215890167E-2</v>
      </c>
      <c r="W145" s="770">
        <v>6.6361086406239306E-2</v>
      </c>
      <c r="X145" s="770">
        <v>6.8413491140452892E-2</v>
      </c>
      <c r="Y145" s="770">
        <v>8.1503272445326222E-2</v>
      </c>
      <c r="Z145" s="770">
        <v>8.501516499053613E-2</v>
      </c>
      <c r="AA145" s="770">
        <v>8.0910355522108957E-2</v>
      </c>
      <c r="AB145" s="770">
        <v>6.873275409910834E-2</v>
      </c>
      <c r="AC145" s="770">
        <v>5.5506145811954115E-2</v>
      </c>
      <c r="AD145" s="770">
        <v>4.7022872910537958E-2</v>
      </c>
      <c r="AE145" s="770">
        <v>3.9634215867369045E-2</v>
      </c>
      <c r="AF145" s="770">
        <v>3.1629837403936059E-2</v>
      </c>
      <c r="AG145" s="770">
        <v>2.6065540124512555E-2</v>
      </c>
      <c r="AH145" s="770">
        <v>1.6510455861895965E-2</v>
      </c>
      <c r="AI145" s="770">
        <v>1.1721511482064264E-2</v>
      </c>
      <c r="AJ145" s="770"/>
      <c r="AK145" s="770">
        <f t="shared" si="68"/>
        <v>5.8354149062366671</v>
      </c>
      <c r="AL145" s="770">
        <f t="shared" si="69"/>
        <v>12.444403728317427</v>
      </c>
      <c r="AM145" s="770">
        <f t="shared" si="70"/>
        <v>19.286110657189333</v>
      </c>
      <c r="AN145" s="770">
        <f t="shared" si="71"/>
        <v>29.463220547003921</v>
      </c>
      <c r="AO145" s="770">
        <f t="shared" si="72"/>
        <v>18.120280486654458</v>
      </c>
      <c r="AP145" s="770">
        <f t="shared" si="73"/>
        <v>13.643173780337303</v>
      </c>
      <c r="AQ145" s="770">
        <f t="shared" si="74"/>
        <v>10.804165011204095</v>
      </c>
      <c r="AR145" s="770">
        <f t="shared" si="75"/>
        <v>10.438066408829695</v>
      </c>
      <c r="AS145" s="770">
        <f t="shared" si="76"/>
        <v>10.246595228073987</v>
      </c>
      <c r="AT145" s="770">
        <f t="shared" si="77"/>
        <v>9.2619844336471306</v>
      </c>
      <c r="AU145" s="770">
        <f t="shared" si="78"/>
        <v>7.6385967757247908</v>
      </c>
      <c r="AV145" s="770">
        <f t="shared" si="79"/>
        <v>5.0277433378800467</v>
      </c>
      <c r="AW145" s="770">
        <f t="shared" si="80"/>
        <v>3.7719030760686252</v>
      </c>
      <c r="AX145" s="770">
        <f t="shared" si="81"/>
        <v>3.5654216452952436</v>
      </c>
      <c r="AY145" s="770">
        <f t="shared" si="82"/>
        <v>3.3071736764788002</v>
      </c>
      <c r="AZ145" s="770">
        <f t="shared" si="83"/>
        <v>2.9470863253453206</v>
      </c>
      <c r="BA145" s="770"/>
      <c r="BB145" s="770">
        <f t="shared" si="84"/>
        <v>10.362583751517928</v>
      </c>
    </row>
    <row r="146" spans="1:54" x14ac:dyDescent="0.75">
      <c r="A146" s="132" t="s">
        <v>256</v>
      </c>
      <c r="B146" s="132" t="str">
        <f>VLOOKUP(A146,'HCW + Staff Summary'!B:E,4,FALSE)</f>
        <v>Upper middle income</v>
      </c>
      <c r="C146" s="770">
        <v>11.7740283803907</v>
      </c>
      <c r="D146" s="770">
        <v>24.970081791493001</v>
      </c>
      <c r="E146" s="770">
        <v>32.233203777773802</v>
      </c>
      <c r="F146" s="770">
        <v>36.2275029970642</v>
      </c>
      <c r="G146" s="770">
        <v>17.083750630334801</v>
      </c>
      <c r="H146" s="770">
        <v>13.8398710646068</v>
      </c>
      <c r="I146" s="770">
        <v>10.8458277368808</v>
      </c>
      <c r="J146" s="770">
        <v>10.742797272572499</v>
      </c>
      <c r="K146" s="770">
        <v>9.6480211162591001</v>
      </c>
      <c r="L146" s="770">
        <v>7.4580189507044503</v>
      </c>
      <c r="M146" s="770">
        <v>5.7552273596998598</v>
      </c>
      <c r="N146" s="770">
        <v>4.1059591511659699</v>
      </c>
      <c r="O146" s="770">
        <v>2.7793182904503002</v>
      </c>
      <c r="P146" s="770">
        <v>2.0024954751748698</v>
      </c>
      <c r="Q146" s="770">
        <v>1.17510896793722</v>
      </c>
      <c r="R146" s="770">
        <v>1.01418354219761</v>
      </c>
      <c r="S146" s="770"/>
      <c r="T146" s="770">
        <v>0.11509433962264151</v>
      </c>
      <c r="U146" s="770">
        <v>0.1169811320754717</v>
      </c>
      <c r="V146" s="770">
        <v>0.11415094339622642</v>
      </c>
      <c r="W146" s="770">
        <v>0.10754716981132076</v>
      </c>
      <c r="X146" s="770">
        <v>9.1509433962264145E-2</v>
      </c>
      <c r="Y146" s="770">
        <v>6.981132075471698E-2</v>
      </c>
      <c r="Z146" s="770">
        <v>5.7547169811320756E-2</v>
      </c>
      <c r="AA146" s="770">
        <v>5.7547169811320756E-2</v>
      </c>
      <c r="AB146" s="770">
        <v>0.05</v>
      </c>
      <c r="AC146" s="770">
        <v>4.716981132075472E-2</v>
      </c>
      <c r="AD146" s="770">
        <v>4.5283018867924525E-2</v>
      </c>
      <c r="AE146" s="770">
        <v>3.5849056603773584E-2</v>
      </c>
      <c r="AF146" s="770">
        <v>2.8301886792452831E-2</v>
      </c>
      <c r="AG146" s="770">
        <v>2.1698113207547168E-2</v>
      </c>
      <c r="AH146" s="770">
        <v>1.6037735849056604E-2</v>
      </c>
      <c r="AI146" s="770">
        <v>1.0377358490566037E-2</v>
      </c>
      <c r="AJ146" s="770"/>
      <c r="AK146" s="770">
        <f t="shared" si="68"/>
        <v>6.3936834442695396</v>
      </c>
      <c r="AL146" s="770">
        <f t="shared" si="69"/>
        <v>13.340870311987189</v>
      </c>
      <c r="AM146" s="770">
        <f t="shared" si="70"/>
        <v>17.648345043615823</v>
      </c>
      <c r="AN146" s="770">
        <f t="shared" si="71"/>
        <v>21.053263803118448</v>
      </c>
      <c r="AO146" s="770">
        <f t="shared" si="72"/>
        <v>11.668025559378151</v>
      </c>
      <c r="AP146" s="770">
        <f t="shared" si="73"/>
        <v>12.390425108516224</v>
      </c>
      <c r="AQ146" s="770">
        <f t="shared" si="74"/>
        <v>11.779280124071359</v>
      </c>
      <c r="AR146" s="770">
        <f t="shared" si="75"/>
        <v>11.667382283736526</v>
      </c>
      <c r="AS146" s="770">
        <f t="shared" si="76"/>
        <v>12.060026395323874</v>
      </c>
      <c r="AT146" s="770">
        <f t="shared" si="77"/>
        <v>9.8818751096833957</v>
      </c>
      <c r="AU146" s="770">
        <f t="shared" si="78"/>
        <v>7.9434127620857442</v>
      </c>
      <c r="AV146" s="770">
        <f t="shared" si="79"/>
        <v>7.1584156253880398</v>
      </c>
      <c r="AW146" s="770">
        <f t="shared" si="80"/>
        <v>6.1376612247444129</v>
      </c>
      <c r="AX146" s="770">
        <f t="shared" si="81"/>
        <v>5.7680576187102233</v>
      </c>
      <c r="AY146" s="770">
        <f t="shared" si="82"/>
        <v>4.5794687721082834</v>
      </c>
      <c r="AZ146" s="770">
        <f t="shared" si="83"/>
        <v>6.1081508791446968</v>
      </c>
      <c r="BA146" s="770"/>
      <c r="BB146" s="770">
        <f t="shared" si="84"/>
        <v>10.348646504117621</v>
      </c>
    </row>
    <row r="147" spans="1:54" x14ac:dyDescent="0.75">
      <c r="A147" s="132" t="s">
        <v>546</v>
      </c>
      <c r="B147" s="132" t="str">
        <f>VLOOKUP(A147,'HCW + Staff Summary'!B:E,4,FALSE)</f>
        <v>Low income</v>
      </c>
      <c r="C147" s="770">
        <v>14.2646231508766</v>
      </c>
      <c r="D147" s="770">
        <v>28.5155277313455</v>
      </c>
      <c r="E147" s="770">
        <v>32.170969985629199</v>
      </c>
      <c r="F147" s="770">
        <v>30.757791602505201</v>
      </c>
      <c r="G147" s="770">
        <v>16.811168677689</v>
      </c>
      <c r="H147" s="770">
        <v>15.267846793780899</v>
      </c>
      <c r="I147" s="770">
        <v>13.4770272143274</v>
      </c>
      <c r="J147" s="770">
        <v>12.7465193853808</v>
      </c>
      <c r="K147" s="770">
        <v>10.8021020834731</v>
      </c>
      <c r="L147" s="770">
        <v>7.5768869304958697</v>
      </c>
      <c r="M147" s="770">
        <v>5.7996648279731096</v>
      </c>
      <c r="N147" s="770">
        <v>3.5178214244462098</v>
      </c>
      <c r="O147" s="770">
        <v>2.2087819250421399</v>
      </c>
      <c r="P147" s="770">
        <v>2.3881413771504501</v>
      </c>
      <c r="Q147" s="770">
        <v>0.28695899360814597</v>
      </c>
      <c r="R147" s="770">
        <v>0.16339626204597099</v>
      </c>
      <c r="S147" s="770"/>
      <c r="T147" s="770">
        <v>0.10970801668476086</v>
      </c>
      <c r="U147" s="770">
        <v>9.8051539912005034E-2</v>
      </c>
      <c r="V147" s="770">
        <v>9.9994286040797672E-2</v>
      </c>
      <c r="W147" s="770">
        <v>9.0051997028741212E-2</v>
      </c>
      <c r="X147" s="770">
        <v>9.159476601337066E-2</v>
      </c>
      <c r="Y147" s="770">
        <v>8.5480829666876174E-2</v>
      </c>
      <c r="Z147" s="770">
        <v>8.6852179875435684E-2</v>
      </c>
      <c r="AA147" s="770">
        <v>7.919547454431175E-2</v>
      </c>
      <c r="AB147" s="770">
        <v>6.256785326552769E-2</v>
      </c>
      <c r="AC147" s="770">
        <v>4.7654419747443E-2</v>
      </c>
      <c r="AD147" s="770">
        <v>3.9426318496085938E-2</v>
      </c>
      <c r="AE147" s="770">
        <v>3.3998057253871207E-2</v>
      </c>
      <c r="AF147" s="770">
        <v>2.6569910290840524E-2</v>
      </c>
      <c r="AG147" s="770">
        <v>2.0455973944346038E-2</v>
      </c>
      <c r="AH147" s="770">
        <v>1.1942174732872407E-2</v>
      </c>
      <c r="AI147" s="770">
        <v>8.3423804354036905E-3</v>
      </c>
      <c r="AJ147" s="770"/>
      <c r="AK147" s="770">
        <f t="shared" si="68"/>
        <v>8.1264703699053182</v>
      </c>
      <c r="AL147" s="770">
        <f t="shared" si="69"/>
        <v>18.176364030677359</v>
      </c>
      <c r="AM147" s="770">
        <f t="shared" si="70"/>
        <v>20.108005204232022</v>
      </c>
      <c r="AN147" s="770">
        <f t="shared" si="71"/>
        <v>21.347244243156865</v>
      </c>
      <c r="AO147" s="770">
        <f t="shared" si="72"/>
        <v>11.47115810309713</v>
      </c>
      <c r="AP147" s="770">
        <f t="shared" si="73"/>
        <v>11.163209673210208</v>
      </c>
      <c r="AQ147" s="770">
        <f t="shared" si="74"/>
        <v>9.6982505459680848</v>
      </c>
      <c r="AR147" s="770">
        <f t="shared" si="75"/>
        <v>10.059381122093678</v>
      </c>
      <c r="AS147" s="770">
        <f t="shared" si="76"/>
        <v>10.790387475049242</v>
      </c>
      <c r="AT147" s="770">
        <f t="shared" si="77"/>
        <v>9.9372825367662045</v>
      </c>
      <c r="AU147" s="770">
        <f t="shared" si="78"/>
        <v>9.193834615430923</v>
      </c>
      <c r="AV147" s="770">
        <f t="shared" si="79"/>
        <v>6.4669530198774288</v>
      </c>
      <c r="AW147" s="770">
        <f t="shared" si="80"/>
        <v>5.1956844717960333</v>
      </c>
      <c r="AX147" s="770">
        <f t="shared" si="81"/>
        <v>7.296589078475912</v>
      </c>
      <c r="AY147" s="770">
        <f t="shared" si="82"/>
        <v>1.5018149961531588</v>
      </c>
      <c r="AZ147" s="770">
        <f t="shared" si="83"/>
        <v>1.2241429717750594</v>
      </c>
      <c r="BA147" s="770"/>
      <c r="BB147" s="770">
        <f t="shared" si="84"/>
        <v>10.109798278604037</v>
      </c>
    </row>
    <row r="148" spans="1:54" x14ac:dyDescent="0.75">
      <c r="A148" s="132" t="s">
        <v>211</v>
      </c>
      <c r="B148" s="132" t="str">
        <f>VLOOKUP(A148,'HCW + Staff Summary'!B:E,4,FALSE)</f>
        <v>Lower middle income</v>
      </c>
      <c r="C148" s="770">
        <v>19.350305317724501</v>
      </c>
      <c r="D148" s="770">
        <v>31.697106058726199</v>
      </c>
      <c r="E148" s="770">
        <v>31.543519316418202</v>
      </c>
      <c r="F148" s="770">
        <v>31.777088845134401</v>
      </c>
      <c r="G148" s="770">
        <v>17.761107331169899</v>
      </c>
      <c r="H148" s="770">
        <v>13.731302111472299</v>
      </c>
      <c r="I148" s="770">
        <v>10.688038602695899</v>
      </c>
      <c r="J148" s="770">
        <v>9.4357790784969708</v>
      </c>
      <c r="K148" s="770">
        <v>7.8767718894590999</v>
      </c>
      <c r="L148" s="770">
        <v>5.87591804181071</v>
      </c>
      <c r="M148" s="770">
        <v>4.3420893140196002</v>
      </c>
      <c r="N148" s="770">
        <v>2.91053598541161</v>
      </c>
      <c r="O148" s="770">
        <v>1.85926238696672</v>
      </c>
      <c r="P148" s="770">
        <v>1.22179110028017</v>
      </c>
      <c r="Q148" s="770">
        <v>0.69484146969050198</v>
      </c>
      <c r="R148" s="770">
        <v>0.409025277952279</v>
      </c>
      <c r="S148" s="770"/>
      <c r="T148" s="770">
        <v>0.14611872146118721</v>
      </c>
      <c r="U148" s="770">
        <v>0.13698630136986301</v>
      </c>
      <c r="V148" s="770">
        <v>0.13242009132420091</v>
      </c>
      <c r="W148" s="770">
        <v>0.11415525114155251</v>
      </c>
      <c r="X148" s="770">
        <v>8.5388127853881279E-2</v>
      </c>
      <c r="Y148" s="770">
        <v>6.8493150684931503E-2</v>
      </c>
      <c r="Z148" s="770">
        <v>6.4383561643835616E-2</v>
      </c>
      <c r="AA148" s="770">
        <v>5.7077625570776253E-2</v>
      </c>
      <c r="AB148" s="770">
        <v>5.0228310502283102E-2</v>
      </c>
      <c r="AC148" s="770">
        <v>3.515981735159817E-2</v>
      </c>
      <c r="AD148" s="770">
        <v>3.3333333333333333E-2</v>
      </c>
      <c r="AE148" s="770">
        <v>2.4657534246575342E-2</v>
      </c>
      <c r="AF148" s="770">
        <v>1.9634703196347032E-2</v>
      </c>
      <c r="AG148" s="770">
        <v>1.2328767123287671E-2</v>
      </c>
      <c r="AH148" s="770">
        <v>7.7625570776255707E-3</v>
      </c>
      <c r="AI148" s="770">
        <v>4.5662100456621002E-3</v>
      </c>
      <c r="AJ148" s="770"/>
      <c r="AK148" s="770">
        <f t="shared" si="68"/>
        <v>8.2767907511360672</v>
      </c>
      <c r="AL148" s="770">
        <f t="shared" si="69"/>
        <v>14.461804639293829</v>
      </c>
      <c r="AM148" s="770">
        <f t="shared" si="70"/>
        <v>14.887997263568074</v>
      </c>
      <c r="AN148" s="770">
        <f t="shared" si="71"/>
        <v>17.397956142711084</v>
      </c>
      <c r="AO148" s="770">
        <f t="shared" si="72"/>
        <v>13.000275753764065</v>
      </c>
      <c r="AP148" s="770">
        <f t="shared" si="73"/>
        <v>12.529813176718473</v>
      </c>
      <c r="AQ148" s="770">
        <f t="shared" si="74"/>
        <v>10.375356622297881</v>
      </c>
      <c r="AR148" s="770">
        <f t="shared" si="75"/>
        <v>10.332178090954184</v>
      </c>
      <c r="AS148" s="770">
        <f t="shared" si="76"/>
        <v>9.801210476088313</v>
      </c>
      <c r="AT148" s="770">
        <f t="shared" si="77"/>
        <v>10.445016648997935</v>
      </c>
      <c r="AU148" s="770">
        <f t="shared" si="78"/>
        <v>8.14141746378675</v>
      </c>
      <c r="AV148" s="770">
        <f t="shared" si="79"/>
        <v>7.3774002408002612</v>
      </c>
      <c r="AW148" s="770">
        <f t="shared" si="80"/>
        <v>5.9182916096760421</v>
      </c>
      <c r="AX148" s="770">
        <f t="shared" si="81"/>
        <v>6.1938021055869728</v>
      </c>
      <c r="AY148" s="770">
        <f t="shared" si="82"/>
        <v>5.5944956566992623</v>
      </c>
      <c r="AZ148" s="770">
        <f t="shared" si="83"/>
        <v>5.5985334919718195</v>
      </c>
      <c r="BA148" s="770"/>
      <c r="BB148" s="770">
        <f t="shared" si="84"/>
        <v>10.020771258378186</v>
      </c>
    </row>
    <row r="149" spans="1:54" x14ac:dyDescent="0.75">
      <c r="A149" s="132" t="s">
        <v>427</v>
      </c>
      <c r="B149" s="132" t="str">
        <f>VLOOKUP(A149,'HCW + Staff Summary'!B:E,4,FALSE)</f>
        <v>Upper middle income</v>
      </c>
      <c r="C149" s="770">
        <v>14.624578293539001</v>
      </c>
      <c r="D149" s="770">
        <v>29.922989438184199</v>
      </c>
      <c r="E149" s="770">
        <v>33.375548215280503</v>
      </c>
      <c r="F149" s="770">
        <v>29.96486572917</v>
      </c>
      <c r="G149" s="770">
        <v>18.9945567316752</v>
      </c>
      <c r="H149" s="770">
        <v>16.759799723579299</v>
      </c>
      <c r="I149" s="770">
        <v>14.9245553901586</v>
      </c>
      <c r="J149" s="770">
        <v>12.592954728396199</v>
      </c>
      <c r="K149" s="770">
        <v>9.80268083062405</v>
      </c>
      <c r="L149" s="770">
        <v>6.5616102459453902</v>
      </c>
      <c r="M149" s="770">
        <v>4.2613635057250097</v>
      </c>
      <c r="N149" s="770">
        <v>2.9533767417766001</v>
      </c>
      <c r="O149" s="770">
        <v>1.92640112809418</v>
      </c>
      <c r="P149" s="770">
        <v>1.28669413798096</v>
      </c>
      <c r="Q149" s="770">
        <v>0.62665125394271803</v>
      </c>
      <c r="R149" s="770">
        <v>0.351033512347669</v>
      </c>
      <c r="S149" s="770"/>
      <c r="T149" s="770">
        <v>0.10379300205821818</v>
      </c>
      <c r="U149" s="770">
        <v>0.11310398902283642</v>
      </c>
      <c r="V149" s="770">
        <v>0.11173184357541899</v>
      </c>
      <c r="W149" s="770">
        <v>0.10193080466529453</v>
      </c>
      <c r="X149" s="770">
        <v>9.2129765755170054E-2</v>
      </c>
      <c r="Y149" s="770">
        <v>8.4582965794374201E-2</v>
      </c>
      <c r="Z149" s="770">
        <v>7.6154072331667155E-2</v>
      </c>
      <c r="AA149" s="770">
        <v>6.9881407429187498E-2</v>
      </c>
      <c r="AB149" s="770">
        <v>5.939429579535431E-2</v>
      </c>
      <c r="AC149" s="770">
        <v>5.2435558169165931E-2</v>
      </c>
      <c r="AD149" s="770">
        <v>4.2438498480838971E-2</v>
      </c>
      <c r="AE149" s="770">
        <v>3.1559345290600803E-2</v>
      </c>
      <c r="AF149" s="770">
        <v>2.1268254434970105E-2</v>
      </c>
      <c r="AG149" s="770">
        <v>1.4603547976085466E-2</v>
      </c>
      <c r="AH149" s="770">
        <v>1.097716357933941E-2</v>
      </c>
      <c r="AI149" s="770">
        <v>7.742820738998334E-3</v>
      </c>
      <c r="AJ149" s="770"/>
      <c r="AK149" s="770">
        <f t="shared" si="68"/>
        <v>8.8063368938254492</v>
      </c>
      <c r="AL149" s="770">
        <f t="shared" si="69"/>
        <v>16.535109469117927</v>
      </c>
      <c r="AM149" s="770">
        <f t="shared" si="70"/>
        <v>18.669447282922533</v>
      </c>
      <c r="AN149" s="770">
        <f t="shared" si="71"/>
        <v>18.373288764105858</v>
      </c>
      <c r="AO149" s="770">
        <f t="shared" si="72"/>
        <v>12.885735527478859</v>
      </c>
      <c r="AP149" s="770">
        <f t="shared" si="73"/>
        <v>12.384142278366134</v>
      </c>
      <c r="AQ149" s="770">
        <f t="shared" si="74"/>
        <v>12.248651757222346</v>
      </c>
      <c r="AR149" s="770">
        <f t="shared" si="75"/>
        <v>11.262790769094181</v>
      </c>
      <c r="AS149" s="770">
        <f t="shared" si="76"/>
        <v>10.315259129007547</v>
      </c>
      <c r="AT149" s="770">
        <f t="shared" si="77"/>
        <v>7.8210408106753286</v>
      </c>
      <c r="AU149" s="770">
        <f t="shared" si="78"/>
        <v>6.2757927033649352</v>
      </c>
      <c r="AV149" s="770">
        <f t="shared" si="79"/>
        <v>5.8488553758436828</v>
      </c>
      <c r="AW149" s="770">
        <f t="shared" si="80"/>
        <v>5.6610226699150115</v>
      </c>
      <c r="AX149" s="770">
        <f t="shared" si="81"/>
        <v>5.5067702557968685</v>
      </c>
      <c r="AY149" s="770">
        <f t="shared" si="82"/>
        <v>3.5679256383803306</v>
      </c>
      <c r="AZ149" s="770">
        <f t="shared" si="83"/>
        <v>2.8335402899392932</v>
      </c>
      <c r="BA149" s="770"/>
      <c r="BB149" s="770">
        <f t="shared" si="84"/>
        <v>9.9372318509410196</v>
      </c>
    </row>
    <row r="150" spans="1:54" x14ac:dyDescent="0.75">
      <c r="A150" s="132" t="s">
        <v>556</v>
      </c>
      <c r="B150" s="132" t="str">
        <f>VLOOKUP(A150,'HCW + Staff Summary'!B:E,4,FALSE)</f>
        <v>High income</v>
      </c>
      <c r="C150" s="770">
        <v>5.9561240310945696</v>
      </c>
      <c r="D150" s="770">
        <v>11.760182891308601</v>
      </c>
      <c r="E150" s="770">
        <v>12.2348732847699</v>
      </c>
      <c r="F150" s="770">
        <v>17.151709011378799</v>
      </c>
      <c r="G150" s="770">
        <v>12.146839509111199</v>
      </c>
      <c r="H150" s="770">
        <v>12.9492111206437</v>
      </c>
      <c r="I150" s="770">
        <v>12.648714841037901</v>
      </c>
      <c r="J150" s="770">
        <v>14.9997464663861</v>
      </c>
      <c r="K150" s="770">
        <v>14.783264380894201</v>
      </c>
      <c r="L150" s="770">
        <v>12.576700141158</v>
      </c>
      <c r="M150" s="770">
        <v>8.67934432056561</v>
      </c>
      <c r="N150" s="770">
        <v>6.4438851115008502</v>
      </c>
      <c r="O150" s="770">
        <v>4.2277857186221599</v>
      </c>
      <c r="P150" s="770">
        <v>2.5277905210763301</v>
      </c>
      <c r="Q150" s="770">
        <v>1.6911824526438199</v>
      </c>
      <c r="R150" s="770">
        <v>1.5939651633523699</v>
      </c>
      <c r="S150" s="770"/>
      <c r="T150" s="770">
        <v>5.7806735689634653E-2</v>
      </c>
      <c r="U150" s="770">
        <v>6.0677734142568128E-2</v>
      </c>
      <c r="V150" s="770">
        <v>5.8282756158514817E-2</v>
      </c>
      <c r="W150" s="770">
        <v>5.4296084731643462E-2</v>
      </c>
      <c r="X150" s="770">
        <v>6.0008330358205401E-2</v>
      </c>
      <c r="Y150" s="770">
        <v>6.6047840057122456E-2</v>
      </c>
      <c r="Z150" s="770">
        <v>6.933535642032608E-2</v>
      </c>
      <c r="AA150" s="770">
        <v>6.759490658098298E-2</v>
      </c>
      <c r="AB150" s="770">
        <v>6.3459478757586577E-2</v>
      </c>
      <c r="AC150" s="770">
        <v>6.3295846721409019E-2</v>
      </c>
      <c r="AD150" s="770">
        <v>6.8264310365345707E-2</v>
      </c>
      <c r="AE150" s="770">
        <v>6.6866000238010231E-2</v>
      </c>
      <c r="AF150" s="770">
        <v>5.7524098536237057E-2</v>
      </c>
      <c r="AG150" s="770">
        <v>4.9803641556586932E-2</v>
      </c>
      <c r="AH150" s="770">
        <v>4.9922646673806977E-2</v>
      </c>
      <c r="AI150" s="770">
        <v>3.5969296679757227E-2</v>
      </c>
      <c r="AJ150" s="770"/>
      <c r="AK150" s="770">
        <f t="shared" si="68"/>
        <v>6.4396950892032514</v>
      </c>
      <c r="AL150" s="770">
        <f t="shared" si="69"/>
        <v>12.113363181621253</v>
      </c>
      <c r="AM150" s="770">
        <f t="shared" si="70"/>
        <v>13.120168480337094</v>
      </c>
      <c r="AN150" s="770">
        <f t="shared" si="71"/>
        <v>19.743261756522745</v>
      </c>
      <c r="AO150" s="770">
        <f t="shared" si="72"/>
        <v>12.651201338009594</v>
      </c>
      <c r="AP150" s="770">
        <f t="shared" si="73"/>
        <v>12.253628496257772</v>
      </c>
      <c r="AQ150" s="770">
        <f t="shared" si="74"/>
        <v>11.401754002278638</v>
      </c>
      <c r="AR150" s="770">
        <f t="shared" si="75"/>
        <v>13.869153780484419</v>
      </c>
      <c r="AS150" s="770">
        <f t="shared" si="76"/>
        <v>14.559748076963663</v>
      </c>
      <c r="AT150" s="770">
        <f t="shared" si="77"/>
        <v>12.418567718701606</v>
      </c>
      <c r="AU150" s="770">
        <f t="shared" si="78"/>
        <v>7.9464513320672072</v>
      </c>
      <c r="AV150" s="770">
        <f t="shared" si="79"/>
        <v>6.023133102551907</v>
      </c>
      <c r="AW150" s="770">
        <f t="shared" si="80"/>
        <v>4.5934941031267149</v>
      </c>
      <c r="AX150" s="770">
        <f t="shared" si="81"/>
        <v>3.1721959003292119</v>
      </c>
      <c r="AY150" s="770">
        <f t="shared" si="82"/>
        <v>2.1172535979687153</v>
      </c>
      <c r="AZ150" s="770">
        <f t="shared" si="83"/>
        <v>2.7696627931451543</v>
      </c>
      <c r="BA150" s="770"/>
      <c r="BB150" s="770">
        <f t="shared" si="84"/>
        <v>9.6995457968480583</v>
      </c>
    </row>
    <row r="151" spans="1:54" x14ac:dyDescent="0.75">
      <c r="A151" s="132" t="s">
        <v>254</v>
      </c>
      <c r="B151" s="132" t="str">
        <f>VLOOKUP(A151,'HCW + Staff Summary'!B:E,4,FALSE)</f>
        <v>Upper middle income</v>
      </c>
      <c r="C151" s="770">
        <v>13.8932068867948</v>
      </c>
      <c r="D151" s="770">
        <v>28.2639879834908</v>
      </c>
      <c r="E151" s="770">
        <v>31.699471463281</v>
      </c>
      <c r="F151" s="770">
        <v>28.702586996286499</v>
      </c>
      <c r="G151" s="770">
        <v>13.4243757108155</v>
      </c>
      <c r="H151" s="770">
        <v>12.0780038013077</v>
      </c>
      <c r="I151" s="770">
        <v>11.3184072704885</v>
      </c>
      <c r="J151" s="770">
        <v>11.3136646160475</v>
      </c>
      <c r="K151" s="770">
        <v>9.9828763480165694</v>
      </c>
      <c r="L151" s="770">
        <v>7.2494739394194303</v>
      </c>
      <c r="M151" s="770">
        <v>5.2413727359445499</v>
      </c>
      <c r="N151" s="770">
        <v>3.48792166372123</v>
      </c>
      <c r="O151" s="770">
        <v>2.0250873269270002</v>
      </c>
      <c r="P151" s="770">
        <v>1.5789969810511499</v>
      </c>
      <c r="Q151" s="770">
        <v>0.89963546029202401</v>
      </c>
      <c r="R151" s="770">
        <v>0.82177372859739894</v>
      </c>
      <c r="S151" s="770"/>
      <c r="T151" s="770">
        <v>0.13636363636363635</v>
      </c>
      <c r="U151" s="770">
        <v>0.12626262626262627</v>
      </c>
      <c r="V151" s="770">
        <v>0.11616161616161616</v>
      </c>
      <c r="W151" s="770">
        <v>9.7474747474747478E-2</v>
      </c>
      <c r="X151" s="770">
        <v>8.3838383838383837E-2</v>
      </c>
      <c r="Y151" s="770">
        <v>7.4747474747474743E-2</v>
      </c>
      <c r="Z151" s="770">
        <v>5.909090909090909E-2</v>
      </c>
      <c r="AA151" s="770">
        <v>5.2525252525252523E-2</v>
      </c>
      <c r="AB151" s="770">
        <v>0.05</v>
      </c>
      <c r="AC151" s="770">
        <v>4.8989898989898993E-2</v>
      </c>
      <c r="AD151" s="770">
        <v>4.4949494949494948E-2</v>
      </c>
      <c r="AE151" s="770">
        <v>3.787878787878788E-2</v>
      </c>
      <c r="AF151" s="770">
        <v>2.9797979797979799E-2</v>
      </c>
      <c r="AG151" s="770">
        <v>2.0707070707070709E-2</v>
      </c>
      <c r="AH151" s="770">
        <v>1.3636363636363636E-2</v>
      </c>
      <c r="AI151" s="770">
        <v>9.0909090909090905E-3</v>
      </c>
      <c r="AJ151" s="770"/>
      <c r="AK151" s="770">
        <f t="shared" si="68"/>
        <v>6.3677198231142844</v>
      </c>
      <c r="AL151" s="770">
        <f t="shared" si="69"/>
        <v>13.990674051827945</v>
      </c>
      <c r="AM151" s="770">
        <f t="shared" si="70"/>
        <v>17.055693885134886</v>
      </c>
      <c r="AN151" s="770">
        <f t="shared" si="71"/>
        <v>18.40386083311116</v>
      </c>
      <c r="AO151" s="770">
        <f t="shared" si="72"/>
        <v>10.007629483213362</v>
      </c>
      <c r="AP151" s="770">
        <f t="shared" si="73"/>
        <v>10.099006556836676</v>
      </c>
      <c r="AQ151" s="770">
        <f t="shared" si="74"/>
        <v>11.971392305324375</v>
      </c>
      <c r="AR151" s="770">
        <f t="shared" si="75"/>
        <v>13.462173040729597</v>
      </c>
      <c r="AS151" s="770">
        <f t="shared" si="76"/>
        <v>12.478595435020711</v>
      </c>
      <c r="AT151" s="770">
        <f t="shared" si="77"/>
        <v>9.248684536114995</v>
      </c>
      <c r="AU151" s="770">
        <f t="shared" si="78"/>
        <v>7.2878637761026752</v>
      </c>
      <c r="AV151" s="770">
        <f t="shared" si="79"/>
        <v>5.7550707451400296</v>
      </c>
      <c r="AW151" s="770">
        <f t="shared" si="80"/>
        <v>4.2475348594443432</v>
      </c>
      <c r="AX151" s="770">
        <f t="shared" si="81"/>
        <v>4.7658750342702385</v>
      </c>
      <c r="AY151" s="770">
        <f t="shared" si="82"/>
        <v>4.1233291930051106</v>
      </c>
      <c r="AZ151" s="770">
        <f t="shared" si="83"/>
        <v>5.6496943841071179</v>
      </c>
      <c r="BA151" s="770"/>
      <c r="BB151" s="770">
        <f t="shared" si="84"/>
        <v>9.682174871406092</v>
      </c>
    </row>
    <row r="152" spans="1:54" x14ac:dyDescent="0.75">
      <c r="A152" s="132" t="s">
        <v>400</v>
      </c>
      <c r="B152" s="132" t="str">
        <f>VLOOKUP(A152,'HCW + Staff Summary'!B:E,4,FALSE)</f>
        <v>High income</v>
      </c>
      <c r="C152" s="770">
        <v>4.29463760877809</v>
      </c>
      <c r="D152" s="770">
        <v>4.9269678517589499</v>
      </c>
      <c r="E152" s="770">
        <v>7.1555465660856097</v>
      </c>
      <c r="F152" s="770">
        <v>13.335886348699299</v>
      </c>
      <c r="G152" s="770">
        <v>9.6976461716319005</v>
      </c>
      <c r="H152" s="770">
        <v>8.2875088707332694</v>
      </c>
      <c r="I152" s="770">
        <v>9.3999453406344706</v>
      </c>
      <c r="J152" s="770">
        <v>11.440602895635999</v>
      </c>
      <c r="K152" s="770">
        <v>11.9121203099066</v>
      </c>
      <c r="L152" s="770">
        <v>9.6476697856188594</v>
      </c>
      <c r="M152" s="770">
        <v>7.6003127117375104</v>
      </c>
      <c r="N152" s="770">
        <v>4.9953009667800199</v>
      </c>
      <c r="O152" s="770">
        <v>3.7404461454150701</v>
      </c>
      <c r="P152" s="770">
        <v>3.2704424279479101</v>
      </c>
      <c r="Q152" s="770">
        <v>2.3413985373428399</v>
      </c>
      <c r="R152" s="770">
        <v>0.91648236175297104</v>
      </c>
      <c r="S152" s="770"/>
      <c r="T152" s="770">
        <v>4.8440939548610271E-2</v>
      </c>
      <c r="U152" s="770">
        <v>4.5610682406444281E-2</v>
      </c>
      <c r="V152" s="770">
        <v>4.5489731246522655E-2</v>
      </c>
      <c r="W152" s="770">
        <v>4.9166646508140011E-2</v>
      </c>
      <c r="X152" s="770">
        <v>5.4343356152785502E-2</v>
      </c>
      <c r="Y152" s="770">
        <v>5.7584847238685018E-2</v>
      </c>
      <c r="Z152" s="770">
        <v>6.49507728779119E-2</v>
      </c>
      <c r="AA152" s="770">
        <v>6.481772660199811E-2</v>
      </c>
      <c r="AB152" s="770">
        <v>6.0390914148866687E-2</v>
      </c>
      <c r="AC152" s="770">
        <v>6.1866518299910495E-2</v>
      </c>
      <c r="AD152" s="770">
        <v>7.974309973632647E-2</v>
      </c>
      <c r="AE152" s="770">
        <v>8.1242894119354606E-2</v>
      </c>
      <c r="AF152" s="770">
        <v>6.9474346258980621E-2</v>
      </c>
      <c r="AG152" s="770">
        <v>5.7572752122692854E-2</v>
      </c>
      <c r="AH152" s="770">
        <v>4.5755823798350227E-2</v>
      </c>
      <c r="AI152" s="770">
        <v>4.3409371295870726E-2</v>
      </c>
      <c r="AJ152" s="770"/>
      <c r="AK152" s="770">
        <f t="shared" si="68"/>
        <v>5.5410744104019187</v>
      </c>
      <c r="AL152" s="770">
        <f t="shared" si="69"/>
        <v>6.7513896852248481</v>
      </c>
      <c r="AM152" s="770">
        <f t="shared" si="70"/>
        <v>9.8312662687919765</v>
      </c>
      <c r="AN152" s="770">
        <f t="shared" si="71"/>
        <v>16.952404851441585</v>
      </c>
      <c r="AO152" s="770">
        <f t="shared" si="72"/>
        <v>11.153210413117382</v>
      </c>
      <c r="AP152" s="770">
        <f t="shared" si="73"/>
        <v>8.99488892058503</v>
      </c>
      <c r="AQ152" s="770">
        <f t="shared" si="74"/>
        <v>9.0452593211473094</v>
      </c>
      <c r="AR152" s="770">
        <f t="shared" si="75"/>
        <v>11.031514347422481</v>
      </c>
      <c r="AS152" s="770">
        <f t="shared" si="76"/>
        <v>12.32813793038326</v>
      </c>
      <c r="AT152" s="770">
        <f t="shared" si="77"/>
        <v>9.7464570202272256</v>
      </c>
      <c r="AU152" s="770">
        <f t="shared" si="78"/>
        <v>5.956873335175886</v>
      </c>
      <c r="AV152" s="770">
        <f t="shared" si="79"/>
        <v>3.8428752915311755</v>
      </c>
      <c r="AW152" s="770">
        <f t="shared" si="80"/>
        <v>3.364952628945717</v>
      </c>
      <c r="AX152" s="770">
        <f t="shared" si="81"/>
        <v>3.5503366472935571</v>
      </c>
      <c r="AY152" s="770">
        <f t="shared" si="82"/>
        <v>3.1982247599529359</v>
      </c>
      <c r="AZ152" s="770">
        <f t="shared" si="83"/>
        <v>1.3195341443475226</v>
      </c>
      <c r="BA152" s="770"/>
      <c r="BB152" s="770">
        <f t="shared" si="84"/>
        <v>7.6630249984993641</v>
      </c>
    </row>
  </sheetData>
  <mergeCells count="4">
    <mergeCell ref="C2:R2"/>
    <mergeCell ref="AK2:AZ2"/>
    <mergeCell ref="T2:AI2"/>
    <mergeCell ref="A1:R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theme="2" tint="-0.499984740745262"/>
  </sheetPr>
  <dimension ref="A3:AH40"/>
  <sheetViews>
    <sheetView showGridLines="0" topLeftCell="A7" workbookViewId="0">
      <selection activeCell="N16" sqref="N16"/>
    </sheetView>
  </sheetViews>
  <sheetFormatPr defaultColWidth="8.86328125" defaultRowHeight="14.75" x14ac:dyDescent="0.75"/>
  <cols>
    <col min="1" max="1" width="3.40625" customWidth="1"/>
    <col min="2" max="2" width="24.40625" bestFit="1" customWidth="1"/>
    <col min="3" max="3" width="11.40625" bestFit="1" customWidth="1"/>
  </cols>
  <sheetData>
    <row r="3" spans="1:34" s="19" customFormat="1" ht="18.5" x14ac:dyDescent="0.9">
      <c r="B3" s="19" t="s">
        <v>623</v>
      </c>
    </row>
    <row r="4" spans="1:34" s="43" customFormat="1" x14ac:dyDescent="0.75"/>
    <row r="5" spans="1:34" s="43" customFormat="1" x14ac:dyDescent="0.75">
      <c r="A5" s="14"/>
      <c r="B5" s="13" t="s">
        <v>278</v>
      </c>
      <c r="C5" s="13"/>
      <c r="D5" s="13"/>
      <c r="E5" s="13"/>
      <c r="F5" s="13"/>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43" customFormat="1" x14ac:dyDescent="0.75">
      <c r="B6" s="43" t="s">
        <v>279</v>
      </c>
      <c r="G6" s="10"/>
      <c r="H6" s="34"/>
    </row>
    <row r="7" spans="1:34" s="43" customFormat="1" x14ac:dyDescent="0.75">
      <c r="B7" s="43" t="s">
        <v>280</v>
      </c>
      <c r="G7" s="11"/>
      <c r="H7" s="34"/>
    </row>
    <row r="8" spans="1:34" s="43" customFormat="1" x14ac:dyDescent="0.75">
      <c r="B8" s="5" t="s">
        <v>281</v>
      </c>
      <c r="C8" s="5"/>
      <c r="D8" s="5"/>
      <c r="E8" s="5"/>
      <c r="F8" s="5"/>
      <c r="G8" s="12"/>
      <c r="H8" s="34"/>
      <c r="Q8" s="34"/>
      <c r="R8" s="34"/>
      <c r="S8" s="34"/>
      <c r="T8" s="34"/>
      <c r="U8" s="34"/>
      <c r="V8" s="34"/>
      <c r="W8" s="34"/>
      <c r="X8" s="34"/>
      <c r="Y8" s="34"/>
      <c r="Z8" s="34"/>
      <c r="AA8" s="34"/>
      <c r="AB8" s="34"/>
      <c r="AC8" s="34"/>
      <c r="AD8" s="34"/>
      <c r="AE8" s="34"/>
      <c r="AF8" s="34"/>
      <c r="AG8" s="34"/>
      <c r="AH8" s="34"/>
    </row>
    <row r="9" spans="1:34" s="43" customFormat="1" x14ac:dyDescent="0.75">
      <c r="B9" s="5"/>
      <c r="C9" s="5"/>
      <c r="D9" s="5"/>
      <c r="E9" s="5"/>
      <c r="F9" s="5"/>
      <c r="G9" s="6"/>
      <c r="H9" s="34"/>
      <c r="Q9" s="34"/>
      <c r="R9" s="34"/>
      <c r="S9" s="34"/>
      <c r="T9" s="34"/>
      <c r="U9" s="34"/>
      <c r="V9" s="34"/>
      <c r="W9" s="34"/>
      <c r="X9" s="34"/>
      <c r="Y9" s="34"/>
      <c r="Z9" s="34"/>
      <c r="AA9" s="34"/>
      <c r="AB9" s="34"/>
      <c r="AC9" s="34"/>
      <c r="AD9" s="34"/>
      <c r="AE9" s="34"/>
      <c r="AF9" s="34"/>
      <c r="AG9" s="34"/>
      <c r="AH9" s="34"/>
    </row>
    <row r="10" spans="1:34" s="39" customFormat="1" x14ac:dyDescent="0.75">
      <c r="B10" s="39" t="s">
        <v>618</v>
      </c>
      <c r="C10" s="39" t="s">
        <v>619</v>
      </c>
    </row>
    <row r="11" spans="1:34" x14ac:dyDescent="0.75">
      <c r="B11" s="132" t="s">
        <v>1033</v>
      </c>
      <c r="C11" s="132" t="s">
        <v>1034</v>
      </c>
    </row>
    <row r="12" spans="1:34" x14ac:dyDescent="0.75">
      <c r="B12" s="44" t="str">
        <f>'Back Calculations'!B93</f>
        <v>Very fast</v>
      </c>
      <c r="C12" t="s">
        <v>585</v>
      </c>
    </row>
    <row r="13" spans="1:34" x14ac:dyDescent="0.75">
      <c r="B13" s="44" t="str">
        <f>'Back Calculations'!B92</f>
        <v>Fast</v>
      </c>
      <c r="C13" t="s">
        <v>586</v>
      </c>
    </row>
    <row r="14" spans="1:34" x14ac:dyDescent="0.75">
      <c r="B14" s="44" t="str">
        <f>'Back Calculations'!B91</f>
        <v>Medium</v>
      </c>
      <c r="C14" t="s">
        <v>587</v>
      </c>
    </row>
    <row r="15" spans="1:34" s="132" customFormat="1" x14ac:dyDescent="0.75">
      <c r="B15" s="44" t="str">
        <f>'Back Calculations'!B90</f>
        <v>Slow</v>
      </c>
      <c r="L15"/>
    </row>
    <row r="16" spans="1:34" s="132" customFormat="1" x14ac:dyDescent="0.75">
      <c r="B16" s="44" t="str">
        <f>'Back Calculations'!B89</f>
        <v>Very slow</v>
      </c>
      <c r="L16"/>
    </row>
    <row r="17" spans="2:3" x14ac:dyDescent="0.75">
      <c r="B17" s="44" t="s">
        <v>607</v>
      </c>
      <c r="C17" t="s">
        <v>608</v>
      </c>
    </row>
    <row r="19" spans="2:3" s="39" customFormat="1" x14ac:dyDescent="0.75">
      <c r="B19" s="39" t="s">
        <v>620</v>
      </c>
      <c r="C19" s="39" t="s">
        <v>619</v>
      </c>
    </row>
    <row r="20" spans="2:3" x14ac:dyDescent="0.75">
      <c r="B20" s="132" t="s">
        <v>1033</v>
      </c>
      <c r="C20" s="132" t="s">
        <v>1034</v>
      </c>
    </row>
    <row r="21" spans="2:3" x14ac:dyDescent="0.75">
      <c r="B21" s="44" t="s">
        <v>830</v>
      </c>
      <c r="C21" t="s">
        <v>621</v>
      </c>
    </row>
    <row r="22" spans="2:3" x14ac:dyDescent="0.75">
      <c r="B22" s="44" t="s">
        <v>831</v>
      </c>
    </row>
    <row r="24" spans="2:3" s="39" customFormat="1" x14ac:dyDescent="0.75">
      <c r="B24" s="39" t="s">
        <v>622</v>
      </c>
      <c r="C24" s="39" t="s">
        <v>619</v>
      </c>
    </row>
    <row r="25" spans="2:3" x14ac:dyDescent="0.75">
      <c r="B25" t="s">
        <v>1033</v>
      </c>
      <c r="C25" t="s">
        <v>1034</v>
      </c>
    </row>
    <row r="26" spans="2:3" x14ac:dyDescent="0.75">
      <c r="B26" s="44" t="s">
        <v>617</v>
      </c>
      <c r="C26" t="str">
        <f>INDEX('Back Calculations'!$E$102:$E$105,MATCH($B26,'Back Calculations'!$B$102:$B$105,0))</f>
        <v>Based on China, low</v>
      </c>
    </row>
    <row r="27" spans="2:3" x14ac:dyDescent="0.75">
      <c r="B27" s="44" t="s">
        <v>578</v>
      </c>
      <c r="C27" s="43" t="str">
        <f>INDEX('Back Calculations'!$E$102:$E$105,MATCH($B27,'Back Calculations'!$B$102:$B$105,0))</f>
        <v>Based on China, high</v>
      </c>
    </row>
    <row r="28" spans="2:3" x14ac:dyDescent="0.75">
      <c r="B28" s="44" t="s">
        <v>579</v>
      </c>
      <c r="C28" s="43" t="str">
        <f>INDEX('Back Calculations'!$E$102:$E$105,MATCH($B28,'Back Calculations'!$B$102:$B$105,0))</f>
        <v>Based on academic modelling groups</v>
      </c>
    </row>
    <row r="29" spans="2:3" x14ac:dyDescent="0.75">
      <c r="B29" s="44" t="s">
        <v>577</v>
      </c>
      <c r="C29" s="43" t="str">
        <f>INDEX('Back Calculations'!$E$102:$E$105,MATCH($B29,'Back Calculations'!$B$102:$B$105,0))</f>
        <v>Based on academic modelling groups</v>
      </c>
    </row>
    <row r="30" spans="2:3" s="43" customFormat="1" x14ac:dyDescent="0.75">
      <c r="B30" s="44" t="s">
        <v>695</v>
      </c>
    </row>
    <row r="32" spans="2:3" s="39" customFormat="1" x14ac:dyDescent="0.75">
      <c r="B32" s="39" t="s">
        <v>696</v>
      </c>
      <c r="C32" s="39" t="s">
        <v>619</v>
      </c>
    </row>
    <row r="33" spans="2:3" x14ac:dyDescent="0.75">
      <c r="B33" s="44" t="s">
        <v>697</v>
      </c>
    </row>
    <row r="34" spans="2:3" x14ac:dyDescent="0.75">
      <c r="B34" s="44" t="s">
        <v>1014</v>
      </c>
    </row>
    <row r="35" spans="2:3" x14ac:dyDescent="0.75">
      <c r="B35" s="44" t="s">
        <v>698</v>
      </c>
    </row>
    <row r="37" spans="2:3" s="39" customFormat="1" x14ac:dyDescent="0.75">
      <c r="B37" s="39" t="s">
        <v>1398</v>
      </c>
      <c r="C37" s="39" t="s">
        <v>619</v>
      </c>
    </row>
    <row r="38" spans="2:3" x14ac:dyDescent="0.75">
      <c r="B38" s="44" t="s">
        <v>1065</v>
      </c>
    </row>
    <row r="39" spans="2:3" x14ac:dyDescent="0.75">
      <c r="B39" s="44" t="s">
        <v>963</v>
      </c>
    </row>
    <row r="40" spans="2:3" x14ac:dyDescent="0.75">
      <c r="B40" s="44" t="s">
        <v>964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2" tint="-0.499984740745262"/>
  </sheetPr>
  <dimension ref="A1:M83"/>
  <sheetViews>
    <sheetView showGridLines="0" topLeftCell="A2" zoomScale="70" zoomScaleNormal="70" workbookViewId="0">
      <pane xSplit="5" ySplit="9" topLeftCell="F11" activePane="bottomRight" state="frozen"/>
      <selection activeCell="B6" sqref="B6"/>
      <selection pane="topRight" activeCell="B6" sqref="B6"/>
      <selection pane="bottomLeft" activeCell="B6" sqref="B6"/>
      <selection pane="bottomRight" activeCell="O5" sqref="O5"/>
    </sheetView>
  </sheetViews>
  <sheetFormatPr defaultColWidth="12.40625" defaultRowHeight="16" x14ac:dyDescent="0.8"/>
  <cols>
    <col min="1" max="1" width="3" style="455" customWidth="1"/>
    <col min="2" max="2" width="15.40625" style="457" customWidth="1"/>
    <col min="3" max="3" width="56.40625" style="455" bestFit="1" customWidth="1"/>
    <col min="4" max="4" width="12.40625" style="455" customWidth="1"/>
    <col min="5" max="5" width="18.40625" style="456" customWidth="1"/>
    <col min="6" max="12" width="11.40625" style="455" customWidth="1"/>
    <col min="13" max="13" width="15.40625" style="455" bestFit="1" customWidth="1"/>
    <col min="14" max="16384" width="12.40625" style="455"/>
  </cols>
  <sheetData>
    <row r="1" spans="2:13" s="531" customFormat="1" ht="31.25" x14ac:dyDescent="1.45">
      <c r="B1" s="533" t="s">
        <v>1260</v>
      </c>
      <c r="E1" s="532"/>
    </row>
    <row r="2" spans="2:13" ht="19.399999999999999" customHeight="1" x14ac:dyDescent="0.9">
      <c r="B2" s="530"/>
    </row>
    <row r="3" spans="2:13" ht="40.4" customHeight="1" x14ac:dyDescent="0.7">
      <c r="B3" s="1364" t="s">
        <v>1259</v>
      </c>
      <c r="C3" s="1365"/>
      <c r="D3" s="1365"/>
      <c r="E3" s="1365"/>
      <c r="F3" s="1365"/>
      <c r="G3" s="1365"/>
      <c r="H3" s="1365"/>
      <c r="I3" s="1365"/>
      <c r="J3" s="1366"/>
      <c r="K3" s="529"/>
      <c r="L3" s="529"/>
      <c r="M3" s="529"/>
    </row>
    <row r="4" spans="2:13" ht="16.75" thickBot="1" x14ac:dyDescent="0.95"/>
    <row r="5" spans="2:13" ht="16.75" thickBot="1" x14ac:dyDescent="0.95">
      <c r="C5" s="528" t="s">
        <v>1258</v>
      </c>
      <c r="D5" s="527"/>
      <c r="E5" s="526" t="s">
        <v>1257</v>
      </c>
      <c r="F5" s="525"/>
      <c r="G5" s="525"/>
      <c r="H5" s="525"/>
      <c r="I5" s="525"/>
      <c r="J5" s="524"/>
      <c r="K5" s="524"/>
      <c r="L5" s="524"/>
      <c r="M5" s="523"/>
    </row>
    <row r="7" spans="2:13" ht="16.75" thickBot="1" x14ac:dyDescent="0.95"/>
    <row r="8" spans="2:13" ht="16.75" thickBot="1" x14ac:dyDescent="0.95">
      <c r="F8" s="522" t="s">
        <v>1256</v>
      </c>
      <c r="G8" s="521"/>
      <c r="H8" s="521"/>
      <c r="I8" s="521"/>
      <c r="J8" s="521"/>
      <c r="K8" s="521"/>
      <c r="L8" s="520"/>
      <c r="M8" s="519" t="s">
        <v>1255</v>
      </c>
    </row>
    <row r="9" spans="2:13" s="454" customFormat="1" ht="29.25" customHeight="1" thickBot="1" x14ac:dyDescent="0.95">
      <c r="B9" s="518"/>
      <c r="E9" s="517"/>
      <c r="F9" s="516">
        <v>1</v>
      </c>
      <c r="G9" s="515">
        <v>2</v>
      </c>
      <c r="H9" s="515">
        <v>3</v>
      </c>
      <c r="I9" s="514">
        <v>4</v>
      </c>
      <c r="J9" s="516">
        <v>5</v>
      </c>
      <c r="K9" s="515">
        <v>6</v>
      </c>
      <c r="L9" s="514">
        <v>7</v>
      </c>
      <c r="M9" s="513"/>
    </row>
    <row r="10" spans="2:13" s="505" customFormat="1" ht="46.4" customHeight="1" thickBot="1" x14ac:dyDescent="0.9">
      <c r="B10" s="512" t="s">
        <v>1254</v>
      </c>
      <c r="C10" s="511" t="s">
        <v>1253</v>
      </c>
      <c r="D10" s="511" t="s">
        <v>1252</v>
      </c>
      <c r="E10" s="510" t="s">
        <v>1251</v>
      </c>
      <c r="F10" s="509" t="s">
        <v>1250</v>
      </c>
      <c r="G10" s="508" t="s">
        <v>1249</v>
      </c>
      <c r="H10" s="508" t="s">
        <v>1248</v>
      </c>
      <c r="I10" s="507" t="s">
        <v>1247</v>
      </c>
      <c r="J10" s="509" t="s">
        <v>1246</v>
      </c>
      <c r="K10" s="508" t="s">
        <v>1245</v>
      </c>
      <c r="L10" s="507" t="s">
        <v>1245</v>
      </c>
      <c r="M10" s="506"/>
    </row>
    <row r="11" spans="2:13" x14ac:dyDescent="0.8">
      <c r="B11" s="504">
        <v>1</v>
      </c>
      <c r="C11" s="503" t="s">
        <v>1244</v>
      </c>
      <c r="D11" s="502" t="s">
        <v>1243</v>
      </c>
      <c r="E11" s="501" t="s">
        <v>1242</v>
      </c>
      <c r="F11" s="473"/>
      <c r="G11" s="471"/>
      <c r="H11" s="471"/>
      <c r="I11" s="471"/>
      <c r="J11" s="472"/>
      <c r="K11" s="483"/>
      <c r="L11" s="482"/>
      <c r="M11" s="461" t="str">
        <f>IFERROR(INDEX('Staffing from HRH tool'!$D$41:$D$64,MATCH(_xlfn.NUMBERVALUE(RIGHT(E11,4)),'Staffing from HRH tool'!$A$41:$A$64,0)),"")</f>
        <v>HCW</v>
      </c>
    </row>
    <row r="12" spans="2:13" x14ac:dyDescent="0.8">
      <c r="B12" s="477">
        <v>2</v>
      </c>
      <c r="C12" s="480" t="s">
        <v>1241</v>
      </c>
      <c r="D12" s="475" t="s">
        <v>1240</v>
      </c>
      <c r="E12" s="474">
        <v>2212</v>
      </c>
      <c r="F12" s="473"/>
      <c r="G12" s="471"/>
      <c r="H12" s="471"/>
      <c r="I12" s="484">
        <v>3.0625</v>
      </c>
      <c r="J12" s="472"/>
      <c r="K12" s="483"/>
      <c r="L12" s="482"/>
      <c r="M12" s="461" t="str">
        <f>IFERROR(INDEX('Staffing from HRH tool'!$D$41:$D$64,MATCH(_xlfn.NUMBERVALUE(RIGHT(E12,4)),'Staffing from HRH tool'!$A$41:$A$64,0)),"")</f>
        <v>HCW</v>
      </c>
    </row>
    <row r="13" spans="2:13" x14ac:dyDescent="0.8">
      <c r="B13" s="477">
        <v>3</v>
      </c>
      <c r="C13" s="480" t="s">
        <v>1239</v>
      </c>
      <c r="D13" s="475" t="s">
        <v>1238</v>
      </c>
      <c r="E13" s="474">
        <v>2212</v>
      </c>
      <c r="F13" s="473"/>
      <c r="G13" s="471"/>
      <c r="H13" s="471"/>
      <c r="I13" s="484">
        <v>0.18</v>
      </c>
      <c r="J13" s="472"/>
      <c r="K13" s="483"/>
      <c r="L13" s="482"/>
      <c r="M13" s="461" t="str">
        <f>IFERROR(INDEX('Staffing from HRH tool'!$D$41:$D$64,MATCH(_xlfn.NUMBERVALUE(RIGHT(E13,4)),'Staffing from HRH tool'!$A$41:$A$64,0)),"")</f>
        <v>HCW</v>
      </c>
    </row>
    <row r="14" spans="2:13" x14ac:dyDescent="0.8">
      <c r="B14" s="477">
        <v>4</v>
      </c>
      <c r="C14" s="480" t="s">
        <v>1237</v>
      </c>
      <c r="D14" s="475" t="s">
        <v>1236</v>
      </c>
      <c r="E14" s="474">
        <v>2212</v>
      </c>
      <c r="F14" s="473"/>
      <c r="G14" s="471"/>
      <c r="H14" s="471"/>
      <c r="I14" s="484">
        <v>0.15</v>
      </c>
      <c r="J14" s="472"/>
      <c r="K14" s="483"/>
      <c r="L14" s="482"/>
      <c r="M14" s="461" t="str">
        <f>IFERROR(INDEX('Staffing from HRH tool'!$D$41:$D$64,MATCH(_xlfn.NUMBERVALUE(RIGHT(E14,4)),'Staffing from HRH tool'!$A$41:$A$64,0)),"")</f>
        <v>HCW</v>
      </c>
    </row>
    <row r="15" spans="2:13" x14ac:dyDescent="0.8">
      <c r="B15" s="477">
        <v>5</v>
      </c>
      <c r="C15" s="480" t="s">
        <v>1235</v>
      </c>
      <c r="D15" s="475" t="s">
        <v>1234</v>
      </c>
      <c r="E15" s="485">
        <v>2212</v>
      </c>
      <c r="F15" s="473"/>
      <c r="G15" s="471"/>
      <c r="H15" s="471"/>
      <c r="I15" s="484">
        <v>0.12125</v>
      </c>
      <c r="J15" s="472"/>
      <c r="K15" s="483"/>
      <c r="L15" s="482"/>
      <c r="M15" s="461" t="str">
        <f>IFERROR(INDEX('Staffing from HRH tool'!$D$41:$D$64,MATCH(_xlfn.NUMBERVALUE(RIGHT(E15,4)),'Staffing from HRH tool'!$A$41:$A$64,0)),"")</f>
        <v>HCW</v>
      </c>
    </row>
    <row r="16" spans="2:13" x14ac:dyDescent="0.8">
      <c r="B16" s="477">
        <v>6</v>
      </c>
      <c r="C16" s="480" t="s">
        <v>1233</v>
      </c>
      <c r="D16" s="475" t="s">
        <v>1232</v>
      </c>
      <c r="E16" s="485">
        <v>2212</v>
      </c>
      <c r="F16" s="473"/>
      <c r="G16" s="481">
        <v>0.5</v>
      </c>
      <c r="H16" s="481">
        <v>0.78300000000000003</v>
      </c>
      <c r="I16" s="483"/>
      <c r="J16" s="472"/>
      <c r="K16" s="483"/>
      <c r="L16" s="482"/>
      <c r="M16" s="461" t="str">
        <f>IFERROR(INDEX('Staffing from HRH tool'!$D$41:$D$64,MATCH(_xlfn.NUMBERVALUE(RIGHT(E16,4)),'Staffing from HRH tool'!$A$41:$A$64,0)),"")</f>
        <v>HCW</v>
      </c>
    </row>
    <row r="17" spans="2:13" x14ac:dyDescent="0.8">
      <c r="B17" s="477">
        <v>7</v>
      </c>
      <c r="C17" s="480" t="s">
        <v>1231</v>
      </c>
      <c r="D17" s="475" t="s">
        <v>1230</v>
      </c>
      <c r="E17" s="500" t="s">
        <v>1227</v>
      </c>
      <c r="F17" s="479">
        <v>0.16</v>
      </c>
      <c r="G17" s="471"/>
      <c r="H17" s="471"/>
      <c r="I17" s="483"/>
      <c r="J17" s="478">
        <v>0.16</v>
      </c>
      <c r="K17" s="483"/>
      <c r="L17" s="482"/>
      <c r="M17" s="461" t="str">
        <f>IFERROR(INDEX('Staffing from HRH tool'!$D$41:$D$64,MATCH(_xlfn.NUMBERVALUE(RIGHT(E17,4)),'Staffing from HRH tool'!$A$41:$A$64,0)),"")</f>
        <v>HCW</v>
      </c>
    </row>
    <row r="18" spans="2:13" x14ac:dyDescent="0.8">
      <c r="B18" s="477">
        <v>8</v>
      </c>
      <c r="C18" s="480" t="s">
        <v>1229</v>
      </c>
      <c r="D18" s="475" t="s">
        <v>1228</v>
      </c>
      <c r="E18" s="474" t="s">
        <v>1227</v>
      </c>
      <c r="F18" s="473"/>
      <c r="G18" s="481">
        <v>3.66</v>
      </c>
      <c r="H18" s="481">
        <v>4.66</v>
      </c>
      <c r="I18" s="471"/>
      <c r="J18" s="472"/>
      <c r="K18" s="483"/>
      <c r="L18" s="482"/>
      <c r="M18" s="461" t="str">
        <f>IFERROR(INDEX('Staffing from HRH tool'!$D$41:$D$64,MATCH(_xlfn.NUMBERVALUE(RIGHT(E18,4)),'Staffing from HRH tool'!$A$41:$A$64,0)),"")</f>
        <v>HCW</v>
      </c>
    </row>
    <row r="19" spans="2:13" s="454" customFormat="1" ht="18" customHeight="1" x14ac:dyDescent="0.8">
      <c r="B19" s="477">
        <v>9</v>
      </c>
      <c r="C19" s="480" t="s">
        <v>1226</v>
      </c>
      <c r="D19" s="475" t="s">
        <v>1225</v>
      </c>
      <c r="E19" s="474">
        <v>2221</v>
      </c>
      <c r="F19" s="473"/>
      <c r="G19" s="471"/>
      <c r="H19" s="471"/>
      <c r="I19" s="484">
        <v>14.80625</v>
      </c>
      <c r="J19" s="472"/>
      <c r="K19" s="483"/>
      <c r="L19" s="482"/>
      <c r="M19" s="461" t="str">
        <f>IFERROR(INDEX('Staffing from HRH tool'!$D$41:$D$64,MATCH(_xlfn.NUMBERVALUE(RIGHT(E19,4)),'Staffing from HRH tool'!$A$41:$A$64,0)),"")</f>
        <v>HCW</v>
      </c>
    </row>
    <row r="20" spans="2:13" x14ac:dyDescent="0.8">
      <c r="B20" s="477">
        <v>10</v>
      </c>
      <c r="C20" s="480" t="s">
        <v>1224</v>
      </c>
      <c r="D20" s="475" t="s">
        <v>1223</v>
      </c>
      <c r="E20" s="500">
        <v>2221</v>
      </c>
      <c r="F20" s="473"/>
      <c r="G20" s="471"/>
      <c r="H20" s="471"/>
      <c r="I20" s="484">
        <v>1.7999999999999998</v>
      </c>
      <c r="J20" s="472"/>
      <c r="K20" s="483"/>
      <c r="L20" s="482"/>
      <c r="M20" s="461" t="str">
        <f>IFERROR(INDEX('Staffing from HRH tool'!$D$41:$D$64,MATCH(_xlfn.NUMBERVALUE(RIGHT(E20,4)),'Staffing from HRH tool'!$A$41:$A$64,0)),"")</f>
        <v>HCW</v>
      </c>
    </row>
    <row r="21" spans="2:13" x14ac:dyDescent="0.8">
      <c r="B21" s="477">
        <v>11</v>
      </c>
      <c r="C21" s="480" t="s">
        <v>1222</v>
      </c>
      <c r="D21" s="475" t="s">
        <v>1221</v>
      </c>
      <c r="E21" s="474">
        <v>2221</v>
      </c>
      <c r="F21" s="499"/>
      <c r="G21" s="498"/>
      <c r="H21" s="498"/>
      <c r="I21" s="497">
        <v>4.32</v>
      </c>
      <c r="J21" s="496"/>
      <c r="K21" s="495"/>
      <c r="L21" s="494"/>
      <c r="M21" s="461" t="str">
        <f>IFERROR(INDEX('Staffing from HRH tool'!$D$41:$D$64,MATCH(_xlfn.NUMBERVALUE(RIGHT(E21,4)),'Staffing from HRH tool'!$A$41:$A$64,0)),"")</f>
        <v>HCW</v>
      </c>
    </row>
    <row r="22" spans="2:13" x14ac:dyDescent="0.8">
      <c r="B22" s="477">
        <v>12</v>
      </c>
      <c r="C22" s="480" t="s">
        <v>1220</v>
      </c>
      <c r="D22" s="475">
        <v>3</v>
      </c>
      <c r="E22" s="493">
        <v>3259</v>
      </c>
      <c r="F22" s="492"/>
      <c r="G22" s="491"/>
      <c r="H22" s="490">
        <v>3.0819090909090909</v>
      </c>
      <c r="I22" s="489">
        <v>7.6</v>
      </c>
      <c r="J22" s="488"/>
      <c r="K22" s="487"/>
      <c r="L22" s="486"/>
      <c r="M22" s="461" t="str">
        <f>IFERROR(INDEX('Staffing from HRH tool'!$D$41:$D$64,MATCH(_xlfn.NUMBERVALUE(RIGHT(E22,4)),'Staffing from HRH tool'!$A$41:$A$64,0)),"")</f>
        <v>HCW</v>
      </c>
    </row>
    <row r="23" spans="2:13" x14ac:dyDescent="0.8">
      <c r="B23" s="477">
        <v>13</v>
      </c>
      <c r="C23" s="480" t="s">
        <v>1219</v>
      </c>
      <c r="D23" s="475" t="s">
        <v>1218</v>
      </c>
      <c r="E23" s="485">
        <v>3211</v>
      </c>
      <c r="F23" s="473"/>
      <c r="G23" s="471"/>
      <c r="H23" s="471"/>
      <c r="I23" s="484">
        <v>0.29125000000000001</v>
      </c>
      <c r="J23" s="472"/>
      <c r="K23" s="483"/>
      <c r="L23" s="482"/>
      <c r="M23" s="461" t="str">
        <f>IFERROR(INDEX('Staffing from HRH tool'!$D$41:$D$64,MATCH(_xlfn.NUMBERVALUE(RIGHT(E23,4)),'Staffing from HRH tool'!$A$41:$A$64,0)),"")</f>
        <v>HCW</v>
      </c>
    </row>
    <row r="24" spans="2:13" x14ac:dyDescent="0.8">
      <c r="B24" s="477">
        <v>14</v>
      </c>
      <c r="C24" s="480" t="s">
        <v>1217</v>
      </c>
      <c r="D24" s="475" t="s">
        <v>1216</v>
      </c>
      <c r="E24" s="485">
        <v>3213</v>
      </c>
      <c r="F24" s="473"/>
      <c r="G24" s="481">
        <v>0.25</v>
      </c>
      <c r="H24" s="481">
        <v>0.25</v>
      </c>
      <c r="I24" s="484">
        <v>0.25</v>
      </c>
      <c r="J24" s="472"/>
      <c r="K24" s="483"/>
      <c r="L24" s="482"/>
      <c r="M24" s="461" t="str">
        <f>IFERROR(INDEX('Staffing from HRH tool'!$D$41:$D$64,MATCH(_xlfn.NUMBERVALUE(RIGHT(E24,4)),'Staffing from HRH tool'!$A$41:$A$64,0)),"")</f>
        <v>HCW</v>
      </c>
    </row>
    <row r="25" spans="2:13" x14ac:dyDescent="0.8">
      <c r="B25" s="477">
        <v>15</v>
      </c>
      <c r="C25" s="480" t="s">
        <v>1215</v>
      </c>
      <c r="D25" s="475" t="s">
        <v>1214</v>
      </c>
      <c r="E25" s="485">
        <v>3212</v>
      </c>
      <c r="F25" s="473"/>
      <c r="G25" s="481">
        <v>0.33</v>
      </c>
      <c r="H25" s="481">
        <v>0.33</v>
      </c>
      <c r="I25" s="484">
        <v>0.25</v>
      </c>
      <c r="J25" s="472"/>
      <c r="K25" s="483"/>
      <c r="L25" s="482"/>
      <c r="M25" s="461" t="str">
        <f>IFERROR(INDEX('Staffing from HRH tool'!$D$41:$D$64,MATCH(_xlfn.NUMBERVALUE(RIGHT(E25,4)),'Staffing from HRH tool'!$A$41:$A$64,0)),"")</f>
        <v>HCW</v>
      </c>
    </row>
    <row r="26" spans="2:13" s="454" customFormat="1" x14ac:dyDescent="0.8">
      <c r="B26" s="477">
        <v>16</v>
      </c>
      <c r="C26" s="480" t="s">
        <v>1213</v>
      </c>
      <c r="D26" s="475">
        <v>5</v>
      </c>
      <c r="E26" s="474">
        <v>2262</v>
      </c>
      <c r="F26" s="473"/>
      <c r="G26" s="481">
        <v>0.5</v>
      </c>
      <c r="H26" s="481">
        <v>0.5</v>
      </c>
      <c r="I26" s="481">
        <v>1</v>
      </c>
      <c r="J26" s="472"/>
      <c r="K26" s="471"/>
      <c r="L26" s="470"/>
      <c r="M26" s="461" t="str">
        <f>IFERROR(INDEX('Staffing from HRH tool'!$D$41:$D$64,MATCH(_xlfn.NUMBERVALUE(RIGHT(E26,4)),'Staffing from HRH tool'!$A$41:$A$64,0)),"")</f>
        <v>HCW</v>
      </c>
    </row>
    <row r="27" spans="2:13" s="454" customFormat="1" x14ac:dyDescent="0.8">
      <c r="B27" s="477">
        <v>17</v>
      </c>
      <c r="C27" s="480" t="s">
        <v>1212</v>
      </c>
      <c r="D27" s="475">
        <v>6</v>
      </c>
      <c r="E27" s="474">
        <v>2265</v>
      </c>
      <c r="F27" s="473"/>
      <c r="G27" s="471"/>
      <c r="H27" s="481">
        <v>0.25</v>
      </c>
      <c r="I27" s="484">
        <v>0.5</v>
      </c>
      <c r="J27" s="472"/>
      <c r="K27" s="483"/>
      <c r="L27" s="482"/>
      <c r="M27" s="461" t="str">
        <f>IFERROR(INDEX('Staffing from HRH tool'!$D$41:$D$64,MATCH(_xlfn.NUMBERVALUE(RIGHT(E27,4)),'Staffing from HRH tool'!$A$41:$A$64,0)),"")</f>
        <v>HCW</v>
      </c>
    </row>
    <row r="28" spans="2:13" s="454" customFormat="1" x14ac:dyDescent="0.8">
      <c r="B28" s="477">
        <v>18</v>
      </c>
      <c r="C28" s="480" t="s">
        <v>1211</v>
      </c>
      <c r="D28" s="475" t="s">
        <v>1210</v>
      </c>
      <c r="E28" s="474" t="s">
        <v>1209</v>
      </c>
      <c r="F28" s="473"/>
      <c r="G28" s="481">
        <v>0.33</v>
      </c>
      <c r="H28" s="481">
        <v>0.33</v>
      </c>
      <c r="I28" s="481">
        <v>0.5</v>
      </c>
      <c r="J28" s="472"/>
      <c r="K28" s="471"/>
      <c r="L28" s="470"/>
      <c r="M28" s="461" t="str">
        <f>IFERROR(INDEX('Staffing from HRH tool'!$D$41:$D$64,MATCH(_xlfn.NUMBERVALUE(RIGHT(E28,4)),'Staffing from HRH tool'!$A$41:$A$64,0)),"")</f>
        <v>Cleaner</v>
      </c>
    </row>
    <row r="29" spans="2:13" s="454" customFormat="1" x14ac:dyDescent="0.8">
      <c r="B29" s="477">
        <v>19</v>
      </c>
      <c r="C29" s="480" t="s">
        <v>1208</v>
      </c>
      <c r="D29" s="475" t="s">
        <v>1207</v>
      </c>
      <c r="E29" s="474">
        <v>3344</v>
      </c>
      <c r="F29" s="473"/>
      <c r="G29" s="481">
        <v>0.25</v>
      </c>
      <c r="H29" s="481">
        <v>0.25</v>
      </c>
      <c r="I29" s="481">
        <v>0.25</v>
      </c>
      <c r="J29" s="472"/>
      <c r="K29" s="471"/>
      <c r="L29" s="470"/>
      <c r="M29" s="461" t="str">
        <f>IFERROR(INDEX('Staffing from HRH tool'!$D$41:$D$64,MATCH(_xlfn.NUMBERVALUE(RIGHT(E29,4)),'Staffing from HRH tool'!$A$41:$A$64,0)),"")</f>
        <v>Admin</v>
      </c>
    </row>
    <row r="30" spans="2:13" s="454" customFormat="1" x14ac:dyDescent="0.8">
      <c r="B30" s="477">
        <v>20</v>
      </c>
      <c r="C30" s="480" t="s">
        <v>1206</v>
      </c>
      <c r="D30" s="475" t="s">
        <v>1205</v>
      </c>
      <c r="E30" s="474">
        <v>2635</v>
      </c>
      <c r="F30" s="473"/>
      <c r="G30" s="481">
        <v>0.5</v>
      </c>
      <c r="H30" s="481">
        <v>0.5</v>
      </c>
      <c r="I30" s="481">
        <v>0.5</v>
      </c>
      <c r="J30" s="472"/>
      <c r="K30" s="471"/>
      <c r="L30" s="470"/>
      <c r="M30" s="461" t="str">
        <f>IFERROR(INDEX('Staffing from HRH tool'!$D$41:$D$64,MATCH(_xlfn.NUMBERVALUE(RIGHT(E30,4)),'Staffing from HRH tool'!$A$41:$A$64,0)),"")</f>
        <v>HCW</v>
      </c>
    </row>
    <row r="31" spans="2:13" s="454" customFormat="1" x14ac:dyDescent="0.8">
      <c r="B31" s="477">
        <v>21</v>
      </c>
      <c r="C31" s="480" t="s">
        <v>1204</v>
      </c>
      <c r="D31" s="475" t="s">
        <v>1203</v>
      </c>
      <c r="E31" s="474">
        <v>2264</v>
      </c>
      <c r="F31" s="473"/>
      <c r="G31" s="471"/>
      <c r="H31" s="481">
        <v>0.5</v>
      </c>
      <c r="I31" s="481">
        <v>0.5</v>
      </c>
      <c r="J31" s="472"/>
      <c r="K31" s="471"/>
      <c r="L31" s="470"/>
      <c r="M31" s="461" t="str">
        <f>IFERROR(INDEX('Staffing from HRH tool'!$D$41:$D$64,MATCH(_xlfn.NUMBERVALUE(RIGHT(E31,4)),'Staffing from HRH tool'!$A$41:$A$64,0)),"")</f>
        <v>HCW</v>
      </c>
    </row>
    <row r="32" spans="2:13" s="454" customFormat="1" x14ac:dyDescent="0.8">
      <c r="B32" s="477">
        <v>22</v>
      </c>
      <c r="C32" s="480" t="s">
        <v>1202</v>
      </c>
      <c r="D32" s="475" t="s">
        <v>1201</v>
      </c>
      <c r="E32" s="474">
        <v>2269</v>
      </c>
      <c r="F32" s="473"/>
      <c r="G32" s="481">
        <v>0.5</v>
      </c>
      <c r="H32" s="481">
        <v>0.5</v>
      </c>
      <c r="I32" s="481">
        <v>0.5</v>
      </c>
      <c r="J32" s="472"/>
      <c r="K32" s="471"/>
      <c r="L32" s="470"/>
      <c r="M32" s="461" t="str">
        <f>IFERROR(INDEX('Staffing from HRH tool'!$D$41:$D$64,MATCH(_xlfn.NUMBERVALUE(RIGHT(E32,4)),'Staffing from HRH tool'!$A$41:$A$64,0)),"")</f>
        <v>HCW</v>
      </c>
    </row>
    <row r="33" spans="1:13" s="454" customFormat="1" x14ac:dyDescent="0.8">
      <c r="B33" s="477">
        <v>23</v>
      </c>
      <c r="C33" s="480" t="s">
        <v>1200</v>
      </c>
      <c r="D33" s="475">
        <v>9</v>
      </c>
      <c r="E33" s="474" t="s">
        <v>1199</v>
      </c>
      <c r="F33" s="479">
        <v>0.19</v>
      </c>
      <c r="G33" s="471"/>
      <c r="H33" s="471"/>
      <c r="I33" s="471"/>
      <c r="J33" s="478">
        <v>0.19</v>
      </c>
      <c r="K33" s="471"/>
      <c r="L33" s="470"/>
      <c r="M33" s="461" t="str">
        <f>IFERROR(INDEX('Staffing from HRH tool'!$D$41:$D$64,MATCH(_xlfn.NUMBERVALUE(RIGHT(E33,4)),'Staffing from HRH tool'!$A$41:$A$64,0)),"")</f>
        <v>HCW</v>
      </c>
    </row>
    <row r="34" spans="1:13" s="454" customFormat="1" x14ac:dyDescent="0.8">
      <c r="B34" s="477">
        <v>24</v>
      </c>
      <c r="C34" s="476"/>
      <c r="D34" s="475"/>
      <c r="E34" s="474"/>
      <c r="F34" s="473"/>
      <c r="G34" s="471"/>
      <c r="H34" s="471"/>
      <c r="I34" s="471"/>
      <c r="J34" s="472"/>
      <c r="K34" s="471"/>
      <c r="L34" s="470"/>
      <c r="M34" s="461" t="str">
        <f>IFERROR(INDEX('Staffing from HRH tool'!$D$41:$D$64,MATCH(_xlfn.NUMBERVALUE(RIGHT(E34,4)),'Staffing from HRH tool'!$A$41:$A$64,0)),"")</f>
        <v/>
      </c>
    </row>
    <row r="35" spans="1:13" ht="16.75" thickBot="1" x14ac:dyDescent="0.95">
      <c r="B35" s="469">
        <v>25</v>
      </c>
      <c r="C35" s="468"/>
      <c r="D35" s="467"/>
      <c r="E35" s="466"/>
      <c r="F35" s="465"/>
      <c r="G35" s="463"/>
      <c r="H35" s="463"/>
      <c r="I35" s="463"/>
      <c r="J35" s="464"/>
      <c r="K35" s="463"/>
      <c r="L35" s="462"/>
      <c r="M35" s="461" t="str">
        <f>IFERROR(INDEX('Staffing from HRH tool'!$D$41:$D$64,MATCH(_xlfn.NUMBERVALUE(RIGHT(E35,4)),'Staffing from HRH tool'!$A$41:$A$64,0)),"")</f>
        <v/>
      </c>
    </row>
    <row r="36" spans="1:13" x14ac:dyDescent="0.8">
      <c r="B36" s="454"/>
      <c r="F36" s="460"/>
      <c r="G36" s="460"/>
      <c r="H36" s="460"/>
      <c r="I36" s="460"/>
      <c r="J36" s="460"/>
      <c r="K36" s="460"/>
      <c r="L36" s="460"/>
      <c r="M36" s="460"/>
    </row>
    <row r="37" spans="1:13" x14ac:dyDescent="0.8">
      <c r="B37" s="454"/>
      <c r="F37" s="459"/>
      <c r="G37" s="459"/>
      <c r="H37" s="459"/>
      <c r="I37" s="546"/>
      <c r="J37" s="459"/>
      <c r="K37" s="459"/>
      <c r="L37" s="459"/>
      <c r="M37" s="459"/>
    </row>
    <row r="38" spans="1:13" x14ac:dyDescent="0.8">
      <c r="B38" s="454"/>
      <c r="I38" s="458"/>
    </row>
    <row r="39" spans="1:13" x14ac:dyDescent="0.8">
      <c r="B39" s="454"/>
      <c r="J39" s="458"/>
      <c r="K39" s="458"/>
      <c r="L39" s="458"/>
      <c r="M39" s="458"/>
    </row>
    <row r="40" spans="1:13" s="454" customFormat="1" x14ac:dyDescent="0.8">
      <c r="A40" s="543" t="s">
        <v>1302</v>
      </c>
      <c r="B40" s="543" t="s">
        <v>1301</v>
      </c>
      <c r="C40" s="543" t="s">
        <v>1300</v>
      </c>
      <c r="D40" s="543" t="s">
        <v>292</v>
      </c>
      <c r="E40" s="542" t="s">
        <v>1299</v>
      </c>
    </row>
    <row r="41" spans="1:13" s="454" customFormat="1" x14ac:dyDescent="0.8">
      <c r="A41" s="541">
        <v>2211</v>
      </c>
      <c r="B41" s="541" t="s">
        <v>1297</v>
      </c>
      <c r="C41" s="541" t="s">
        <v>1298</v>
      </c>
      <c r="D41" s="541" t="s">
        <v>270</v>
      </c>
      <c r="E41" s="540" t="s">
        <v>1261</v>
      </c>
    </row>
    <row r="42" spans="1:13" s="454" customFormat="1" x14ac:dyDescent="0.8">
      <c r="A42" s="539">
        <v>2212</v>
      </c>
      <c r="B42" s="539" t="s">
        <v>1297</v>
      </c>
      <c r="C42" s="539" t="s">
        <v>1296</v>
      </c>
      <c r="D42" s="539" t="s">
        <v>270</v>
      </c>
      <c r="E42" s="538" t="s">
        <v>1261</v>
      </c>
    </row>
    <row r="43" spans="1:13" s="454" customFormat="1" x14ac:dyDescent="0.8">
      <c r="A43" s="537">
        <v>2221</v>
      </c>
      <c r="B43" s="537" t="s">
        <v>1295</v>
      </c>
      <c r="C43" s="537" t="s">
        <v>1294</v>
      </c>
      <c r="D43" s="537" t="s">
        <v>270</v>
      </c>
      <c r="E43" s="536" t="s">
        <v>1261</v>
      </c>
    </row>
    <row r="44" spans="1:13" s="454" customFormat="1" x14ac:dyDescent="0.8">
      <c r="A44" s="539">
        <v>2240</v>
      </c>
      <c r="B44" s="539" t="s">
        <v>1293</v>
      </c>
      <c r="C44" s="539" t="s">
        <v>1293</v>
      </c>
      <c r="D44" s="539" t="s">
        <v>270</v>
      </c>
      <c r="E44" s="538" t="s">
        <v>1261</v>
      </c>
    </row>
    <row r="45" spans="1:13" s="454" customFormat="1" x14ac:dyDescent="0.8">
      <c r="A45" s="537">
        <v>2262</v>
      </c>
      <c r="B45" s="537" t="s">
        <v>1288</v>
      </c>
      <c r="C45" s="537" t="s">
        <v>1292</v>
      </c>
      <c r="D45" s="537" t="s">
        <v>270</v>
      </c>
      <c r="E45" s="536"/>
    </row>
    <row r="46" spans="1:13" s="454" customFormat="1" x14ac:dyDescent="0.8">
      <c r="A46" s="539">
        <v>2263</v>
      </c>
      <c r="B46" s="539" t="s">
        <v>1288</v>
      </c>
      <c r="C46" s="539" t="s">
        <v>1291</v>
      </c>
      <c r="D46" s="539" t="s">
        <v>270</v>
      </c>
      <c r="E46" s="538"/>
    </row>
    <row r="47" spans="1:13" s="454" customFormat="1" x14ac:dyDescent="0.8">
      <c r="A47" s="537">
        <v>2264</v>
      </c>
      <c r="B47" s="537" t="s">
        <v>1288</v>
      </c>
      <c r="C47" s="537" t="s">
        <v>1290</v>
      </c>
      <c r="D47" s="537" t="s">
        <v>270</v>
      </c>
      <c r="E47" s="536"/>
    </row>
    <row r="48" spans="1:13" s="454" customFormat="1" x14ac:dyDescent="0.8">
      <c r="A48" s="539">
        <v>2265</v>
      </c>
      <c r="B48" s="539" t="s">
        <v>1288</v>
      </c>
      <c r="C48" s="539" t="s">
        <v>1289</v>
      </c>
      <c r="D48" s="539" t="s">
        <v>270</v>
      </c>
      <c r="E48" s="538"/>
    </row>
    <row r="49" spans="1:5" s="454" customFormat="1" x14ac:dyDescent="0.8">
      <c r="A49" s="537">
        <v>2269</v>
      </c>
      <c r="B49" s="537" t="s">
        <v>1288</v>
      </c>
      <c r="C49" s="537" t="s">
        <v>1287</v>
      </c>
      <c r="D49" s="537" t="s">
        <v>270</v>
      </c>
      <c r="E49" s="536"/>
    </row>
    <row r="50" spans="1:5" s="454" customFormat="1" x14ac:dyDescent="0.8">
      <c r="A50" s="539">
        <v>2635</v>
      </c>
      <c r="B50" s="539" t="s">
        <v>1286</v>
      </c>
      <c r="C50" s="539" t="s">
        <v>1285</v>
      </c>
      <c r="D50" s="539" t="s">
        <v>270</v>
      </c>
      <c r="E50" s="538"/>
    </row>
    <row r="51" spans="1:5" s="454" customFormat="1" x14ac:dyDescent="0.8">
      <c r="A51" s="537">
        <v>3211</v>
      </c>
      <c r="B51" s="537" t="s">
        <v>1282</v>
      </c>
      <c r="C51" s="537" t="s">
        <v>1284</v>
      </c>
      <c r="D51" s="537" t="s">
        <v>270</v>
      </c>
      <c r="E51" s="536"/>
    </row>
    <row r="52" spans="1:5" s="454" customFormat="1" x14ac:dyDescent="0.8">
      <c r="A52" s="539">
        <v>3212</v>
      </c>
      <c r="B52" s="539" t="s">
        <v>1282</v>
      </c>
      <c r="C52" s="539" t="s">
        <v>1283</v>
      </c>
      <c r="D52" s="539" t="s">
        <v>270</v>
      </c>
      <c r="E52" s="538"/>
    </row>
    <row r="53" spans="1:5" s="454" customFormat="1" x14ac:dyDescent="0.8">
      <c r="A53" s="537">
        <v>3213</v>
      </c>
      <c r="B53" s="537" t="s">
        <v>1282</v>
      </c>
      <c r="C53" s="537" t="s">
        <v>1281</v>
      </c>
      <c r="D53" s="537" t="s">
        <v>270</v>
      </c>
      <c r="E53" s="536"/>
    </row>
    <row r="54" spans="1:5" s="454" customFormat="1" x14ac:dyDescent="0.8">
      <c r="A54" s="539">
        <v>3221</v>
      </c>
      <c r="B54" s="539" t="s">
        <v>1280</v>
      </c>
      <c r="C54" s="539" t="s">
        <v>1279</v>
      </c>
      <c r="D54" s="539" t="s">
        <v>270</v>
      </c>
      <c r="E54" s="538" t="s">
        <v>1261</v>
      </c>
    </row>
    <row r="55" spans="1:5" s="454" customFormat="1" x14ac:dyDescent="0.8">
      <c r="A55" s="537">
        <v>3253</v>
      </c>
      <c r="B55" s="537" t="s">
        <v>1273</v>
      </c>
      <c r="C55" s="537" t="s">
        <v>776</v>
      </c>
      <c r="D55" s="537" t="s">
        <v>1278</v>
      </c>
      <c r="E55" s="536"/>
    </row>
    <row r="56" spans="1:5" s="454" customFormat="1" x14ac:dyDescent="0.8">
      <c r="A56" s="539">
        <v>3255</v>
      </c>
      <c r="B56" s="539" t="s">
        <v>1273</v>
      </c>
      <c r="C56" s="539" t="s">
        <v>1277</v>
      </c>
      <c r="D56" s="539" t="s">
        <v>270</v>
      </c>
      <c r="E56" s="538"/>
    </row>
    <row r="57" spans="1:5" s="454" customFormat="1" x14ac:dyDescent="0.8">
      <c r="A57" s="537">
        <v>3256</v>
      </c>
      <c r="B57" s="537" t="s">
        <v>1273</v>
      </c>
      <c r="C57" s="537" t="s">
        <v>1276</v>
      </c>
      <c r="D57" s="537" t="s">
        <v>270</v>
      </c>
      <c r="E57" s="536" t="s">
        <v>1261</v>
      </c>
    </row>
    <row r="58" spans="1:5" s="454" customFormat="1" x14ac:dyDescent="0.8">
      <c r="A58" s="539">
        <v>3257</v>
      </c>
      <c r="B58" s="539" t="s">
        <v>1273</v>
      </c>
      <c r="C58" s="539" t="s">
        <v>1275</v>
      </c>
      <c r="D58" s="539" t="s">
        <v>1262</v>
      </c>
      <c r="E58" s="538"/>
    </row>
    <row r="59" spans="1:5" s="454" customFormat="1" x14ac:dyDescent="0.8">
      <c r="A59" s="537">
        <v>3258</v>
      </c>
      <c r="B59" s="537" t="s">
        <v>1273</v>
      </c>
      <c r="C59" s="537" t="s">
        <v>1274</v>
      </c>
      <c r="D59" s="537" t="s">
        <v>846</v>
      </c>
      <c r="E59" s="536"/>
    </row>
    <row r="60" spans="1:5" s="454" customFormat="1" x14ac:dyDescent="0.8">
      <c r="A60" s="539">
        <v>3259</v>
      </c>
      <c r="B60" s="539" t="s">
        <v>1273</v>
      </c>
      <c r="C60" s="539" t="s">
        <v>1272</v>
      </c>
      <c r="D60" s="539" t="s">
        <v>270</v>
      </c>
      <c r="E60" s="538"/>
    </row>
    <row r="61" spans="1:5" s="454" customFormat="1" x14ac:dyDescent="0.8">
      <c r="A61" s="537">
        <v>3344</v>
      </c>
      <c r="B61" s="537" t="s">
        <v>1271</v>
      </c>
      <c r="C61" s="537" t="s">
        <v>1270</v>
      </c>
      <c r="D61" s="537" t="s">
        <v>1269</v>
      </c>
      <c r="E61" s="536"/>
    </row>
    <row r="62" spans="1:5" s="454" customFormat="1" x14ac:dyDescent="0.8">
      <c r="A62" s="539">
        <v>5321</v>
      </c>
      <c r="B62" s="539" t="s">
        <v>1268</v>
      </c>
      <c r="C62" s="539" t="s">
        <v>1267</v>
      </c>
      <c r="D62" s="539" t="s">
        <v>270</v>
      </c>
      <c r="E62" s="538" t="s">
        <v>1261</v>
      </c>
    </row>
    <row r="63" spans="1:5" s="454" customFormat="1" x14ac:dyDescent="0.8">
      <c r="A63" s="537">
        <v>8322</v>
      </c>
      <c r="B63" s="537" t="s">
        <v>1266</v>
      </c>
      <c r="C63" s="537" t="s">
        <v>1265</v>
      </c>
      <c r="D63" s="537" t="s">
        <v>846</v>
      </c>
      <c r="E63" s="536" t="s">
        <v>1261</v>
      </c>
    </row>
    <row r="64" spans="1:5" s="454" customFormat="1" x14ac:dyDescent="0.8">
      <c r="A64" s="535">
        <v>9112</v>
      </c>
      <c r="B64" s="535" t="s">
        <v>1264</v>
      </c>
      <c r="C64" s="535" t="s">
        <v>1263</v>
      </c>
      <c r="D64" s="535" t="s">
        <v>1262</v>
      </c>
      <c r="E64" s="534" t="s">
        <v>1261</v>
      </c>
    </row>
    <row r="65" spans="2:13" x14ac:dyDescent="0.8">
      <c r="B65" s="454"/>
    </row>
    <row r="66" spans="2:13" x14ac:dyDescent="0.8">
      <c r="B66" s="454"/>
      <c r="J66" s="458"/>
      <c r="K66" s="458"/>
      <c r="L66" s="458"/>
      <c r="M66" s="458"/>
    </row>
    <row r="67" spans="2:13" x14ac:dyDescent="0.8">
      <c r="B67" s="454"/>
    </row>
    <row r="68" spans="2:13" x14ac:dyDescent="0.8">
      <c r="B68" s="454"/>
      <c r="J68" s="458"/>
      <c r="K68" s="458"/>
      <c r="L68" s="458"/>
      <c r="M68" s="458"/>
    </row>
    <row r="69" spans="2:13" x14ac:dyDescent="0.8">
      <c r="B69" s="454"/>
    </row>
    <row r="70" spans="2:13" x14ac:dyDescent="0.8">
      <c r="B70" s="454"/>
      <c r="F70" s="458"/>
      <c r="G70" s="458"/>
      <c r="H70" s="458"/>
      <c r="I70" s="458"/>
    </row>
    <row r="71" spans="2:13" x14ac:dyDescent="0.8">
      <c r="B71" s="454"/>
    </row>
    <row r="72" spans="2:13" x14ac:dyDescent="0.8">
      <c r="B72" s="454"/>
    </row>
    <row r="73" spans="2:13" x14ac:dyDescent="0.8">
      <c r="B73" s="454"/>
    </row>
    <row r="74" spans="2:13" x14ac:dyDescent="0.8">
      <c r="B74" s="454"/>
    </row>
    <row r="75" spans="2:13" x14ac:dyDescent="0.8">
      <c r="B75" s="454"/>
    </row>
    <row r="76" spans="2:13" x14ac:dyDescent="0.8">
      <c r="B76" s="454"/>
    </row>
    <row r="77" spans="2:13" x14ac:dyDescent="0.8">
      <c r="B77" s="454"/>
    </row>
    <row r="78" spans="2:13" x14ac:dyDescent="0.8">
      <c r="B78" s="454"/>
    </row>
    <row r="79" spans="2:13" x14ac:dyDescent="0.8">
      <c r="B79" s="454"/>
    </row>
    <row r="80" spans="2:13" x14ac:dyDescent="0.8">
      <c r="B80" s="454"/>
    </row>
    <row r="81" spans="2:2" x14ac:dyDescent="0.8">
      <c r="B81" s="454"/>
    </row>
    <row r="82" spans="2:2" x14ac:dyDescent="0.8">
      <c r="B82" s="454"/>
    </row>
    <row r="83" spans="2:2" x14ac:dyDescent="0.8">
      <c r="B83" s="454"/>
    </row>
  </sheetData>
  <sheetProtection autoFilter="0" pivotTables="0"/>
  <mergeCells count="1">
    <mergeCell ref="B3:J3"/>
  </mergeCells>
  <conditionalFormatting sqref="A41:A64">
    <cfRule type="duplicateValues" dxfId="105"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1E7FB8"/>
    <pageSetUpPr autoPageBreaks="0"/>
  </sheetPr>
  <dimension ref="A1:P195"/>
  <sheetViews>
    <sheetView showGridLines="0" zoomScale="90" zoomScaleNormal="90" workbookViewId="0">
      <selection activeCell="B2" sqref="B2"/>
    </sheetView>
  </sheetViews>
  <sheetFormatPr defaultColWidth="8.40625" defaultRowHeight="14.75" x14ac:dyDescent="0.75"/>
  <cols>
    <col min="1" max="1" width="3.40625" style="132" customWidth="1"/>
    <col min="2" max="2" width="42.40625" style="132" customWidth="1"/>
    <col min="3" max="3" width="23.40625" style="132" customWidth="1"/>
    <col min="4" max="4" width="19.40625" style="132" customWidth="1"/>
    <col min="5" max="5" width="25.40625" style="132" customWidth="1"/>
    <col min="6" max="6" width="16.40625" style="132" customWidth="1"/>
    <col min="7" max="7" width="45.40625" style="132" customWidth="1"/>
    <col min="8" max="8" width="13.86328125" style="132" customWidth="1"/>
    <col min="9" max="9" width="15.40625" style="132" bestFit="1" customWidth="1"/>
    <col min="10" max="16384" width="8.40625" style="132"/>
  </cols>
  <sheetData>
    <row r="1" spans="1:13" ht="8.15" customHeight="1" x14ac:dyDescent="0.75">
      <c r="B1" s="4"/>
    </row>
    <row r="2" spans="1:13" s="45" customFormat="1" ht="39" customHeight="1" x14ac:dyDescent="0.9">
      <c r="B2" s="261" t="s">
        <v>905</v>
      </c>
      <c r="C2" s="46"/>
      <c r="D2" s="46"/>
    </row>
    <row r="3" spans="1:13" ht="11.15" customHeight="1" x14ac:dyDescent="0.75">
      <c r="A3" s="53"/>
      <c r="B3"/>
      <c r="C3"/>
      <c r="D3"/>
      <c r="E3"/>
      <c r="F3"/>
    </row>
    <row r="4" spans="1:13" s="148" customFormat="1" ht="17.149999999999999" customHeight="1" x14ac:dyDescent="0.75">
      <c r="B4" s="149" t="s">
        <v>841</v>
      </c>
    </row>
    <row r="5" spans="1:13" customFormat="1" ht="17.149999999999999" customHeight="1" thickBot="1" x14ac:dyDescent="0.9"/>
    <row r="6" spans="1:13" customFormat="1" ht="20.9" customHeight="1" thickBot="1" x14ac:dyDescent="0.9">
      <c r="B6" s="1376" t="s">
        <v>1832</v>
      </c>
      <c r="C6" s="1377"/>
      <c r="D6" s="1377"/>
      <c r="E6" s="1378"/>
      <c r="F6" s="132"/>
      <c r="G6" s="170" t="s">
        <v>863</v>
      </c>
      <c r="J6" s="132"/>
      <c r="K6" s="132"/>
      <c r="L6" s="132"/>
      <c r="M6" s="132"/>
    </row>
    <row r="7" spans="1:13" customFormat="1" ht="20.9" customHeight="1" x14ac:dyDescent="0.75">
      <c r="B7" s="1379"/>
      <c r="C7" s="1380"/>
      <c r="D7" s="1380"/>
      <c r="E7" s="1381"/>
      <c r="F7" s="132"/>
      <c r="G7" s="239" t="s">
        <v>842</v>
      </c>
      <c r="L7" s="132"/>
      <c r="M7" s="132"/>
    </row>
    <row r="8" spans="1:13" ht="20.9" customHeight="1" x14ac:dyDescent="0.75">
      <c r="B8" s="1379"/>
      <c r="C8" s="1380"/>
      <c r="D8" s="1380"/>
      <c r="E8" s="1381"/>
      <c r="G8" s="171" t="s">
        <v>855</v>
      </c>
      <c r="J8"/>
      <c r="K8"/>
    </row>
    <row r="9" spans="1:13" ht="20.9" customHeight="1" x14ac:dyDescent="0.75">
      <c r="B9" s="1379"/>
      <c r="C9" s="1380"/>
      <c r="D9" s="1380"/>
      <c r="E9" s="1381"/>
      <c r="G9" s="171" t="s">
        <v>849</v>
      </c>
      <c r="I9"/>
      <c r="J9"/>
      <c r="K9"/>
    </row>
    <row r="10" spans="1:13" ht="20.9" customHeight="1" x14ac:dyDescent="0.75">
      <c r="B10" s="1379"/>
      <c r="C10" s="1380"/>
      <c r="D10" s="1380"/>
      <c r="E10" s="1381"/>
      <c r="G10" s="171" t="s">
        <v>1316</v>
      </c>
    </row>
    <row r="11" spans="1:13" ht="20.9" customHeight="1" x14ac:dyDescent="0.75">
      <c r="B11" s="1379"/>
      <c r="C11" s="1380"/>
      <c r="D11" s="1380"/>
      <c r="E11" s="1381"/>
      <c r="G11" s="171" t="s">
        <v>1317</v>
      </c>
    </row>
    <row r="12" spans="1:13" ht="20.9" customHeight="1" x14ac:dyDescent="0.75">
      <c r="B12" s="1379"/>
      <c r="C12" s="1380"/>
      <c r="D12" s="1380"/>
      <c r="E12" s="1381"/>
      <c r="G12" s="171" t="s">
        <v>1141</v>
      </c>
    </row>
    <row r="13" spans="1:13" ht="20.9" customHeight="1" x14ac:dyDescent="0.75">
      <c r="B13" s="1379"/>
      <c r="C13" s="1380"/>
      <c r="D13" s="1380"/>
      <c r="E13" s="1381"/>
      <c r="G13" s="171" t="s">
        <v>857</v>
      </c>
    </row>
    <row r="14" spans="1:13" ht="19.899999999999999" customHeight="1" thickBot="1" x14ac:dyDescent="0.9">
      <c r="B14" s="1382"/>
      <c r="C14" s="1383"/>
      <c r="D14" s="1383"/>
      <c r="E14" s="1384"/>
      <c r="G14" s="172" t="s">
        <v>1809</v>
      </c>
    </row>
    <row r="15" spans="1:13" customFormat="1" ht="17.149999999999999" customHeight="1" x14ac:dyDescent="0.75">
      <c r="J15" s="132"/>
      <c r="K15" s="132"/>
      <c r="L15" s="132"/>
      <c r="M15" s="132"/>
    </row>
    <row r="16" spans="1:13" s="150" customFormat="1" ht="14.9" customHeight="1" x14ac:dyDescent="0.75"/>
    <row r="17" spans="2:16" customFormat="1" ht="11.15" customHeight="1" x14ac:dyDescent="0.75">
      <c r="J17" s="132"/>
      <c r="K17" s="132"/>
      <c r="L17" s="132"/>
      <c r="M17" s="132"/>
    </row>
    <row r="18" spans="2:16" customFormat="1" ht="24.65" customHeight="1" thickBot="1" x14ac:dyDescent="0.9">
      <c r="B18" s="1385" t="s">
        <v>842</v>
      </c>
      <c r="C18" s="1385"/>
      <c r="J18" s="132"/>
      <c r="K18" s="132"/>
      <c r="L18" s="132"/>
      <c r="M18" s="132"/>
    </row>
    <row r="19" spans="2:16" ht="14.9" customHeight="1" thickTop="1" x14ac:dyDescent="0.75">
      <c r="B19"/>
      <c r="C19"/>
      <c r="D19"/>
      <c r="E19"/>
      <c r="F19"/>
      <c r="G19"/>
      <c r="N19"/>
      <c r="O19"/>
      <c r="P19"/>
    </row>
    <row r="20" spans="2:16" ht="28.5" customHeight="1" x14ac:dyDescent="0.75">
      <c r="B20" s="102" t="str">
        <f>IF(DISCLAIMER!I11=1,"Select Country or Manual Entry","WARNING: This tool wil NOT run until the disclaimer is signed: See Disclaimer tab")</f>
        <v>WARNING: This tool wil NOT run until the disclaimer is signed: See Disclaimer tab</v>
      </c>
      <c r="L20"/>
      <c r="N20"/>
      <c r="O20"/>
      <c r="P20"/>
    </row>
    <row r="21" spans="2:16" ht="14.9" customHeight="1" x14ac:dyDescent="0.75">
      <c r="L21"/>
      <c r="N21"/>
      <c r="O21"/>
      <c r="P21"/>
    </row>
    <row r="22" spans="2:16" ht="28.5" customHeight="1" x14ac:dyDescent="0.75">
      <c r="B22" s="331" t="str">
        <f>IF(DISCLAIMER!I11=1,"Country/Territory","WARNING: This tool wil NOT run until the Disclaimer is signed: See Disclaimer tab")</f>
        <v>WARNING: This tool wil NOT run until the Disclaimer is signed: See Disclaimer tab</v>
      </c>
      <c r="C22" s="155" t="s">
        <v>217</v>
      </c>
      <c r="D22" s="15"/>
      <c r="E22" s="1162">
        <v>1</v>
      </c>
      <c r="F22" s="15"/>
      <c r="G22"/>
      <c r="L22"/>
      <c r="N22"/>
      <c r="O22"/>
      <c r="P22"/>
    </row>
    <row r="23" spans="2:16" ht="20.149999999999999" customHeight="1" x14ac:dyDescent="0.75">
      <c r="B23" s="164" t="s">
        <v>705</v>
      </c>
      <c r="C23" s="166">
        <f>IF($E$22=2,"Please enter below",'Back Calculations'!C86)</f>
        <v>18384000</v>
      </c>
      <c r="D23" s="15"/>
      <c r="E23" s="15"/>
      <c r="F23" s="15"/>
      <c r="G23"/>
      <c r="L23"/>
      <c r="N23"/>
      <c r="O23"/>
      <c r="P23"/>
    </row>
    <row r="24" spans="2:16" ht="14.9" customHeight="1" x14ac:dyDescent="0.75">
      <c r="B24" s="153" t="s">
        <v>840</v>
      </c>
      <c r="C24" s="154"/>
      <c r="D24" s="15"/>
      <c r="E24" s="15"/>
      <c r="F24" s="15"/>
      <c r="G24"/>
    </row>
    <row r="25" spans="2:16" ht="14.9" customHeight="1" x14ac:dyDescent="0.75">
      <c r="D25" s="15"/>
      <c r="E25" s="15"/>
      <c r="F25" s="15"/>
      <c r="G25"/>
    </row>
    <row r="26" spans="2:16" s="150" customFormat="1" ht="14.9" customHeight="1" x14ac:dyDescent="0.75"/>
    <row r="27" spans="2:16" ht="8.9" customHeight="1" x14ac:dyDescent="0.75">
      <c r="D27" s="147"/>
      <c r="G27"/>
    </row>
    <row r="28" spans="2:16" ht="24.65" customHeight="1" thickBot="1" x14ac:dyDescent="0.9">
      <c r="B28" s="1385" t="s">
        <v>855</v>
      </c>
      <c r="C28" s="1385"/>
      <c r="D28" s="1002" t="s">
        <v>880</v>
      </c>
      <c r="E28"/>
      <c r="F28"/>
      <c r="G28"/>
    </row>
    <row r="29" spans="2:16" ht="14.9" customHeight="1" thickTop="1" x14ac:dyDescent="0.75">
      <c r="B29" s="97"/>
      <c r="C29" s="98"/>
      <c r="D29" s="87"/>
    </row>
    <row r="30" spans="2:16" ht="17.149999999999999" customHeight="1" x14ac:dyDescent="0.75">
      <c r="B30" s="332" t="s">
        <v>693</v>
      </c>
      <c r="C30" s="427">
        <v>1</v>
      </c>
      <c r="E30"/>
      <c r="F30"/>
      <c r="G30"/>
      <c r="I30"/>
    </row>
    <row r="31" spans="2:16" ht="14.9" customHeight="1" x14ac:dyDescent="0.75">
      <c r="B31"/>
      <c r="C31"/>
      <c r="D31"/>
      <c r="E31"/>
      <c r="F31"/>
      <c r="G31"/>
    </row>
    <row r="32" spans="2:16" s="150" customFormat="1" ht="14.9" customHeight="1" x14ac:dyDescent="0.75"/>
    <row r="33" spans="2:11" ht="6" customHeight="1" x14ac:dyDescent="0.75"/>
    <row r="34" spans="2:11" ht="30" customHeight="1" x14ac:dyDescent="0.75">
      <c r="B34" s="1387" t="s">
        <v>1501</v>
      </c>
      <c r="C34" s="1388"/>
      <c r="D34" s="1389" t="str">
        <f>IF(G34,"Inputs will use reference values","User to input values - Otherwise click here if you would like to use reference values for all inputs")</f>
        <v>User to input values - Otherwise click here if you would like to use reference values for all inputs</v>
      </c>
      <c r="E34" s="1390"/>
      <c r="F34" s="1163" t="b">
        <v>0</v>
      </c>
      <c r="G34" s="787" t="b">
        <f>IF(E22=3,TRUE,F34)</f>
        <v>0</v>
      </c>
      <c r="H34" s="6"/>
      <c r="I34" s="788"/>
    </row>
    <row r="35" spans="2:11" ht="17.899999999999999" customHeight="1" x14ac:dyDescent="0.75">
      <c r="B35" s="273"/>
      <c r="C35" s="273"/>
      <c r="D35" s="414" t="s">
        <v>1500</v>
      </c>
      <c r="E35" s="784" t="str">
        <f>IF(E22=3,#REF!,IF(E22=1,C22,"Manual"))</f>
        <v>Zambia</v>
      </c>
      <c r="F35" s="15"/>
      <c r="G35" s="15"/>
      <c r="I35" s="788"/>
    </row>
    <row r="36" spans="2:11" s="150" customFormat="1" ht="14.9" customHeight="1" x14ac:dyDescent="0.75">
      <c r="I36" s="790"/>
    </row>
    <row r="37" spans="2:11" ht="9.65" customHeight="1" x14ac:dyDescent="0.9">
      <c r="B37" s="426"/>
      <c r="C37"/>
      <c r="D37"/>
      <c r="E37"/>
      <c r="F37"/>
      <c r="G37"/>
      <c r="I37" s="789"/>
    </row>
    <row r="38" spans="2:11" ht="25.4" customHeight="1" thickBot="1" x14ac:dyDescent="0.9">
      <c r="B38" s="1385" t="s">
        <v>849</v>
      </c>
      <c r="C38" s="1385"/>
      <c r="D38" s="184" t="s">
        <v>880</v>
      </c>
      <c r="E38"/>
      <c r="F38"/>
      <c r="G38"/>
      <c r="I38" s="789"/>
    </row>
    <row r="39" spans="2:11" ht="14.9" customHeight="1" thickTop="1" x14ac:dyDescent="0.75">
      <c r="B39"/>
      <c r="C39"/>
      <c r="D39"/>
      <c r="E39"/>
      <c r="F39"/>
      <c r="G39"/>
      <c r="I39" s="789"/>
    </row>
    <row r="40" spans="2:11" ht="14.9" customHeight="1" x14ac:dyDescent="0.75">
      <c r="B40" s="4" t="s">
        <v>913</v>
      </c>
      <c r="C40" s="1161" t="s">
        <v>850</v>
      </c>
      <c r="D40"/>
      <c r="E40" s="1161" t="s">
        <v>1798</v>
      </c>
      <c r="F40"/>
      <c r="I40" s="789"/>
    </row>
    <row r="41" spans="2:11" ht="14.9" customHeight="1" x14ac:dyDescent="0.75">
      <c r="B41" s="146" t="s">
        <v>1793</v>
      </c>
      <c r="C41" s="159"/>
      <c r="D41"/>
      <c r="E41" s="275">
        <v>0.4</v>
      </c>
      <c r="F41" s="182" t="s">
        <v>1833</v>
      </c>
      <c r="G41"/>
      <c r="I41" s="1143">
        <f>IF($G$34,E41,IF(OR($C$41="",$C$42="",$C$43="",$C$44=""),E41,C41))</f>
        <v>0.4</v>
      </c>
    </row>
    <row r="42" spans="2:11" ht="15" x14ac:dyDescent="0.75">
      <c r="B42" s="774" t="s">
        <v>1794</v>
      </c>
      <c r="C42" s="592"/>
      <c r="D42" s="70"/>
      <c r="E42" s="655">
        <v>0.4</v>
      </c>
      <c r="F42" s="1394" t="s">
        <v>1834</v>
      </c>
      <c r="G42" s="1373"/>
      <c r="H42" s="1373"/>
      <c r="I42" s="1143">
        <f>IF($G$34,E42,IF(OR($C$41="",$C$42="",$C$43="",$C$44=""),E42,C42))</f>
        <v>0.4</v>
      </c>
    </row>
    <row r="43" spans="2:11" ht="14.45" customHeight="1" x14ac:dyDescent="0.75">
      <c r="B43" s="146" t="s">
        <v>852</v>
      </c>
      <c r="C43" s="159"/>
      <c r="D43"/>
      <c r="E43" s="275">
        <v>0.15</v>
      </c>
      <c r="F43" s="182" t="s">
        <v>1835</v>
      </c>
      <c r="G43"/>
      <c r="I43" s="1143">
        <f>IF($G$34,E43,IF(OR($C$41="",$C$42="",$C$43="",$C$44=""),E43,C43))</f>
        <v>0.15</v>
      </c>
    </row>
    <row r="44" spans="2:11" x14ac:dyDescent="0.75">
      <c r="B44" s="967" t="s">
        <v>1478</v>
      </c>
      <c r="C44" s="986">
        <f>1-SUM(C41:C43)</f>
        <v>1</v>
      </c>
      <c r="D44"/>
      <c r="E44" s="655">
        <v>0.05</v>
      </c>
      <c r="F44" s="1370" t="s">
        <v>1836</v>
      </c>
      <c r="G44" s="1371"/>
      <c r="H44" s="1371"/>
      <c r="I44" s="1143">
        <f>IF($G$34,E44,IF(OR($C$41="",$C$42="",$C$43="",$C$44=""),E44,C44))</f>
        <v>0.05</v>
      </c>
    </row>
    <row r="45" spans="2:11" ht="14.9" customHeight="1" x14ac:dyDescent="0.75">
      <c r="B45"/>
      <c r="C45" s="9"/>
      <c r="D45"/>
      <c r="E45"/>
      <c r="F45"/>
      <c r="G45"/>
      <c r="I45" s="895"/>
    </row>
    <row r="46" spans="2:11" ht="14.9" customHeight="1" x14ac:dyDescent="0.75">
      <c r="B46" s="18" t="s">
        <v>851</v>
      </c>
      <c r="C46" s="269" t="s">
        <v>853</v>
      </c>
      <c r="D46"/>
      <c r="E46" s="813" t="s">
        <v>1837</v>
      </c>
      <c r="F46"/>
      <c r="G46"/>
      <c r="I46" s="1144"/>
    </row>
    <row r="47" spans="2:11" ht="14.9" customHeight="1" x14ac:dyDescent="0.75">
      <c r="B47" s="128" t="s">
        <v>1795</v>
      </c>
      <c r="C47" s="69"/>
      <c r="D47" s="5"/>
      <c r="E47" s="274">
        <v>2</v>
      </c>
      <c r="F47" s="182" t="s">
        <v>1590</v>
      </c>
      <c r="G47"/>
      <c r="I47" s="1145">
        <f>IF($G$34,E47,IF(C47="",E47,C47))</f>
        <v>2</v>
      </c>
    </row>
    <row r="48" spans="2:11" ht="14.9" customHeight="1" x14ac:dyDescent="0.75">
      <c r="B48" s="128" t="s">
        <v>1796</v>
      </c>
      <c r="C48" s="69"/>
      <c r="D48" s="5"/>
      <c r="E48" s="274">
        <v>2</v>
      </c>
      <c r="F48" s="182" t="s">
        <v>1590</v>
      </c>
      <c r="I48" s="1145">
        <f t="shared" ref="I48" si="0">IF($G$34,E48,IF(C48="",E48,C48))</f>
        <v>2</v>
      </c>
      <c r="K48" s="995"/>
    </row>
    <row r="49" spans="2:11" ht="14.9" customHeight="1" x14ac:dyDescent="0.75">
      <c r="B49" s="128" t="s">
        <v>1583</v>
      </c>
      <c r="C49" s="69"/>
      <c r="D49"/>
      <c r="E49" s="274">
        <v>1</v>
      </c>
      <c r="F49" s="182" t="s">
        <v>1838</v>
      </c>
      <c r="G49"/>
      <c r="I49" s="1145">
        <f>IF($G$34,E49,IF(C49="",E49,C49))</f>
        <v>1</v>
      </c>
      <c r="K49" s="995"/>
    </row>
    <row r="50" spans="2:11" ht="14.9" customHeight="1" x14ac:dyDescent="0.75">
      <c r="B50" s="128" t="s">
        <v>1584</v>
      </c>
      <c r="C50" s="69"/>
      <c r="D50" s="3"/>
      <c r="E50" s="274">
        <v>2</v>
      </c>
      <c r="F50" s="182" t="s">
        <v>1838</v>
      </c>
      <c r="G50"/>
      <c r="I50" s="1145">
        <f t="shared" ref="I50" si="1">IF($G$34,E50,IF(C50="",E50,C50))</f>
        <v>2</v>
      </c>
      <c r="K50" s="995"/>
    </row>
    <row r="51" spans="2:11" ht="14.9" customHeight="1" x14ac:dyDescent="0.75">
      <c r="B51"/>
      <c r="D51"/>
      <c r="E51"/>
      <c r="F51" s="183"/>
      <c r="G51"/>
      <c r="I51" s="895"/>
    </row>
    <row r="52" spans="2:11" ht="14.9" customHeight="1" x14ac:dyDescent="0.75">
      <c r="B52" s="4" t="s">
        <v>967</v>
      </c>
      <c r="I52" s="895"/>
    </row>
    <row r="53" spans="2:11" ht="14.9" customHeight="1" x14ac:dyDescent="0.75">
      <c r="B53" s="296" t="s">
        <v>1643</v>
      </c>
      <c r="C53" s="355"/>
      <c r="E53" s="356">
        <v>0.13400000000000001</v>
      </c>
      <c r="F53" s="182" t="s">
        <v>943</v>
      </c>
      <c r="I53" s="1143">
        <f t="shared" ref="I53:I54" si="2">IF($G$34,E53,IF(C53="",E53,C53))</f>
        <v>0.13400000000000001</v>
      </c>
    </row>
    <row r="54" spans="2:11" ht="14.9" customHeight="1" x14ac:dyDescent="0.75">
      <c r="B54" s="296" t="s">
        <v>1644</v>
      </c>
      <c r="C54" s="355"/>
      <c r="E54" s="356">
        <v>0.5</v>
      </c>
      <c r="F54" s="182" t="s">
        <v>1035</v>
      </c>
      <c r="I54" s="1143">
        <f t="shared" si="2"/>
        <v>0.5</v>
      </c>
    </row>
    <row r="55" spans="2:11" ht="14.9" customHeight="1" x14ac:dyDescent="0.75">
      <c r="I55" s="895"/>
    </row>
    <row r="56" spans="2:11" s="150" customFormat="1" ht="14.9" customHeight="1" x14ac:dyDescent="0.75">
      <c r="I56" s="1146"/>
    </row>
    <row r="57" spans="2:11" s="6" customFormat="1" ht="14.9" customHeight="1" x14ac:dyDescent="0.75">
      <c r="I57" s="1147"/>
    </row>
    <row r="58" spans="2:11" s="6" customFormat="1" ht="55.4" customHeight="1" x14ac:dyDescent="0.75">
      <c r="B58" s="1374" t="s">
        <v>1839</v>
      </c>
      <c r="C58" s="1374"/>
      <c r="D58" s="1374"/>
      <c r="E58" s="1374"/>
      <c r="F58" s="1374"/>
      <c r="G58" s="1374"/>
      <c r="H58" s="1374"/>
      <c r="I58" s="1148"/>
    </row>
    <row r="59" spans="2:11" ht="30.75" customHeight="1" thickBot="1" x14ac:dyDescent="0.9">
      <c r="B59" s="1386" t="s">
        <v>1316</v>
      </c>
      <c r="C59" s="1386"/>
      <c r="D59" s="1002" t="s">
        <v>880</v>
      </c>
      <c r="I59" s="997"/>
    </row>
    <row r="60" spans="2:11" ht="14.9" customHeight="1" thickTop="1" x14ac:dyDescent="0.75">
      <c r="F60" s="165" t="s">
        <v>856</v>
      </c>
      <c r="I60" s="1149"/>
    </row>
    <row r="61" spans="2:11" s="804" customFormat="1" ht="14.9" customHeight="1" x14ac:dyDescent="0.75">
      <c r="B61" s="4" t="s">
        <v>1594</v>
      </c>
      <c r="F61" s="165"/>
      <c r="I61" s="1149"/>
    </row>
    <row r="62" spans="2:11" ht="34.5" customHeight="1" x14ac:dyDescent="0.75">
      <c r="B62" s="330" t="s">
        <v>1585</v>
      </c>
      <c r="C62" s="152"/>
      <c r="D62" s="6"/>
      <c r="E62" s="282">
        <f ca="1">IFERROR(ROUND('Back Calculations'!C30+'Back Calculations'!C31,0),"")</f>
        <v>15474</v>
      </c>
      <c r="F62" s="1370" t="s">
        <v>1800</v>
      </c>
      <c r="G62" s="1371"/>
      <c r="H62" s="1371"/>
      <c r="I62" s="1145">
        <f ca="1">IF($G$34,E62,IF(C62="",E62,C62))</f>
        <v>15474</v>
      </c>
    </row>
    <row r="63" spans="2:11" ht="14.9" customHeight="1" x14ac:dyDescent="0.75">
      <c r="I63" s="1150"/>
    </row>
    <row r="64" spans="2:11" x14ac:dyDescent="0.75">
      <c r="B64" s="1392" t="str">
        <f ca="1">"Of these "&amp;I62&amp;" HCWs, what % are available for each care setting:"</f>
        <v>Of these 15474 HCWs, what % are available for each care setting:</v>
      </c>
      <c r="C64" s="1392"/>
      <c r="D64" s="772" t="s">
        <v>1438</v>
      </c>
      <c r="E64" s="813" t="s">
        <v>1831</v>
      </c>
      <c r="G64"/>
      <c r="I64" s="1150"/>
    </row>
    <row r="65" spans="2:9" ht="28.5" customHeight="1" x14ac:dyDescent="0.75">
      <c r="B65" s="329" t="s">
        <v>1419</v>
      </c>
      <c r="C65" s="219"/>
      <c r="D65" s="773">
        <f ca="1">IFERROR(I65*$I$62,"")</f>
        <v>6189.6</v>
      </c>
      <c r="E65" s="757">
        <v>0.4</v>
      </c>
      <c r="F65" s="1375" t="s">
        <v>1666</v>
      </c>
      <c r="G65" s="1371"/>
      <c r="H65" s="1371"/>
      <c r="I65" s="1143">
        <f>IF($G$34,E65,IF(OR($C$65="",$C$66="",$C$67=""),E65,C65))</f>
        <v>0.4</v>
      </c>
    </row>
    <row r="66" spans="2:9" ht="31.7" customHeight="1" x14ac:dyDescent="0.75">
      <c r="B66" s="774" t="s">
        <v>1447</v>
      </c>
      <c r="C66" s="592"/>
      <c r="D66" s="773">
        <f ca="1">IFERROR(I66*$I$62,"")</f>
        <v>8370.5634892178605</v>
      </c>
      <c r="E66" s="757">
        <f ca="1">IFERROR('Back Calculations'!$C$44*(1-$E$65),"")</f>
        <v>0.54094374364856279</v>
      </c>
      <c r="F66" s="1370" t="s">
        <v>1525</v>
      </c>
      <c r="G66" s="1371"/>
      <c r="H66" s="1371"/>
      <c r="I66" s="1143">
        <f ca="1">IF($G$34,E66,IF(OR($C$65="",$C$66="",$C$67=""),E66,C66))</f>
        <v>0.54094374364856279</v>
      </c>
    </row>
    <row r="67" spans="2:9" ht="40.4" customHeight="1" x14ac:dyDescent="0.75">
      <c r="B67" s="774" t="s">
        <v>1840</v>
      </c>
      <c r="C67" s="793">
        <f>1-(C65+C66)</f>
        <v>1</v>
      </c>
      <c r="D67" s="773">
        <f ca="1">IFERROR(I67*$I$62,"")</f>
        <v>913.83651078213904</v>
      </c>
      <c r="E67" s="757">
        <f ca="1">IFERROR((1-SUM(E65:E66)),"")</f>
        <v>5.9056256351437186E-2</v>
      </c>
      <c r="F67" s="1370" t="s">
        <v>1841</v>
      </c>
      <c r="G67" s="1371"/>
      <c r="H67" s="1371"/>
      <c r="I67" s="1143">
        <f ca="1">IF($G$34,E67,IF(OR($C$65="",$C$66="",$C$67=""),E67,C67))</f>
        <v>5.9056256351437186E-2</v>
      </c>
    </row>
    <row r="68" spans="2:9" ht="13.5" customHeight="1" x14ac:dyDescent="0.75">
      <c r="C68" s="9" t="str">
        <f ca="1">IF(C67&lt;$E$67,"Please double check the split of staff across each care setting - the staff for outpatients appears low","")</f>
        <v/>
      </c>
      <c r="D68"/>
      <c r="E68"/>
      <c r="F68"/>
      <c r="G68"/>
      <c r="I68" s="1149"/>
    </row>
    <row r="69" spans="2:9" ht="17.25" customHeight="1" x14ac:dyDescent="0.75">
      <c r="E69" s="1393" t="s">
        <v>1844</v>
      </c>
      <c r="F69" s="1393"/>
      <c r="G69" s="1393"/>
      <c r="H69" s="1393"/>
      <c r="I69" s="1149"/>
    </row>
    <row r="70" spans="2:9" ht="18" customHeight="1" thickBot="1" x14ac:dyDescent="0.9">
      <c r="B70" s="797" t="s">
        <v>1842</v>
      </c>
      <c r="C70" s="798"/>
      <c r="E70" s="1393"/>
      <c r="F70" s="1393"/>
      <c r="G70" s="1393"/>
      <c r="H70" s="1393"/>
      <c r="I70" s="1149"/>
    </row>
    <row r="71" spans="2:9" ht="24" customHeight="1" x14ac:dyDescent="0.75">
      <c r="B71" s="799" t="s">
        <v>1469</v>
      </c>
      <c r="C71" s="16" t="s">
        <v>854</v>
      </c>
      <c r="E71" s="1393"/>
      <c r="F71" s="1393"/>
      <c r="G71" s="1393"/>
      <c r="H71" s="1393"/>
      <c r="I71" s="895"/>
    </row>
    <row r="72" spans="2:9" x14ac:dyDescent="0.75">
      <c r="B72" s="151" t="s">
        <v>1600</v>
      </c>
      <c r="C72" s="157"/>
      <c r="E72" s="833">
        <f ca="1">IFERROR(((SUMIFS('Staffing from HRH tool'!I11:I35,'Staffing from HRH tool'!M11:M35,"HCW")/8)*'Back Calculations'!$C$36)+((SUMIFS('Staffing from HRH tool'!H11:H35,'Staffing from HRH tool'!M11:M35,"HCW")/8)*'Back Calculations'!$C$37),"")</f>
        <v>1.602965731101488</v>
      </c>
      <c r="F72" s="1370" t="s">
        <v>1588</v>
      </c>
      <c r="G72" s="1371"/>
      <c r="H72" s="1371"/>
      <c r="I72" s="1151">
        <f ca="1">IF($G$34,E72,IF(C72="",E72,C72))</f>
        <v>1.602965731101488</v>
      </c>
    </row>
    <row r="73" spans="2:9" x14ac:dyDescent="0.75">
      <c r="B73" s="151" t="s">
        <v>1601</v>
      </c>
      <c r="C73" s="158"/>
      <c r="E73" s="833">
        <f ca="1">IFERROR(((SUMIFS('Staffing from HRH tool'!I11:I35,'Staffing from HRH tool'!M11:M35,"Cleaner")/8)*'Back Calculations'!$C$36*10)+((SUMIFS('Staffing from HRH tool'!H11:H35,'Staffing from HRH tool'!M11:M35,"Cleaner")/8)*'Back Calculations'!$C$37*10),"")</f>
        <v>0.42525205155107232</v>
      </c>
      <c r="F73" s="1370" t="s">
        <v>1589</v>
      </c>
      <c r="G73" s="1371"/>
      <c r="H73" s="1371"/>
      <c r="I73" s="1151">
        <f ca="1">IF($G$34,E73,IF(C73="",E73,C73))</f>
        <v>0.42525205155107232</v>
      </c>
    </row>
    <row r="74" spans="2:9" ht="29.25" customHeight="1" x14ac:dyDescent="0.75">
      <c r="B74" s="151" t="s">
        <v>1602</v>
      </c>
      <c r="C74" s="302"/>
      <c r="E74" s="974">
        <f>(2/100)*3</f>
        <v>0.06</v>
      </c>
      <c r="F74" s="1370" t="s">
        <v>1616</v>
      </c>
      <c r="G74" s="1371"/>
      <c r="H74" s="1371"/>
      <c r="I74" s="1151">
        <f>IF($G$34,E74,IF(C74="",E74,C74))</f>
        <v>0.06</v>
      </c>
    </row>
    <row r="75" spans="2:9" s="804" customFormat="1" x14ac:dyDescent="0.75">
      <c r="B75" s="151" t="s">
        <v>1620</v>
      </c>
      <c r="C75" s="302"/>
      <c r="E75" s="974">
        <v>0.02</v>
      </c>
      <c r="F75" s="1370" t="s">
        <v>1615</v>
      </c>
      <c r="G75" s="1371"/>
      <c r="H75" s="1371"/>
      <c r="I75" s="1151">
        <f>IF($G$34,E75,IF(C75="",E75,C75))</f>
        <v>0.02</v>
      </c>
    </row>
    <row r="76" spans="2:9" ht="14.9" customHeight="1" x14ac:dyDescent="0.75">
      <c r="D76"/>
      <c r="E76"/>
      <c r="F76"/>
      <c r="G76"/>
      <c r="I76" s="895"/>
    </row>
    <row r="77" spans="2:9" ht="14.9" customHeight="1" x14ac:dyDescent="0.75">
      <c r="B77" s="814" t="s">
        <v>1586</v>
      </c>
      <c r="I77" s="895"/>
    </row>
    <row r="78" spans="2:9" ht="30.75" customHeight="1" x14ac:dyDescent="0.75">
      <c r="B78" s="834" t="s">
        <v>1587</v>
      </c>
      <c r="C78" s="891"/>
      <c r="E78" s="282">
        <f>8/(SUMIFS('Staffing from HRH tool'!J11:J35,'Staffing from HRH tool'!M5:M29,"HCW"))</f>
        <v>22.857142857142858</v>
      </c>
      <c r="F78" s="1375" t="s">
        <v>1845</v>
      </c>
      <c r="G78" s="1371"/>
      <c r="H78" s="1371"/>
      <c r="I78" s="1145">
        <f>IF($G$34,E78,IF(C78="",E78,C78))</f>
        <v>22.857142857142858</v>
      </c>
    </row>
    <row r="79" spans="2:9" customFormat="1" ht="14.9" customHeight="1" x14ac:dyDescent="0.75">
      <c r="I79" s="997"/>
    </row>
    <row r="80" spans="2:9" s="804" customFormat="1" ht="14.9" customHeight="1" thickBot="1" x14ac:dyDescent="0.9">
      <c r="B80" s="1046" t="s">
        <v>1843</v>
      </c>
      <c r="C80" s="798"/>
      <c r="I80" s="1149"/>
    </row>
    <row r="81" spans="2:9" ht="14.9" customHeight="1" x14ac:dyDescent="0.75">
      <c r="B81" s="832"/>
      <c r="C81" s="16" t="s">
        <v>1470</v>
      </c>
      <c r="E81" s="162" t="s">
        <v>1470</v>
      </c>
      <c r="I81" s="895"/>
    </row>
    <row r="82" spans="2:9" ht="30" customHeight="1" x14ac:dyDescent="0.75">
      <c r="B82" s="330" t="s">
        <v>1591</v>
      </c>
      <c r="C82" s="888"/>
      <c r="E82" s="282">
        <v>0</v>
      </c>
      <c r="F82" s="1375" t="s">
        <v>1667</v>
      </c>
      <c r="G82" s="1371"/>
      <c r="H82" s="1371"/>
      <c r="I82" s="1151">
        <f>IF($G$34,E82,IF(C82="",E82,C82))</f>
        <v>0</v>
      </c>
    </row>
    <row r="83" spans="2:9" ht="45.65" customHeight="1" x14ac:dyDescent="0.75">
      <c r="B83" s="985" t="s">
        <v>1797</v>
      </c>
      <c r="C83" s="891"/>
      <c r="D83"/>
      <c r="E83" s="831">
        <v>1</v>
      </c>
      <c r="F83" s="1375" t="s">
        <v>1668</v>
      </c>
      <c r="G83" s="1371"/>
      <c r="H83" s="1371"/>
      <c r="I83" s="1145">
        <f>IF($G$34,E83,IF(C83="",E83,C83))</f>
        <v>1</v>
      </c>
    </row>
    <row r="84" spans="2:9" ht="14.25" customHeight="1" x14ac:dyDescent="0.75">
      <c r="I84" s="271"/>
    </row>
    <row r="85" spans="2:9" ht="29.5" hidden="1" x14ac:dyDescent="0.75">
      <c r="B85" s="197" t="s">
        <v>1003</v>
      </c>
      <c r="C85" s="16" t="s">
        <v>854</v>
      </c>
      <c r="I85" s="271"/>
    </row>
    <row r="86" spans="2:9" ht="14.25" hidden="1" customHeight="1" x14ac:dyDescent="0.75">
      <c r="B86" s="303" t="s">
        <v>843</v>
      </c>
      <c r="C86" s="445"/>
      <c r="E86" s="545"/>
      <c r="F86" s="10" t="s">
        <v>1144</v>
      </c>
      <c r="I86" s="277">
        <f>IF($G$34,#REF!,C86)</f>
        <v>0</v>
      </c>
    </row>
    <row r="87" spans="2:9" ht="14.25" hidden="1" customHeight="1" x14ac:dyDescent="0.75">
      <c r="B87" s="303" t="s">
        <v>844</v>
      </c>
      <c r="C87" s="446"/>
      <c r="E87" s="545"/>
      <c r="F87" s="10" t="s">
        <v>1144</v>
      </c>
      <c r="I87" s="277">
        <f>IF($G$34,#REF!,C87)</f>
        <v>0</v>
      </c>
    </row>
    <row r="88" spans="2:9" ht="14.25" hidden="1" customHeight="1" x14ac:dyDescent="0.75">
      <c r="B88" s="303" t="s">
        <v>845</v>
      </c>
      <c r="C88" s="446"/>
      <c r="E88" s="545"/>
      <c r="F88" s="10" t="s">
        <v>1144</v>
      </c>
      <c r="I88" s="277">
        <f>IF($G$34,#REF!,C88)</f>
        <v>0</v>
      </c>
    </row>
    <row r="89" spans="2:9" ht="14.25" hidden="1" customHeight="1" x14ac:dyDescent="0.75">
      <c r="B89" s="314"/>
      <c r="C89" s="313"/>
      <c r="I89" s="271"/>
    </row>
    <row r="90" spans="2:9" ht="14.25" hidden="1" customHeight="1" x14ac:dyDescent="0.75">
      <c r="B90" s="4" t="s">
        <v>914</v>
      </c>
      <c r="I90" s="271"/>
    </row>
    <row r="91" spans="2:9" ht="14.25" hidden="1" customHeight="1" x14ac:dyDescent="0.75">
      <c r="B91" s="349" t="s">
        <v>915</v>
      </c>
      <c r="C91" s="444"/>
      <c r="E91" s="274"/>
      <c r="F91" s="10" t="s">
        <v>1144</v>
      </c>
      <c r="I91" s="277">
        <f>IF($G$34,E91,C91)</f>
        <v>0</v>
      </c>
    </row>
    <row r="92" spans="2:9" ht="14.25" hidden="1" customHeight="1" x14ac:dyDescent="0.75">
      <c r="B92" s="293"/>
      <c r="C92" s="294"/>
      <c r="I92" s="271"/>
    </row>
    <row r="93" spans="2:9" s="150" customFormat="1" ht="14.9" customHeight="1" x14ac:dyDescent="0.75">
      <c r="I93" s="792"/>
    </row>
    <row r="94" spans="2:9" ht="14.9" customHeight="1" x14ac:dyDescent="0.75">
      <c r="B94"/>
      <c r="C94"/>
      <c r="D94"/>
      <c r="E94" s="1397" t="s">
        <v>1499</v>
      </c>
      <c r="F94" s="1397"/>
      <c r="G94" s="1397"/>
      <c r="H94" s="1397"/>
      <c r="I94" s="1397"/>
    </row>
    <row r="95" spans="2:9" ht="24.65" customHeight="1" thickBot="1" x14ac:dyDescent="0.9">
      <c r="B95" s="1386" t="s">
        <v>1317</v>
      </c>
      <c r="C95" s="1386"/>
      <c r="D95" s="184" t="s">
        <v>880</v>
      </c>
      <c r="E95" s="1397"/>
      <c r="F95" s="1397"/>
      <c r="G95" s="1397"/>
      <c r="H95" s="1397"/>
      <c r="I95" s="1397"/>
    </row>
    <row r="96" spans="2:9" ht="14.9" customHeight="1" thickTop="1" x14ac:dyDescent="0.75">
      <c r="E96" s="1397"/>
      <c r="F96" s="1397"/>
      <c r="G96" s="1397"/>
      <c r="H96" s="1397"/>
      <c r="I96" s="1397"/>
    </row>
    <row r="97" spans="2:9" ht="14.9" customHeight="1" x14ac:dyDescent="0.75">
      <c r="B97" s="4" t="s">
        <v>909</v>
      </c>
      <c r="E97" s="162"/>
      <c r="F97" s="165" t="s">
        <v>856</v>
      </c>
      <c r="I97" s="271"/>
    </row>
    <row r="98" spans="2:9" ht="28.5" customHeight="1" x14ac:dyDescent="0.75">
      <c r="B98" s="329" t="s">
        <v>1595</v>
      </c>
      <c r="C98" s="152"/>
      <c r="D98" s="754"/>
      <c r="E98" s="282">
        <f>ROUND('Back Calculations'!C19,0)</f>
        <v>36768</v>
      </c>
      <c r="F98" s="1372" t="s">
        <v>1533</v>
      </c>
      <c r="G98" s="1373"/>
      <c r="H98" s="1373"/>
      <c r="I98" s="1145">
        <f>IF($G$34,E98,IF(C98="",E98,C98))</f>
        <v>36768</v>
      </c>
    </row>
    <row r="99" spans="2:9" customFormat="1" x14ac:dyDescent="0.75">
      <c r="F99" s="966"/>
      <c r="G99" s="966"/>
      <c r="H99" s="966"/>
      <c r="I99" s="1149"/>
    </row>
    <row r="100" spans="2:9" ht="27" customHeight="1" x14ac:dyDescent="0.75">
      <c r="B100" s="1392" t="str">
        <f>"Of these "&amp;I98&amp;" beds, what % are available for different settings of care:"</f>
        <v>Of these 36768 beds, what % are available for different settings of care:</v>
      </c>
      <c r="C100" s="1392"/>
      <c r="D100" s="772" t="s">
        <v>1437</v>
      </c>
      <c r="E100" s="813" t="s">
        <v>1846</v>
      </c>
      <c r="I100" s="791"/>
    </row>
    <row r="101" spans="2:9" ht="15" customHeight="1" x14ac:dyDescent="0.75">
      <c r="B101" s="329" t="s">
        <v>1635</v>
      </c>
      <c r="C101" s="755"/>
      <c r="D101" s="771">
        <f>IFERROR(I101*$I$98,"")</f>
        <v>14707.2</v>
      </c>
      <c r="E101" s="757">
        <v>0.4</v>
      </c>
      <c r="F101" s="1375" t="s">
        <v>1669</v>
      </c>
      <c r="G101" s="1398"/>
      <c r="H101" s="1398"/>
      <c r="I101" s="1143">
        <f>IF($G$34,E101,IF(OR($C$101="",$C$102="",$C$103=""),E101,C101))</f>
        <v>0.4</v>
      </c>
    </row>
    <row r="102" spans="2:9" ht="15" customHeight="1" x14ac:dyDescent="0.75">
      <c r="B102" s="329" t="s">
        <v>1596</v>
      </c>
      <c r="C102" s="756">
        <f>1-(C101+C103)</f>
        <v>1</v>
      </c>
      <c r="D102" s="771">
        <f>IFERROR(I102*$I$98,"")</f>
        <v>21185.721600000001</v>
      </c>
      <c r="E102" s="824">
        <f>1-(E101+E103)</f>
        <v>0.57620000000000005</v>
      </c>
      <c r="F102" s="1157" t="s">
        <v>1422</v>
      </c>
      <c r="G102" s="1158"/>
      <c r="H102" s="1158"/>
      <c r="I102" s="1143">
        <f>IF($G$34,E102,IF(OR($C$101="",$C$102="",$C$103=""),E102,C102))</f>
        <v>0.57620000000000005</v>
      </c>
    </row>
    <row r="103" spans="2:9" ht="15" customHeight="1" x14ac:dyDescent="0.75">
      <c r="B103" s="329" t="s">
        <v>1597</v>
      </c>
      <c r="C103" s="931"/>
      <c r="D103" s="771">
        <f>IFERROR(I103*$I$98,"")</f>
        <v>875.0784000000001</v>
      </c>
      <c r="E103" s="1121">
        <f>IF($E$35="Manual",'WB HCW &amp; Beds'!$BU$842,INDEX('WB HCW &amp; Beds'!$BQ$829:$BQ$1092,MATCH(Inputs!$E$35,'WB HCW &amp; Beds'!$B$829:$B$1092,0))/100)</f>
        <v>2.3800000000000002E-2</v>
      </c>
      <c r="F103" s="1370" t="str">
        <f>"Data estimates "&amp;IF($E$35="Manual",'WB HCW &amp; Beds'!$BU$842*100,INDEX('WB HCW &amp; Beds'!$BQ$829:$BQ$1092,MATCH(Inputs!$E$35,'WB HCW &amp; Beds'!$B$829:$B$1092,0)))&amp;"% are beds for critical care"</f>
        <v>Data estimates 2.38% are beds for critical care</v>
      </c>
      <c r="G103" s="1371"/>
      <c r="H103" s="1371"/>
      <c r="I103" s="1143">
        <f>IF($G$34,E103,IF(OR($C$101="",$C$102="",$C$103=""),E103,C103))</f>
        <v>2.3800000000000002E-2</v>
      </c>
    </row>
    <row r="104" spans="2:9" x14ac:dyDescent="0.75">
      <c r="B104" s="220"/>
      <c r="C104" s="156"/>
      <c r="I104" s="791"/>
    </row>
    <row r="105" spans="2:9" ht="24" customHeight="1" x14ac:dyDescent="0.75">
      <c r="B105" s="303" t="s">
        <v>1598</v>
      </c>
      <c r="C105" s="152"/>
      <c r="D105" s="6"/>
      <c r="E105" s="282">
        <v>40</v>
      </c>
      <c r="F105" s="1375" t="s">
        <v>1599</v>
      </c>
      <c r="G105" s="1398"/>
      <c r="H105" s="1398"/>
      <c r="I105" s="1145">
        <f>IF($G$34,E105,IF(C105="",E105,C105))</f>
        <v>40</v>
      </c>
    </row>
    <row r="106" spans="2:9" ht="14.9" customHeight="1" x14ac:dyDescent="0.75">
      <c r="I106" s="895"/>
    </row>
    <row r="107" spans="2:9" ht="14.9" hidden="1" customHeight="1" x14ac:dyDescent="0.75">
      <c r="B107" s="4" t="s">
        <v>907</v>
      </c>
      <c r="I107" s="895"/>
    </row>
    <row r="108" spans="2:9" ht="14.9" hidden="1" customHeight="1" x14ac:dyDescent="0.75">
      <c r="B108" s="303" t="s">
        <v>908</v>
      </c>
      <c r="C108" s="443">
        <v>3</v>
      </c>
      <c r="D108" s="6"/>
      <c r="E108" s="276">
        <v>3</v>
      </c>
      <c r="F108" s="182" t="s">
        <v>1148</v>
      </c>
      <c r="I108" s="1145">
        <f>IF($G$34,E108,C108)</f>
        <v>3</v>
      </c>
    </row>
    <row r="109" spans="2:9" ht="29.5" hidden="1" x14ac:dyDescent="0.75">
      <c r="B109" s="330" t="s">
        <v>1027</v>
      </c>
      <c r="C109" s="443">
        <v>1000</v>
      </c>
      <c r="D109" s="6"/>
      <c r="E109" s="276">
        <v>1000</v>
      </c>
      <c r="F109" s="411" t="s">
        <v>1121</v>
      </c>
      <c r="I109" s="1145">
        <f>IF($G$34,E109,C109)</f>
        <v>1000</v>
      </c>
    </row>
    <row r="110" spans="2:9" ht="14.9" hidden="1" customHeight="1" x14ac:dyDescent="0.75">
      <c r="I110" s="895"/>
    </row>
    <row r="111" spans="2:9" ht="14.9" hidden="1" customHeight="1" x14ac:dyDescent="0.75">
      <c r="B111" s="4" t="s">
        <v>1118</v>
      </c>
      <c r="I111" s="895"/>
    </row>
    <row r="112" spans="2:9" ht="29.5" hidden="1" x14ac:dyDescent="0.75">
      <c r="B112" s="330" t="s">
        <v>1119</v>
      </c>
      <c r="C112" s="425">
        <v>0.5</v>
      </c>
      <c r="D112" s="281"/>
      <c r="E112" s="278">
        <v>0.5</v>
      </c>
      <c r="F112" s="411" t="s">
        <v>1121</v>
      </c>
      <c r="I112" s="1145">
        <f>IF($G$34,E112,C112)</f>
        <v>0.5</v>
      </c>
    </row>
    <row r="113" spans="2:12" ht="14.9" hidden="1" customHeight="1" x14ac:dyDescent="0.75">
      <c r="I113" s="895"/>
    </row>
    <row r="114" spans="2:12" ht="14.9" hidden="1" customHeight="1" x14ac:dyDescent="0.75">
      <c r="B114" s="4" t="s">
        <v>993</v>
      </c>
      <c r="I114" s="895"/>
    </row>
    <row r="115" spans="2:12" hidden="1" x14ac:dyDescent="0.75">
      <c r="B115" s="330" t="s">
        <v>910</v>
      </c>
      <c r="C115" s="443">
        <v>3</v>
      </c>
      <c r="D115" s="281"/>
      <c r="E115" s="282">
        <v>3</v>
      </c>
      <c r="F115" s="442" t="s">
        <v>1145</v>
      </c>
      <c r="I115" s="1145">
        <f>IF($G$34,E115,C115)</f>
        <v>3</v>
      </c>
    </row>
    <row r="116" spans="2:12" ht="10.5" hidden="1" customHeight="1" x14ac:dyDescent="0.75">
      <c r="I116" s="895"/>
    </row>
    <row r="117" spans="2:12" ht="29.5" hidden="1" x14ac:dyDescent="0.75">
      <c r="B117" s="330" t="s">
        <v>911</v>
      </c>
      <c r="C117" s="443">
        <v>20000</v>
      </c>
      <c r="D117" s="281"/>
      <c r="E117" s="282">
        <v>2000</v>
      </c>
      <c r="F117" s="442" t="s">
        <v>1145</v>
      </c>
      <c r="I117" s="1145">
        <f>IF($G$34,E117,C117)</f>
        <v>20000</v>
      </c>
    </row>
    <row r="118" spans="2:12" ht="14.9" hidden="1" customHeight="1" x14ac:dyDescent="0.75">
      <c r="I118" s="895"/>
    </row>
    <row r="119" spans="2:12" s="150" customFormat="1" ht="14.9" customHeight="1" x14ac:dyDescent="0.75">
      <c r="I119" s="1152"/>
    </row>
    <row r="120" spans="2:12" ht="14.9" customHeight="1" x14ac:dyDescent="0.75">
      <c r="I120" s="895"/>
    </row>
    <row r="121" spans="2:12" ht="24.65" customHeight="1" thickBot="1" x14ac:dyDescent="0.9">
      <c r="B121" s="1385" t="s">
        <v>1141</v>
      </c>
      <c r="C121" s="1385"/>
      <c r="D121" s="184" t="s">
        <v>880</v>
      </c>
      <c r="I121" s="895"/>
    </row>
    <row r="122" spans="2:12" ht="11.9" customHeight="1" thickTop="1" x14ac:dyDescent="0.75">
      <c r="B122" s="280"/>
      <c r="C122" s="280"/>
      <c r="D122" s="184"/>
      <c r="I122" s="895"/>
    </row>
    <row r="123" spans="2:12" s="70" customFormat="1" ht="18.649999999999999" customHeight="1" thickBot="1" x14ac:dyDescent="0.9">
      <c r="B123" s="1391" t="s">
        <v>1663</v>
      </c>
      <c r="C123" s="1391"/>
      <c r="I123" s="1153"/>
    </row>
    <row r="124" spans="2:12" customFormat="1" x14ac:dyDescent="0.75">
      <c r="B124" s="1368" t="s">
        <v>1510</v>
      </c>
      <c r="C124" s="1369"/>
      <c r="E124" s="410" t="s">
        <v>1475</v>
      </c>
      <c r="I124" s="1000"/>
    </row>
    <row r="125" spans="2:12" customFormat="1" ht="15" customHeight="1" x14ac:dyDescent="0.75">
      <c r="B125" s="345" t="s">
        <v>1502</v>
      </c>
      <c r="C125" s="415"/>
      <c r="E125" s="274">
        <f>IFERROR(VLOOKUP($E$35,'Diagnostics Module'!$B$20:$J$239,4,0),0)</f>
        <v>15</v>
      </c>
      <c r="F125" s="182"/>
      <c r="I125" s="1145">
        <f t="shared" ref="I125:I129" si="3">IF($G$34,E125,IF(C125="",E125,C125))</f>
        <v>15</v>
      </c>
      <c r="K125" s="132"/>
      <c r="L125" s="132"/>
    </row>
    <row r="126" spans="2:12" customFormat="1" ht="15" customHeight="1" x14ac:dyDescent="0.75">
      <c r="B126" s="345" t="s">
        <v>1503</v>
      </c>
      <c r="C126" s="415"/>
      <c r="E126" s="274">
        <f>IFERROR(VLOOKUP($E$35,'Diagnostics Module'!$B$20:$J$239,5,0),0)</f>
        <v>11</v>
      </c>
      <c r="F126" s="182"/>
      <c r="I126" s="1145">
        <f t="shared" si="3"/>
        <v>11</v>
      </c>
      <c r="K126" s="132"/>
      <c r="L126" s="132"/>
    </row>
    <row r="127" spans="2:12" ht="15" customHeight="1" x14ac:dyDescent="0.75">
      <c r="B127" s="345" t="s">
        <v>1504</v>
      </c>
      <c r="C127" s="415"/>
      <c r="D127"/>
      <c r="E127" s="274">
        <f>IFERROR(VLOOKUP($E$35,'Diagnostics Module'!$B$20:$J$239,6,0),0)</f>
        <v>65</v>
      </c>
      <c r="F127" s="182"/>
      <c r="I127" s="1145">
        <f t="shared" si="3"/>
        <v>65</v>
      </c>
    </row>
    <row r="128" spans="2:12" ht="15" customHeight="1" x14ac:dyDescent="0.75">
      <c r="B128" s="345" t="s">
        <v>1505</v>
      </c>
      <c r="C128" s="415"/>
      <c r="D128"/>
      <c r="E128" s="274">
        <f>IFERROR(VLOOKUP($E$35,'Diagnostics Module'!$B$20:$J$239,7,0),0)</f>
        <v>9</v>
      </c>
      <c r="F128" s="182"/>
      <c r="I128" s="1145">
        <f t="shared" si="3"/>
        <v>9</v>
      </c>
    </row>
    <row r="129" spans="2:9" ht="15" customHeight="1" x14ac:dyDescent="0.75">
      <c r="B129" s="345" t="s">
        <v>1506</v>
      </c>
      <c r="C129" s="415"/>
      <c r="D129"/>
      <c r="E129" s="274">
        <v>0</v>
      </c>
      <c r="F129" s="182"/>
      <c r="I129" s="1145">
        <f t="shared" si="3"/>
        <v>0</v>
      </c>
    </row>
    <row r="130" spans="2:9" ht="15" customHeight="1" x14ac:dyDescent="0.75">
      <c r="B130" s="346" t="s">
        <v>1542</v>
      </c>
      <c r="C130" s="415"/>
      <c r="E130" s="274" t="s">
        <v>1065</v>
      </c>
      <c r="F130" s="272" t="s">
        <v>1318</v>
      </c>
      <c r="I130" s="1145" t="str">
        <f t="shared" ref="I130:I141" si="4">IF($G$34,E130,IF(C130="",E130,C130))</f>
        <v>1 (8 hours)</v>
      </c>
    </row>
    <row r="131" spans="2:9" ht="15" customHeight="1" x14ac:dyDescent="0.75">
      <c r="B131" s="346" t="s">
        <v>1543</v>
      </c>
      <c r="C131" s="415"/>
      <c r="E131" s="274">
        <v>5</v>
      </c>
      <c r="F131" s="272" t="s">
        <v>1066</v>
      </c>
      <c r="G131"/>
      <c r="I131" s="1145">
        <f t="shared" si="4"/>
        <v>5</v>
      </c>
    </row>
    <row r="132" spans="2:9" ht="17.149999999999999" customHeight="1" x14ac:dyDescent="0.75">
      <c r="B132" s="338" t="s">
        <v>1630</v>
      </c>
      <c r="C132" s="416"/>
      <c r="E132" s="278" t="s">
        <v>955</v>
      </c>
      <c r="F132" s="272"/>
      <c r="I132" s="1145" t="str">
        <f>IF($G$34,E132,IF(C132="",E132,C132))</f>
        <v>Split evenly - 50%</v>
      </c>
    </row>
    <row r="133" spans="2:9" customFormat="1" ht="20.9" customHeight="1" x14ac:dyDescent="0.75">
      <c r="B133" s="823" t="s">
        <v>1509</v>
      </c>
      <c r="C133" s="310"/>
      <c r="I133" s="997"/>
    </row>
    <row r="134" spans="2:9" ht="26.45" customHeight="1" x14ac:dyDescent="0.75">
      <c r="B134" s="345" t="s">
        <v>1507</v>
      </c>
      <c r="C134" s="416"/>
      <c r="D134"/>
      <c r="E134" s="1069">
        <f>IFERROR(VLOOKUP($E$35,'Diagnostics Module'!$B$20:$J$239,8,0),0)</f>
        <v>300.57512932651366</v>
      </c>
      <c r="F134" s="1370" t="s">
        <v>1634</v>
      </c>
      <c r="G134" s="1371"/>
      <c r="H134" s="1371"/>
      <c r="I134" s="1145">
        <f>IF($G$34,E134,IF(C134="",E134,C134))</f>
        <v>300.57512932651366</v>
      </c>
    </row>
    <row r="135" spans="2:9" ht="15" customHeight="1" x14ac:dyDescent="0.75">
      <c r="B135" s="347" t="s">
        <v>1511</v>
      </c>
      <c r="C135" s="415"/>
      <c r="E135" s="274" t="s">
        <v>1065</v>
      </c>
      <c r="F135" s="272" t="s">
        <v>1318</v>
      </c>
      <c r="I135" s="1145" t="str">
        <f t="shared" si="4"/>
        <v>1 (8 hours)</v>
      </c>
    </row>
    <row r="136" spans="2:9" ht="15" customHeight="1" x14ac:dyDescent="0.75">
      <c r="B136" s="348" t="s">
        <v>1512</v>
      </c>
      <c r="C136" s="415"/>
      <c r="E136" s="274">
        <v>5</v>
      </c>
      <c r="F136" s="272" t="s">
        <v>1066</v>
      </c>
      <c r="I136" s="1145">
        <f t="shared" si="4"/>
        <v>5</v>
      </c>
    </row>
    <row r="137" spans="2:9" ht="16.399999999999999" customHeight="1" x14ac:dyDescent="0.75">
      <c r="B137" s="338" t="s">
        <v>1631</v>
      </c>
      <c r="C137" s="416"/>
      <c r="E137" s="278" t="s">
        <v>955</v>
      </c>
      <c r="F137" s="272"/>
      <c r="G137"/>
      <c r="I137" s="1145" t="str">
        <f t="shared" ref="I137" si="5">IF($G$34,E137,IF(C137="",E137,C137))</f>
        <v>Split evenly - 50%</v>
      </c>
    </row>
    <row r="138" spans="2:9" customFormat="1" ht="23.15" customHeight="1" x14ac:dyDescent="0.75">
      <c r="B138" s="823" t="s">
        <v>1508</v>
      </c>
      <c r="C138" s="310"/>
      <c r="I138" s="997"/>
    </row>
    <row r="139" spans="2:9" ht="14.9" customHeight="1" x14ac:dyDescent="0.75">
      <c r="B139" s="345" t="s">
        <v>1633</v>
      </c>
      <c r="C139" s="1034"/>
      <c r="D139"/>
      <c r="E139" s="433">
        <f>IFERROR(VLOOKUP($E$35,'Diagnostics Module'!$B$20:$J$239,9,0),3)</f>
        <v>3</v>
      </c>
      <c r="F139" s="182"/>
      <c r="I139" s="1145">
        <f>IF($G$34,E139,IF(C139="",E139,C139))</f>
        <v>3</v>
      </c>
    </row>
    <row r="140" spans="2:9" customFormat="1" ht="14.9" customHeight="1" x14ac:dyDescent="0.75">
      <c r="B140" s="346" t="s">
        <v>951</v>
      </c>
      <c r="C140" s="415"/>
      <c r="D140" s="132"/>
      <c r="E140" s="274" t="s">
        <v>1065</v>
      </c>
      <c r="F140" s="272" t="s">
        <v>1318</v>
      </c>
      <c r="G140" s="132"/>
      <c r="I140" s="1145" t="str">
        <f t="shared" si="4"/>
        <v>1 (8 hours)</v>
      </c>
    </row>
    <row r="141" spans="2:9" customFormat="1" ht="14.9" customHeight="1" x14ac:dyDescent="0.75">
      <c r="B141" s="346" t="s">
        <v>924</v>
      </c>
      <c r="C141" s="415"/>
      <c r="D141" s="132"/>
      <c r="E141" s="274">
        <v>5</v>
      </c>
      <c r="F141" s="272" t="s">
        <v>1066</v>
      </c>
      <c r="I141" s="1145">
        <f t="shared" si="4"/>
        <v>5</v>
      </c>
    </row>
    <row r="142" spans="2:9" ht="15.65" customHeight="1" x14ac:dyDescent="0.75">
      <c r="B142" s="338" t="s">
        <v>1632</v>
      </c>
      <c r="C142" s="416"/>
      <c r="E142" s="278" t="s">
        <v>957</v>
      </c>
      <c r="F142" s="272"/>
      <c r="I142" s="1145" t="str">
        <f>IF($G$34,E142,IF(C142="",E142,C142))</f>
        <v>Fully dedicated - 100%</v>
      </c>
    </row>
    <row r="143" spans="2:9" s="804" customFormat="1" ht="15.65" customHeight="1" x14ac:dyDescent="0.75">
      <c r="B143" s="825"/>
      <c r="C143" s="310"/>
      <c r="E143"/>
      <c r="F143" s="272"/>
      <c r="I143" s="1145"/>
    </row>
    <row r="144" spans="2:9" s="804" customFormat="1" ht="15.65" customHeight="1" x14ac:dyDescent="0.75">
      <c r="B144" s="823" t="s">
        <v>1516</v>
      </c>
      <c r="C144" s="828" t="s">
        <v>1517</v>
      </c>
      <c r="E144"/>
      <c r="F144" s="272"/>
      <c r="I144" s="1145"/>
    </row>
    <row r="145" spans="2:9" s="804" customFormat="1" ht="21" customHeight="1" x14ac:dyDescent="0.75">
      <c r="B145" s="1066"/>
      <c r="C145" s="1034"/>
      <c r="E145" s="826">
        <v>0</v>
      </c>
      <c r="F145" s="1400" t="s">
        <v>1848</v>
      </c>
      <c r="G145" s="1401"/>
      <c r="H145" s="1401"/>
      <c r="I145" s="1145">
        <f>IF($G$34,E145,IF(C145="",E145,C145))</f>
        <v>0</v>
      </c>
    </row>
    <row r="146" spans="2:9" s="804" customFormat="1" ht="30" customHeight="1" thickBot="1" x14ac:dyDescent="0.9">
      <c r="B146" s="827" t="s">
        <v>1518</v>
      </c>
      <c r="C146" s="417"/>
      <c r="E146" s="826">
        <v>0</v>
      </c>
      <c r="F146" s="1400"/>
      <c r="G146" s="1401"/>
      <c r="H146" s="1401"/>
      <c r="I146" s="1145">
        <f>IF($G$34,E146,IF(C146="",E146,C146))</f>
        <v>0</v>
      </c>
    </row>
    <row r="147" spans="2:9" ht="14.9" customHeight="1" x14ac:dyDescent="0.75">
      <c r="B147" s="20"/>
      <c r="C147" s="88"/>
      <c r="F147"/>
      <c r="I147" s="895"/>
    </row>
    <row r="148" spans="2:9" ht="14.9" customHeight="1" x14ac:dyDescent="0.75">
      <c r="B148" s="20"/>
      <c r="C148" s="88"/>
      <c r="E148" s="788"/>
      <c r="I148" s="895"/>
    </row>
    <row r="149" spans="2:9" ht="14.9" customHeight="1" x14ac:dyDescent="0.75">
      <c r="B149" s="333" t="s">
        <v>1378</v>
      </c>
      <c r="C149" s="327">
        <f>'Diagnostics Module'!E15</f>
        <v>10370.98260473755</v>
      </c>
      <c r="E149" s="782">
        <f>'Diagnostics Module'!E15</f>
        <v>10370.98260473755</v>
      </c>
      <c r="F149" s="182" t="s">
        <v>1670</v>
      </c>
      <c r="I149" s="895"/>
    </row>
    <row r="150" spans="2:9" ht="16.399999999999999" customHeight="1" x14ac:dyDescent="0.75">
      <c r="B150" s="1396" t="s">
        <v>1515</v>
      </c>
      <c r="C150" s="1396"/>
      <c r="I150" s="1154"/>
    </row>
    <row r="151" spans="2:9" ht="14.9" customHeight="1" x14ac:dyDescent="0.75">
      <c r="B151" s="129" t="s">
        <v>959</v>
      </c>
      <c r="C151" s="173"/>
      <c r="E151" s="276">
        <f>C149</f>
        <v>10370.98260473755</v>
      </c>
      <c r="F151" s="182" t="str">
        <f>"Use 100,000,000,000 for 'unlimited', or "&amp;ROUND(C149,0)&amp;" for the calculated maximum"</f>
        <v>Use 100,000,000,000 for 'unlimited', or 10371 for the calculated maximum</v>
      </c>
      <c r="I151" s="1145">
        <f>IF($G$34,E151,IF(C151="",E151,C151))</f>
        <v>10370.98260473755</v>
      </c>
    </row>
    <row r="152" spans="2:9" customFormat="1" ht="14.9" customHeight="1" x14ac:dyDescent="0.75">
      <c r="I152" s="998"/>
    </row>
    <row r="153" spans="2:9" s="804" customFormat="1" ht="14.9" customHeight="1" thickBot="1" x14ac:dyDescent="0.9">
      <c r="B153" s="1402" t="s">
        <v>1664</v>
      </c>
      <c r="C153" s="1402"/>
      <c r="I153" s="998"/>
    </row>
    <row r="154" spans="2:9" s="804" customFormat="1" ht="14.9" customHeight="1" x14ac:dyDescent="0.75">
      <c r="B154" s="990" t="s">
        <v>1652</v>
      </c>
      <c r="C154" s="994"/>
      <c r="I154" s="998"/>
    </row>
    <row r="155" spans="2:9" s="804" customFormat="1" ht="14.9" customHeight="1" x14ac:dyDescent="0.75">
      <c r="B155" s="988" t="s">
        <v>1657</v>
      </c>
      <c r="C155" s="1033"/>
      <c r="I155" s="998"/>
    </row>
    <row r="156" spans="2:9" s="804" customFormat="1" ht="14.9" customHeight="1" x14ac:dyDescent="0.75">
      <c r="B156" s="988" t="s">
        <v>1658</v>
      </c>
      <c r="C156" s="1033"/>
      <c r="I156" s="998"/>
    </row>
    <row r="157" spans="2:9" s="804" customFormat="1" ht="14.9" customHeight="1" x14ac:dyDescent="0.75">
      <c r="B157" s="989" t="s">
        <v>1645</v>
      </c>
      <c r="C157" s="310"/>
      <c r="D157" s="993"/>
      <c r="I157" s="998"/>
    </row>
    <row r="158" spans="2:9" s="804" customFormat="1" ht="14.9" customHeight="1" thickBot="1" x14ac:dyDescent="0.9">
      <c r="B158" s="1048" t="s">
        <v>1646</v>
      </c>
      <c r="C158" s="991"/>
      <c r="I158" s="998"/>
    </row>
    <row r="159" spans="2:9" s="804" customFormat="1" ht="14.9" customHeight="1" x14ac:dyDescent="0.75">
      <c r="I159" s="998"/>
    </row>
    <row r="160" spans="2:9" s="804" customFormat="1" ht="14.9" customHeight="1" x14ac:dyDescent="0.75">
      <c r="B160" s="1015" t="s">
        <v>1650</v>
      </c>
      <c r="C160" s="1014">
        <f>SUM('Diagnostics Module'!I15:I16)/7</f>
        <v>0</v>
      </c>
      <c r="I160" s="998"/>
    </row>
    <row r="161" spans="2:9" s="804" customFormat="1" ht="14.9" customHeight="1" x14ac:dyDescent="0.75">
      <c r="B161" s="1367" t="s">
        <v>1659</v>
      </c>
      <c r="C161" s="1367"/>
      <c r="I161" s="998"/>
    </row>
    <row r="162" spans="2:9" ht="14.9" customHeight="1" x14ac:dyDescent="0.75">
      <c r="B162" s="4" t="s">
        <v>971</v>
      </c>
      <c r="E162" s="1160">
        <f>SUM('Back Calculations'!D164:D166)</f>
        <v>890.71891165814213</v>
      </c>
      <c r="F162" s="1159" t="str">
        <f>"Calculated staff needed based on existing platforms: "&amp;CONCATENATE("represents ",ROUND(E162/$I$163,2)*100,"% of estimated lab staff in-country")</f>
        <v>Calculated staff needed based on existing platforms: represents 190% of estimated lab staff in-country</v>
      </c>
      <c r="I162" s="998"/>
    </row>
    <row r="163" spans="2:9" ht="27" customHeight="1" x14ac:dyDescent="0.75">
      <c r="B163" s="328" t="s">
        <v>847</v>
      </c>
      <c r="C163" s="152"/>
      <c r="D163"/>
      <c r="E163" s="282">
        <f>ROUND('Back Calculations'!$C$27,0)</f>
        <v>468</v>
      </c>
      <c r="F163" s="1394" t="s">
        <v>1389</v>
      </c>
      <c r="G163" s="1373"/>
      <c r="H163" s="1373"/>
      <c r="I163" s="1145">
        <f>IF($G$34,E163,IF(C163="",E163,C163))</f>
        <v>468</v>
      </c>
    </row>
    <row r="164" spans="2:9" customFormat="1" ht="14.9" customHeight="1" x14ac:dyDescent="0.75">
      <c r="B164" s="132"/>
      <c r="C164" s="132"/>
      <c r="D164" s="132"/>
      <c r="E164" s="132"/>
      <c r="F164" s="182"/>
      <c r="I164" s="998"/>
    </row>
    <row r="165" spans="2:9" ht="44.45" customHeight="1" x14ac:dyDescent="0.75">
      <c r="B165" s="329" t="str">
        <f>"Of these "&amp;I163&amp;" lab staff, % available for 
COVID-19 response"</f>
        <v>Of these 468 lab staff, % available for 
COVID-19 response</v>
      </c>
      <c r="C165" s="219"/>
      <c r="D165"/>
      <c r="E165" s="278">
        <f>AVERAGE('Back Calculations'!$D$158:$D$160)</f>
        <v>0.66666666666666663</v>
      </c>
      <c r="F165" s="1370" t="s">
        <v>1849</v>
      </c>
      <c r="G165" s="1371"/>
      <c r="H165" s="1371"/>
      <c r="I165" s="1143">
        <f t="shared" ref="I165" si="6">IF($G$34,E165,IF(C165="",E165,C165))</f>
        <v>0.66666666666666663</v>
      </c>
    </row>
    <row r="166" spans="2:9" customFormat="1" ht="10.4" customHeight="1" x14ac:dyDescent="0.75">
      <c r="I166" s="998"/>
    </row>
    <row r="167" spans="2:9" ht="14.9" customHeight="1" x14ac:dyDescent="0.75">
      <c r="B167" s="4" t="s">
        <v>848</v>
      </c>
      <c r="D167"/>
      <c r="G167"/>
      <c r="I167" s="895"/>
    </row>
    <row r="168" spans="2:9" ht="25.4" customHeight="1" x14ac:dyDescent="0.75">
      <c r="B168" s="987" t="s">
        <v>1629</v>
      </c>
      <c r="C168" s="891"/>
      <c r="D168"/>
      <c r="E168" s="282">
        <f>(SUM(I125:I129)/3)+(I134/4)+(I139/3)+(I145/3)</f>
        <v>109.47711566496176</v>
      </c>
      <c r="F168" s="1370" t="s">
        <v>1850</v>
      </c>
      <c r="G168" s="1399"/>
      <c r="H168" s="1399"/>
      <c r="I168" s="1145">
        <f>IF($G$34,E168,IF(C168="",E168,C168))</f>
        <v>109.47711566496176</v>
      </c>
    </row>
    <row r="169" spans="2:9" customFormat="1" ht="14.9" customHeight="1" x14ac:dyDescent="0.75">
      <c r="B169" s="336"/>
      <c r="C169" s="337"/>
      <c r="I169" s="998"/>
    </row>
    <row r="170" spans="2:9" ht="14.9" customHeight="1" x14ac:dyDescent="0.75">
      <c r="B170" s="146" t="s">
        <v>1624</v>
      </c>
      <c r="C170" s="69"/>
      <c r="D170"/>
      <c r="E170" s="274">
        <v>3</v>
      </c>
      <c r="F170" s="182" t="s">
        <v>1534</v>
      </c>
      <c r="G170"/>
      <c r="I170" s="1145">
        <f>IF($G$34,E170,IF(C170="",E170,C170))</f>
        <v>3</v>
      </c>
    </row>
    <row r="171" spans="2:9" ht="14.9" customHeight="1" x14ac:dyDescent="0.75">
      <c r="B171" s="146" t="s">
        <v>1625</v>
      </c>
      <c r="C171" s="69"/>
      <c r="D171"/>
      <c r="E171" s="274">
        <v>1</v>
      </c>
      <c r="F171" s="182" t="s">
        <v>1535</v>
      </c>
      <c r="G171"/>
      <c r="I171" s="1145">
        <f>IF($G$34,E171,IF(C171="",E171,C171))</f>
        <v>1</v>
      </c>
    </row>
    <row r="172" spans="2:9" ht="14.9" customHeight="1" x14ac:dyDescent="0.75">
      <c r="B172" s="146" t="s">
        <v>1626</v>
      </c>
      <c r="C172" s="69"/>
      <c r="D172"/>
      <c r="E172" s="274">
        <v>8</v>
      </c>
      <c r="F172" s="182" t="s">
        <v>1514</v>
      </c>
      <c r="G172"/>
      <c r="I172" s="1145">
        <f>IF($G$34,E172,IF(C172="",E172,C172))</f>
        <v>8</v>
      </c>
    </row>
    <row r="173" spans="2:9" ht="14.9" customHeight="1" x14ac:dyDescent="0.75">
      <c r="B173" s="146" t="s">
        <v>1627</v>
      </c>
      <c r="C173" s="69"/>
      <c r="D173"/>
      <c r="E173" s="274">
        <v>4</v>
      </c>
      <c r="F173" s="182" t="s">
        <v>1513</v>
      </c>
      <c r="G173"/>
      <c r="I173" s="1145">
        <f>IF($G$34,E173,IF(C173="",E173,C173))</f>
        <v>4</v>
      </c>
    </row>
    <row r="174" spans="2:9" ht="14.9" customHeight="1" x14ac:dyDescent="0.75">
      <c r="B174" s="128" t="s">
        <v>1628</v>
      </c>
      <c r="C174" s="161"/>
      <c r="E174" s="275">
        <v>0.1</v>
      </c>
      <c r="F174" s="182" t="s">
        <v>1536</v>
      </c>
      <c r="G174"/>
      <c r="I174" s="1143">
        <f t="shared" ref="I174" si="7">IF($G$34,E174,IF(C174="",E174,C174))</f>
        <v>0.1</v>
      </c>
    </row>
    <row r="175" spans="2:9" ht="14.9" customHeight="1" x14ac:dyDescent="0.75">
      <c r="I175" s="1150"/>
    </row>
    <row r="176" spans="2:9" s="150" customFormat="1" ht="14.9" customHeight="1" x14ac:dyDescent="0.75">
      <c r="I176" s="1152"/>
    </row>
    <row r="177" spans="2:9" ht="14.9" customHeight="1" x14ac:dyDescent="0.75">
      <c r="B177"/>
      <c r="C177"/>
      <c r="D177"/>
      <c r="E177"/>
      <c r="F177"/>
      <c r="G177"/>
      <c r="I177" s="895"/>
    </row>
    <row r="178" spans="2:9" ht="26.15" customHeight="1" thickBot="1" x14ac:dyDescent="0.9">
      <c r="B178" s="1385" t="s">
        <v>857</v>
      </c>
      <c r="C178" s="1385"/>
      <c r="D178" s="184" t="s">
        <v>880</v>
      </c>
      <c r="E178"/>
      <c r="F178"/>
      <c r="G178"/>
      <c r="I178" s="895"/>
    </row>
    <row r="179" spans="2:9" ht="14.9" customHeight="1" thickTop="1" x14ac:dyDescent="0.75">
      <c r="B179"/>
      <c r="C179"/>
      <c r="D179"/>
      <c r="E179"/>
      <c r="F179"/>
      <c r="G179"/>
      <c r="I179" s="895"/>
    </row>
    <row r="180" spans="2:9" ht="14.9" customHeight="1" x14ac:dyDescent="0.95">
      <c r="B180" s="4" t="s">
        <v>1847</v>
      </c>
      <c r="C180" s="168" t="s">
        <v>859</v>
      </c>
      <c r="E180"/>
      <c r="F180"/>
      <c r="G180"/>
      <c r="I180" s="895"/>
    </row>
    <row r="181" spans="2:9" ht="14.9" customHeight="1" x14ac:dyDescent="0.75">
      <c r="B181" s="167" t="s">
        <v>860</v>
      </c>
      <c r="C181" s="69"/>
      <c r="E181" s="274">
        <v>10</v>
      </c>
      <c r="F181" s="272" t="s">
        <v>1381</v>
      </c>
      <c r="G181"/>
      <c r="I181" s="1145">
        <f t="shared" ref="I181:I183" si="8">IF($G$34,E181,IF(C181="",E181,C181))</f>
        <v>10</v>
      </c>
    </row>
    <row r="182" spans="2:9" ht="14.9" customHeight="1" x14ac:dyDescent="0.75">
      <c r="B182" s="167" t="s">
        <v>861</v>
      </c>
      <c r="C182" s="69"/>
      <c r="E182" s="274">
        <v>30</v>
      </c>
      <c r="F182" s="272" t="s">
        <v>1379</v>
      </c>
      <c r="G182"/>
      <c r="I182" s="1145">
        <f t="shared" si="8"/>
        <v>30</v>
      </c>
    </row>
    <row r="183" spans="2:9" ht="14.9" customHeight="1" x14ac:dyDescent="0.75">
      <c r="B183" s="167" t="s">
        <v>861</v>
      </c>
      <c r="C183" s="69"/>
      <c r="E183" s="274">
        <v>30</v>
      </c>
      <c r="F183" s="272" t="s">
        <v>1380</v>
      </c>
      <c r="G183"/>
      <c r="I183" s="1145">
        <f t="shared" si="8"/>
        <v>30</v>
      </c>
    </row>
    <row r="184" spans="2:9" ht="14.9" customHeight="1" x14ac:dyDescent="0.75">
      <c r="E184"/>
      <c r="F184"/>
      <c r="G184"/>
    </row>
    <row r="185" spans="2:9" s="150" customFormat="1" ht="14.9" customHeight="1" x14ac:dyDescent="0.75"/>
    <row r="186" spans="2:9" ht="14.9" customHeight="1" x14ac:dyDescent="0.75">
      <c r="E186"/>
      <c r="F186"/>
      <c r="G186"/>
    </row>
    <row r="187" spans="2:9" ht="26.9" customHeight="1" thickBot="1" x14ac:dyDescent="0.9">
      <c r="B187" s="1385" t="s">
        <v>864</v>
      </c>
      <c r="C187" s="1385"/>
      <c r="D187" s="184" t="s">
        <v>880</v>
      </c>
      <c r="E187"/>
      <c r="F187"/>
      <c r="G187"/>
    </row>
    <row r="188" spans="2:9" ht="14.9" customHeight="1" thickTop="1" x14ac:dyDescent="0.75">
      <c r="B188"/>
      <c r="C188"/>
      <c r="D188"/>
      <c r="E188"/>
      <c r="F188"/>
      <c r="G188"/>
    </row>
    <row r="189" spans="2:9" ht="14.9" customHeight="1" x14ac:dyDescent="0.75">
      <c r="B189"/>
      <c r="C189"/>
      <c r="D189"/>
      <c r="E189"/>
      <c r="F189"/>
      <c r="G189"/>
    </row>
    <row r="190" spans="2:9" ht="14.9" customHeight="1" x14ac:dyDescent="0.75">
      <c r="B190"/>
      <c r="C190"/>
      <c r="D190"/>
      <c r="E190"/>
      <c r="F190"/>
      <c r="G190"/>
    </row>
    <row r="191" spans="2:9" ht="14.9" customHeight="1" x14ac:dyDescent="0.75">
      <c r="B191"/>
      <c r="C191"/>
      <c r="D191"/>
      <c r="E191"/>
      <c r="F191"/>
      <c r="G191"/>
    </row>
    <row r="192" spans="2:9" ht="14.9" customHeight="1" x14ac:dyDescent="0.75">
      <c r="B192"/>
      <c r="C192"/>
      <c r="D192"/>
      <c r="F192"/>
      <c r="G192"/>
    </row>
    <row r="193" spans="2:7" ht="14.9" customHeight="1" x14ac:dyDescent="0.75">
      <c r="C193"/>
      <c r="D193"/>
      <c r="F193"/>
      <c r="G193"/>
    </row>
    <row r="194" spans="2:7" ht="14.9" customHeight="1" x14ac:dyDescent="0.75">
      <c r="B194" s="1395" t="s">
        <v>867</v>
      </c>
      <c r="C194" s="1395"/>
      <c r="D194"/>
      <c r="E194"/>
      <c r="F194"/>
      <c r="G194"/>
    </row>
    <row r="195" spans="2:7" ht="14.9" customHeight="1" x14ac:dyDescent="0.75">
      <c r="B195"/>
      <c r="C195"/>
      <c r="D195"/>
      <c r="E195"/>
      <c r="F195"/>
      <c r="G195"/>
    </row>
  </sheetData>
  <sheetProtection algorithmName="SHA-512" hashValue="Lm6ZFny8hEKypAL5ax48wnnCZl3jJCy8WH7AtiYsFrzOdExAQc0ZVifxndja8f20ON+YWFe7ynLUcMX1uvAzDA==" saltValue="GzEuxxpVPN1fXAhnF2AshQ==" spinCount="100000" sheet="1" objects="1" scenarios="1"/>
  <mergeCells count="44">
    <mergeCell ref="B194:C194"/>
    <mergeCell ref="F83:H83"/>
    <mergeCell ref="F82:H82"/>
    <mergeCell ref="F78:H78"/>
    <mergeCell ref="B150:C150"/>
    <mergeCell ref="E94:I96"/>
    <mergeCell ref="B187:C187"/>
    <mergeCell ref="F163:H163"/>
    <mergeCell ref="F105:H105"/>
    <mergeCell ref="F101:H101"/>
    <mergeCell ref="F103:H103"/>
    <mergeCell ref="F168:H168"/>
    <mergeCell ref="F165:H165"/>
    <mergeCell ref="F145:H146"/>
    <mergeCell ref="F134:H134"/>
    <mergeCell ref="B153:C153"/>
    <mergeCell ref="B6:E14"/>
    <mergeCell ref="B178:C178"/>
    <mergeCell ref="B38:C38"/>
    <mergeCell ref="B18:C18"/>
    <mergeCell ref="B28:C28"/>
    <mergeCell ref="B59:C59"/>
    <mergeCell ref="B95:C95"/>
    <mergeCell ref="B34:C34"/>
    <mergeCell ref="D34:E34"/>
    <mergeCell ref="B121:C121"/>
    <mergeCell ref="B123:C123"/>
    <mergeCell ref="B64:C64"/>
    <mergeCell ref="B100:C100"/>
    <mergeCell ref="E69:H71"/>
    <mergeCell ref="F66:H66"/>
    <mergeCell ref="F42:H42"/>
    <mergeCell ref="F44:H44"/>
    <mergeCell ref="F74:H74"/>
    <mergeCell ref="F67:H67"/>
    <mergeCell ref="B58:H58"/>
    <mergeCell ref="F62:H62"/>
    <mergeCell ref="F65:H65"/>
    <mergeCell ref="B161:C161"/>
    <mergeCell ref="B124:C124"/>
    <mergeCell ref="F72:H72"/>
    <mergeCell ref="F73:H73"/>
    <mergeCell ref="F98:H98"/>
    <mergeCell ref="F75:H75"/>
  </mergeCells>
  <conditionalFormatting sqref="B24:C24">
    <cfRule type="expression" dxfId="104" priority="158">
      <formula>IF($E$22&lt;&gt;1,FALSE,TRUE)</formula>
    </cfRule>
  </conditionalFormatting>
  <conditionalFormatting sqref="B22:C22">
    <cfRule type="expression" dxfId="103" priority="106">
      <formula>IF($E$22&lt;&gt;2,FALSE,TRUE)</formula>
    </cfRule>
  </conditionalFormatting>
  <conditionalFormatting sqref="C68 C70">
    <cfRule type="expression" dxfId="102" priority="105">
      <formula>SUM($I$66:$I$67)&lt;&gt;1</formula>
    </cfRule>
  </conditionalFormatting>
  <conditionalFormatting sqref="E139 E125:E129 E134">
    <cfRule type="expression" dxfId="101" priority="90">
      <formula>IF($G$21,TRUE,FALSE)</formula>
    </cfRule>
  </conditionalFormatting>
  <conditionalFormatting sqref="E62 E149 E98 E105 E163 E168 E151 E41:E44 E181:E183 E170:E174 E165 E108:E109 E115 E117 E91 E53:E54 E103 E139:E142 E134:E137 E125:E132 E146 E82:E83 E47:E50 E74:E75">
    <cfRule type="expression" dxfId="100" priority="159">
      <formula>IF($G$34,TRUE,FALSE)</formula>
    </cfRule>
  </conditionalFormatting>
  <conditionalFormatting sqref="C108:C109 C115 C117 C86:C88 C91">
    <cfRule type="expression" dxfId="99" priority="181">
      <formula>IF($G$34,TRUE,FALSE)</formula>
    </cfRule>
  </conditionalFormatting>
  <conditionalFormatting sqref="C180 C46 C40 C85 C71">
    <cfRule type="expression" dxfId="98" priority="219">
      <formula>IF($G$34,TRUE,FALSE)</formula>
    </cfRule>
  </conditionalFormatting>
  <conditionalFormatting sqref="B150 C169">
    <cfRule type="expression" dxfId="97" priority="225">
      <formula>IF($G$34,TRUE,FALSE)</formula>
    </cfRule>
  </conditionalFormatting>
  <conditionalFormatting sqref="C78 C98 C105 C151 C163 C165 C168 C41:C44 C181:C183 C170:C174 C53:C54 C65:C67 C101:C103 C139 C142 C132 C137 C125:C129 C134 C145:C146 C82:C83 C47:C50 C72:C75">
    <cfRule type="expression" dxfId="96" priority="44">
      <formula>IF($G$34,TRUE,FALSE)</formula>
    </cfRule>
  </conditionalFormatting>
  <conditionalFormatting sqref="C130:C131 C140:C141 C135:C136">
    <cfRule type="expression" dxfId="95" priority="43">
      <formula>IF($G$34,TRUE,FALSE)</formula>
    </cfRule>
  </conditionalFormatting>
  <conditionalFormatting sqref="C149">
    <cfRule type="expression" dxfId="94" priority="42">
      <formula>IF($G$34,TRUE,FALSE)</formula>
    </cfRule>
  </conditionalFormatting>
  <conditionalFormatting sqref="E112">
    <cfRule type="expression" dxfId="93" priority="38">
      <formula>IF($G$34,TRUE,FALSE)</formula>
    </cfRule>
  </conditionalFormatting>
  <conditionalFormatting sqref="C112">
    <cfRule type="expression" dxfId="92" priority="39">
      <formula>IF($G$34,TRUE,FALSE)</formula>
    </cfRule>
  </conditionalFormatting>
  <conditionalFormatting sqref="C62">
    <cfRule type="expression" dxfId="91" priority="35">
      <formula>IF($G$34,TRUE,FALSE)</formula>
    </cfRule>
  </conditionalFormatting>
  <conditionalFormatting sqref="E86:E88">
    <cfRule type="expression" dxfId="90" priority="29">
      <formula>IF($G$34,TRUE,FALSE)</formula>
    </cfRule>
  </conditionalFormatting>
  <conditionalFormatting sqref="E78 E65:E67 E72:E73">
    <cfRule type="expression" dxfId="89" priority="27">
      <formula>IF($G$34,TRUE,FALSE)</formula>
    </cfRule>
  </conditionalFormatting>
  <conditionalFormatting sqref="B22:C24">
    <cfRule type="expression" dxfId="88" priority="23">
      <formula>$E$22=3</formula>
    </cfRule>
  </conditionalFormatting>
  <conditionalFormatting sqref="E102">
    <cfRule type="expression" dxfId="87" priority="17">
      <formula>IF($G$34,TRUE,FALSE)</formula>
    </cfRule>
  </conditionalFormatting>
  <conditionalFormatting sqref="E149:F149">
    <cfRule type="expression" dxfId="86" priority="16">
      <formula>$F$34=FALSE</formula>
    </cfRule>
  </conditionalFormatting>
  <conditionalFormatting sqref="E101">
    <cfRule type="expression" dxfId="85" priority="15">
      <formula>IF($G$34,TRUE,FALSE)</formula>
    </cfRule>
  </conditionalFormatting>
  <conditionalFormatting sqref="E145">
    <cfRule type="expression" dxfId="84" priority="13">
      <formula>IF($G$34,TRUE,FALSE)</formula>
    </cfRule>
  </conditionalFormatting>
  <conditionalFormatting sqref="C80">
    <cfRule type="expression" dxfId="83" priority="12">
      <formula>SUM($I$66:$I$67)&lt;&gt;1</formula>
    </cfRule>
  </conditionalFormatting>
  <conditionalFormatting sqref="C81">
    <cfRule type="expression" dxfId="82" priority="11">
      <formula>IF($G$34,TRUE,FALSE)</formula>
    </cfRule>
  </conditionalFormatting>
  <conditionalFormatting sqref="C133 C138 C143:C144">
    <cfRule type="expression" dxfId="81" priority="10">
      <formula>$F$34=TRUE</formula>
    </cfRule>
  </conditionalFormatting>
  <conditionalFormatting sqref="B145">
    <cfRule type="expression" dxfId="80" priority="9">
      <formula>$F$34=TRUE</formula>
    </cfRule>
  </conditionalFormatting>
  <conditionalFormatting sqref="C155:C156">
    <cfRule type="expression" dxfId="79" priority="8">
      <formula>IF($G$34,TRUE,FALSE)</formula>
    </cfRule>
  </conditionalFormatting>
  <conditionalFormatting sqref="C158">
    <cfRule type="expression" dxfId="78" priority="7">
      <formula>IF($G$34,TRUE,FALSE)</formula>
    </cfRule>
  </conditionalFormatting>
  <conditionalFormatting sqref="C160">
    <cfRule type="expression" dxfId="77" priority="6">
      <formula>IF($G$34,TRUE,FALSE)</formula>
    </cfRule>
  </conditionalFormatting>
  <conditionalFormatting sqref="B161">
    <cfRule type="expression" dxfId="76" priority="5">
      <formula>IF($G$34,TRUE,FALSE)</formula>
    </cfRule>
  </conditionalFormatting>
  <conditionalFormatting sqref="E40">
    <cfRule type="expression" dxfId="75" priority="4">
      <formula>IF($G$34,TRUE,FALSE)</formula>
    </cfRule>
  </conditionalFormatting>
  <conditionalFormatting sqref="D157">
    <cfRule type="expression" dxfId="74" priority="2">
      <formula>$F$34="True"</formula>
    </cfRule>
  </conditionalFormatting>
  <conditionalFormatting sqref="C157">
    <cfRule type="expression" dxfId="73" priority="1">
      <formula>$F$34=TRUE</formula>
    </cfRule>
  </conditionalFormatting>
  <dataValidations count="8">
    <dataValidation type="whole" operator="greaterThanOrEqual" allowBlank="1" showInputMessage="1" showErrorMessage="1" errorTitle="Population too small" error="Please enter an integer greater than or equal to 50, for the population size" sqref="C24" xr:uid="{00000000-0002-0000-0400-000000000000}">
      <formula1>50</formula1>
    </dataValidation>
    <dataValidation type="whole" operator="greaterThanOrEqual" allowBlank="1" showInputMessage="1" showErrorMessage="1" errorTitle="Please enter a positive integer" error="Please enter a positive integer" sqref="I62 C98 I166 I108:I109 C163 C168" xr:uid="{00000000-0002-0000-0400-000001000000}">
      <formula1>0</formula1>
    </dataValidation>
    <dataValidation type="decimal" allowBlank="1" showInputMessage="1" showErrorMessage="1" sqref="C41:C44 C174 C65:C67 C53:C54 C165 C101:C103 E102" xr:uid="{00000000-0002-0000-0400-000002000000}">
      <formula1>0</formula1>
      <formula2>1</formula2>
    </dataValidation>
    <dataValidation type="decimal" operator="greaterThanOrEqual" allowBlank="1" showInputMessage="1" showErrorMessage="1" sqref="C181:C183" xr:uid="{00000000-0002-0000-0400-000003000000}">
      <formula1>0</formula1>
    </dataValidation>
    <dataValidation type="decimal" operator="greaterThanOrEqual" allowBlank="1" showInputMessage="1" showErrorMessage="1" errorTitle="Please enter a positive integer" error="Please enter a positive integer" sqref="E74:E75 C117 C115 C108:C109 C105 C86:C88 C91 E78 C82:C83 I86:I88 I91 C112 C78 E86:E88 C72:C75 E82 C169:C173" xr:uid="{00000000-0002-0000-0400-000004000000}">
      <formula1>0</formula1>
    </dataValidation>
    <dataValidation type="whole" operator="greaterThanOrEqual" allowBlank="1" showInputMessage="1" showErrorMessage="1" sqref="C62 C139 C134 C125:C129 C151 C155:C156 C158 C145:C146" xr:uid="{00000000-0002-0000-0400-000005000000}">
      <formula1>0</formula1>
    </dataValidation>
    <dataValidation type="whole" allowBlank="1" showInputMessage="1" showErrorMessage="1" errorTitle="Whole Number" error="Must be a whole number" sqref="C47:C50" xr:uid="{00000000-0002-0000-0400-000006000000}">
      <formula1>0</formula1>
      <formula2>100000</formula2>
    </dataValidation>
    <dataValidation type="whole" allowBlank="1" showInputMessage="1" showErrorMessage="1" errorTitle="Must be less than 7" error="Must be less than 7" sqref="C141 C136 C131" xr:uid="{00000000-0002-0000-0400-000008000000}">
      <formula1>1</formula1>
      <formula2>7</formula2>
    </dataValidation>
  </dataValidations>
  <hyperlinks>
    <hyperlink ref="G7" location="Inputs!B18" display="Country/Territory Selection" xr:uid="{00000000-0004-0000-0400-000000000000}"/>
    <hyperlink ref="G8" location="Inputs!B28" display="Current Cumulative Case Count" xr:uid="{00000000-0004-0000-0400-000001000000}"/>
    <hyperlink ref="G10" location="Inputs!B59" display="Health Care Workers (HCW) and Staff" xr:uid="{00000000-0004-0000-0400-000002000000}"/>
    <hyperlink ref="G11" location="Inputs!B95" display="Hospital Infrastructure" xr:uid="{00000000-0004-0000-0400-000003000000}"/>
    <hyperlink ref="G13" location="Inputs!B178" display="Oxygen Use" xr:uid="{00000000-0004-0000-0400-000004000000}"/>
    <hyperlink ref="G14" location="'Equipment List &amp; Usage'!B15" display="Equipment Use" xr:uid="{00000000-0004-0000-0400-000005000000}"/>
    <hyperlink ref="D38" location="Inputs!A1" display="Back to Top" xr:uid="{00000000-0004-0000-0400-000006000000}"/>
    <hyperlink ref="D187" location="Inputs!A1" display="Back to Top" xr:uid="{00000000-0004-0000-0400-000007000000}"/>
    <hyperlink ref="D178" location="Inputs!A1" display="Back to Top" xr:uid="{00000000-0004-0000-0400-000008000000}"/>
    <hyperlink ref="D95" location="Inputs!A1" display="Back to Top" xr:uid="{00000000-0004-0000-0400-000009000000}"/>
    <hyperlink ref="D121" location="Inputs!A1" display="Back to Top" xr:uid="{00000000-0004-0000-0400-00000A000000}"/>
    <hyperlink ref="B194:C194" location="'Equipment List &amp; Usage'!B2" display="Jump to Equipment Assumption Inputs" xr:uid="{00000000-0004-0000-0400-00000B000000}"/>
    <hyperlink ref="D59" location="Inputs!A1" display="Back to Top" xr:uid="{00000000-0004-0000-0400-00000C000000}"/>
    <hyperlink ref="D28" location="Inputs!A1" display="Back to Top" xr:uid="{00000000-0004-0000-0400-00000D000000}"/>
    <hyperlink ref="G12" location="Inputs!B121" display="Labs and Testing" xr:uid="{00000000-0004-0000-0400-00000E000000}"/>
    <hyperlink ref="G9" location="Inputs!B38" display="Patients and Case Severity" xr:uid="{00000000-0004-0000-0400-00000F000000}"/>
  </hyperlinks>
  <pageMargins left="0.7" right="0.7" top="0.75" bottom="0.75" header="0.3" footer="0.3"/>
  <pageSetup orientation="portrait" r:id="rId1"/>
  <ignoredErrors>
    <ignoredError sqref="D102" formula="1"/>
    <ignoredError sqref="I103:I183 I98:I102 I38:I8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7364" r:id="rId4" name="Check Box 20">
              <controlPr locked="0" defaultSize="0" autoFill="0" autoLine="0" autoPict="0">
                <anchor moveWithCells="1">
                  <from>
                    <xdr:col>2</xdr:col>
                    <xdr:colOff>1323975</xdr:colOff>
                    <xdr:row>33</xdr:row>
                    <xdr:rowOff>28575</xdr:rowOff>
                  </from>
                  <to>
                    <xdr:col>4</xdr:col>
                    <xdr:colOff>1209675</xdr:colOff>
                    <xdr:row>33</xdr:row>
                    <xdr:rowOff>371475</xdr:rowOff>
                  </to>
                </anchor>
              </controlPr>
            </control>
          </mc:Choice>
        </mc:AlternateContent>
        <mc:AlternateContent xmlns:mc="http://schemas.openxmlformats.org/markup-compatibility/2006">
          <mc:Choice Requires="x14">
            <control shapeId="57360" r:id="rId5" name="Option Button 16">
              <controlPr locked="0" defaultSize="0" autoFill="0" autoLine="0" autoPict="0">
                <anchor moveWithCells="1">
                  <from>
                    <xdr:col>1</xdr:col>
                    <xdr:colOff>2790825</xdr:colOff>
                    <xdr:row>18</xdr:row>
                    <xdr:rowOff>152400</xdr:rowOff>
                  </from>
                  <to>
                    <xdr:col>2</xdr:col>
                    <xdr:colOff>695325</xdr:colOff>
                    <xdr:row>20</xdr:row>
                    <xdr:rowOff>9525</xdr:rowOff>
                  </to>
                </anchor>
              </controlPr>
            </control>
          </mc:Choice>
        </mc:AlternateContent>
        <mc:AlternateContent xmlns:mc="http://schemas.openxmlformats.org/markup-compatibility/2006">
          <mc:Choice Requires="x14">
            <control shapeId="57361" r:id="rId6" name="Option Button 17">
              <controlPr locked="0" defaultSize="0" autoFill="0" autoLine="0" autoPict="0">
                <anchor moveWithCells="1">
                  <from>
                    <xdr:col>2</xdr:col>
                    <xdr:colOff>800100</xdr:colOff>
                    <xdr:row>18</xdr:row>
                    <xdr:rowOff>142875</xdr:rowOff>
                  </from>
                  <to>
                    <xdr:col>3</xdr:col>
                    <xdr:colOff>180975</xdr:colOff>
                    <xdr:row>20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8" id="{D6F4ED7D-1F43-43C9-9393-710677B000F8}">
            <xm:f>IF(DISCLAIMER!I11=1,FALSE,TRUE)</xm:f>
            <x14:dxf>
              <font>
                <b/>
                <i val="0"/>
                <color theme="0"/>
              </font>
              <fill>
                <patternFill>
                  <bgColor rgb="FFC00000"/>
                </patternFill>
              </fill>
            </x14:dxf>
          </x14:cfRule>
          <xm:sqref>B20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A000000}">
          <x14:formula1>
            <xm:f>'Back Calculations'!$F$132:$F$135</xm:f>
          </x14:formula1>
          <xm:sqref>C137 C132 C142</xm:sqref>
        </x14:dataValidation>
        <x14:dataValidation type="list" allowBlank="1" showInputMessage="1" showErrorMessage="1" xr:uid="{00000000-0002-0000-0400-00000D000000}">
          <x14:formula1>
            <xm:f>'WB Population Data'!$B$6:$B$222</xm:f>
          </x14:formula1>
          <xm:sqref>C22</xm:sqref>
        </x14:dataValidation>
        <x14:dataValidation type="list" allowBlank="1" showInputMessage="1" showErrorMessage="1" xr:uid="{00000000-0002-0000-0400-00000E000000}">
          <x14:formula1>
            <xm:f>lists!$B$38:$B$40</xm:f>
          </x14:formula1>
          <xm:sqref>C130 C135 C140</xm:sqref>
        </x14:dataValidation>
        <x14:dataValidation type="whole" allowBlank="1" showErrorMessage="1" errorTitle="Error:" error="Known cumulative cases must be less than the expected total number of cases (i.e., Population * Attack Rate) and greater than 1. Adjust these settings under &quot;Define Infections and Growth Rate&quot; on the 'User Dashboard' tab." promptTitle="Error:" xr:uid="{00000000-0002-0000-0400-00000F000000}">
          <x14:formula1>
            <xm:f>1</xm:f>
          </x14:formula1>
          <x14:formula2>
            <xm:f>'Back Calculations'!C111</xm:f>
          </x14:formula2>
          <xm:sqref>C30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1E7FB8"/>
  </sheetPr>
  <dimension ref="A1:BU231"/>
  <sheetViews>
    <sheetView showGridLines="0" zoomScale="80" zoomScaleNormal="80" workbookViewId="0"/>
  </sheetViews>
  <sheetFormatPr defaultColWidth="8.40625" defaultRowHeight="14.75" x14ac:dyDescent="0.75"/>
  <cols>
    <col min="1" max="1" width="4" style="87" customWidth="1"/>
    <col min="2" max="2" width="26.40625" style="87" customWidth="1"/>
    <col min="3" max="3" width="27.40625" style="87" customWidth="1"/>
    <col min="4" max="4" width="23.40625" style="87" customWidth="1"/>
    <col min="5" max="5" width="22.40625" style="87" customWidth="1"/>
    <col min="6" max="6" width="17.40625" style="87" customWidth="1"/>
    <col min="7" max="7" width="38.40625" style="88" customWidth="1"/>
    <col min="8" max="8" width="20.40625" style="87" customWidth="1"/>
    <col min="9" max="9" width="16.40625" style="87" bestFit="1" customWidth="1"/>
    <col min="10" max="10" width="16.40625" style="87" customWidth="1"/>
    <col min="11" max="12" width="13.40625" style="87" customWidth="1"/>
    <col min="13" max="13" width="14.40625" style="87" bestFit="1" customWidth="1"/>
    <col min="14" max="18" width="13.40625" style="87" customWidth="1"/>
    <col min="19" max="19" width="18.40625" style="87" customWidth="1"/>
    <col min="20" max="22" width="13.40625" style="87" customWidth="1"/>
    <col min="23" max="23" width="74.54296875" style="87" customWidth="1"/>
    <col min="24" max="24" width="13.40625" style="118" customWidth="1"/>
    <col min="25" max="29" width="13.40625" style="87" customWidth="1"/>
    <col min="30" max="30" width="17.40625" style="87" customWidth="1"/>
    <col min="31" max="31" width="13.40625" style="87" customWidth="1"/>
    <col min="32" max="34" width="14.86328125" style="87" customWidth="1"/>
    <col min="35" max="36" width="13.40625" style="87" customWidth="1"/>
    <col min="37" max="38" width="20.40625" style="87" customWidth="1"/>
    <col min="39" max="39" width="23.40625" style="87" customWidth="1"/>
    <col min="40" max="40" width="19.40625" style="87" customWidth="1"/>
    <col min="41" max="43" width="4.40625" style="87" customWidth="1"/>
    <col min="44" max="56" width="13.40625" style="87" customWidth="1"/>
    <col min="57" max="66" width="8.40625" style="87"/>
  </cols>
  <sheetData>
    <row r="1" spans="1:66" ht="9" customHeight="1" x14ac:dyDescent="0.75">
      <c r="A1" s="87" t="s">
        <v>1857</v>
      </c>
    </row>
    <row r="2" spans="1:66" s="85" customFormat="1" ht="39" customHeight="1" x14ac:dyDescent="0.9">
      <c r="C2" s="86" t="s">
        <v>905</v>
      </c>
      <c r="D2" s="86"/>
      <c r="E2" s="86"/>
      <c r="X2" s="762"/>
    </row>
    <row r="4" spans="1:66" s="561" customFormat="1" ht="36" customHeight="1" x14ac:dyDescent="0.75">
      <c r="A4" s="1441" t="s">
        <v>1854</v>
      </c>
      <c r="B4" s="1441"/>
      <c r="C4" s="1441"/>
      <c r="D4" s="1441"/>
      <c r="E4" s="1441"/>
      <c r="F4" s="1441"/>
      <c r="G4" s="1441"/>
      <c r="H4" s="1441"/>
      <c r="I4" s="1441"/>
      <c r="X4" s="763"/>
    </row>
    <row r="5" spans="1:66" ht="11.15" customHeight="1" x14ac:dyDescent="0.75"/>
    <row r="6" spans="1:66" s="148" customFormat="1" ht="17.149999999999999" customHeight="1" x14ac:dyDescent="0.75">
      <c r="B6" s="149" t="s">
        <v>894</v>
      </c>
    </row>
    <row r="7" spans="1:66" ht="17.149999999999999" customHeight="1" thickBot="1" x14ac:dyDescent="0.9">
      <c r="A7"/>
      <c r="B7"/>
      <c r="C7"/>
      <c r="D7"/>
      <c r="E7"/>
      <c r="F7"/>
      <c r="G7"/>
      <c r="H7"/>
      <c r="I7"/>
      <c r="J7"/>
      <c r="K7"/>
      <c r="L7"/>
      <c r="M7"/>
      <c r="N7"/>
      <c r="O7" s="760" t="s">
        <v>1427</v>
      </c>
      <c r="P7"/>
      <c r="Q7" s="4" t="s">
        <v>1788</v>
      </c>
      <c r="R7"/>
      <c r="S7"/>
      <c r="T7"/>
      <c r="V7"/>
      <c r="W7"/>
      <c r="X7" s="9"/>
      <c r="Y7"/>
      <c r="Z7" s="4" t="s">
        <v>1428</v>
      </c>
      <c r="AA7"/>
      <c r="AB7" s="4" t="s">
        <v>1790</v>
      </c>
      <c r="AC7"/>
      <c r="AD7"/>
      <c r="AE7"/>
      <c r="AF7"/>
      <c r="AG7"/>
      <c r="AH7"/>
      <c r="AI7" s="4" t="str">
        <f>"SIR Model Step 3: Define " &amp;Z12&amp; " stages of response"</f>
        <v>SIR Model Step 3: Define 1 stages of response</v>
      </c>
      <c r="AJ7"/>
      <c r="AK7"/>
      <c r="AL7"/>
      <c r="AM7"/>
      <c r="AN7"/>
      <c r="AO7"/>
      <c r="AP7"/>
      <c r="AQ7"/>
      <c r="AR7"/>
      <c r="AS7"/>
      <c r="AT7"/>
      <c r="AU7"/>
      <c r="AV7"/>
      <c r="AW7"/>
      <c r="AX7"/>
      <c r="AY7"/>
      <c r="AZ7"/>
      <c r="BA7"/>
      <c r="BB7"/>
      <c r="BC7"/>
      <c r="BD7"/>
      <c r="BE7"/>
      <c r="BF7"/>
      <c r="BG7"/>
      <c r="BH7"/>
      <c r="BI7"/>
      <c r="BJ7"/>
      <c r="BK7"/>
      <c r="BL7"/>
      <c r="BM7"/>
      <c r="BN7"/>
    </row>
    <row r="8" spans="1:66" s="132" customFormat="1" ht="17.149999999999999" customHeight="1" thickBot="1" x14ac:dyDescent="0.9">
      <c r="J8" s="1490" t="s">
        <v>1439</v>
      </c>
      <c r="K8" s="1491"/>
      <c r="O8" s="87"/>
      <c r="U8" s="87"/>
      <c r="X8" s="9"/>
      <c r="Z8" s="1471" t="s">
        <v>1791</v>
      </c>
      <c r="AA8" s="1471"/>
      <c r="AB8" s="1471"/>
      <c r="AC8" s="1471"/>
      <c r="AD8" s="1471"/>
      <c r="AE8" s="1471"/>
      <c r="AF8" s="1471"/>
      <c r="AG8" s="1471"/>
      <c r="AH8" s="1471"/>
      <c r="AI8" s="87"/>
    </row>
    <row r="9" spans="1:66" ht="15.95" customHeight="1" x14ac:dyDescent="0.75">
      <c r="J9" s="1459" t="s">
        <v>1443</v>
      </c>
      <c r="K9" s="1460"/>
      <c r="Q9" s="1481" t="s">
        <v>1671</v>
      </c>
      <c r="R9" s="1481"/>
      <c r="S9" s="1482"/>
      <c r="T9" s="1475" t="str">
        <f>IF(W9,"Inputs will use reference values
(Hover over cells to view reference citation)","User to input values - Otherwise click here if you would like to use reference values")</f>
        <v>User to input values - Otherwise click here if you would like to use reference values</v>
      </c>
      <c r="U9" s="1476"/>
      <c r="V9" s="1477"/>
      <c r="W9" s="1164" t="b">
        <v>0</v>
      </c>
      <c r="X9" s="9"/>
      <c r="Z9" s="1471"/>
      <c r="AA9" s="1471"/>
      <c r="AB9" s="1471"/>
      <c r="AC9" s="1471"/>
      <c r="AD9" s="1471"/>
      <c r="AE9" s="1471"/>
      <c r="AF9" s="1471"/>
      <c r="AG9" s="1471"/>
      <c r="AH9" s="1471"/>
    </row>
    <row r="10" spans="1:66" ht="18.649999999999999" customHeight="1" x14ac:dyDescent="0.75">
      <c r="G10" s="87"/>
      <c r="J10" s="1492" t="s">
        <v>1665</v>
      </c>
      <c r="K10" s="1493"/>
      <c r="P10" s="761"/>
      <c r="Q10" s="1481"/>
      <c r="R10" s="1481"/>
      <c r="S10" s="1482"/>
      <c r="T10" s="1478"/>
      <c r="U10" s="1479"/>
      <c r="V10" s="1480"/>
      <c r="W10"/>
      <c r="X10" s="9"/>
      <c r="Z10" s="1471"/>
      <c r="AA10" s="1471"/>
      <c r="AB10" s="1471"/>
      <c r="AC10" s="1471"/>
      <c r="AD10" s="1471"/>
      <c r="AE10" s="1471"/>
      <c r="AF10" s="1471"/>
      <c r="AG10" s="1471"/>
      <c r="AH10" s="1471"/>
      <c r="AI10" s="829" t="s">
        <v>1519</v>
      </c>
    </row>
    <row r="11" spans="1:66" ht="18" customHeight="1" thickBot="1" x14ac:dyDescent="0.9">
      <c r="D11" s="181" t="s">
        <v>1143</v>
      </c>
      <c r="G11"/>
      <c r="H11"/>
      <c r="I11" s="439"/>
      <c r="J11" s="1494" t="s">
        <v>1444</v>
      </c>
      <c r="K11" s="1495"/>
      <c r="N11" s="96"/>
      <c r="O11" s="1489"/>
      <c r="P11" s="1489"/>
      <c r="Q11" s="1489"/>
      <c r="T11" s="758" t="s">
        <v>1500</v>
      </c>
      <c r="U11" s="414" t="str">
        <f>Inputs!E35</f>
        <v>Zambia</v>
      </c>
      <c r="Z11" s="2" t="s">
        <v>1415</v>
      </c>
      <c r="AF11" s="319"/>
      <c r="AG11" s="319"/>
      <c r="AH11" s="319"/>
      <c r="AI11" s="1339" t="s">
        <v>1520</v>
      </c>
    </row>
    <row r="12" spans="1:66" ht="36" customHeight="1" thickBot="1" x14ac:dyDescent="0.9">
      <c r="B12" s="216" t="s">
        <v>706</v>
      </c>
      <c r="C12" s="217" t="s">
        <v>1014</v>
      </c>
      <c r="D12" s="163" t="str">
        <f>IF(C12="exponential growth","",IF(C12="Manual Entry","Click to manually enter case numbers -----&gt;","Click above ^ to adjust SIR Model and select attack rate below"))</f>
        <v>Click above ^ to adjust SIR Model and select attack rate below</v>
      </c>
      <c r="E12" s="181" t="s">
        <v>1856</v>
      </c>
      <c r="G12" s="225" t="str">
        <f>IFERROR("Number of weeks to forecast equipment for (#) - Max is: "&amp;J12&amp;"","Ensure clinical attack rate has been selected")</f>
        <v>Number of weeks to forecast equipment for (#) - Max is: 28</v>
      </c>
      <c r="H12" s="226">
        <v>12</v>
      </c>
      <c r="I12" s="1333">
        <f>MIN(J12,H12)</f>
        <v>12</v>
      </c>
      <c r="J12" s="1333">
        <f>IF(C12="Manual Entry",MAX('Patient Calcs'!B73:B125),IF(C12="SIR Model",MAX('Patient Calcs'!B130:B182),(ROUNDUP(IF(Doubling_rate_modelled="Combined",'Back Calculations'!C$119,'Back Calculations'!C$115),0))))-$H$13</f>
        <v>28</v>
      </c>
      <c r="K12" s="1463" t="s">
        <v>1609</v>
      </c>
      <c r="L12" s="1463"/>
      <c r="O12" s="1484" t="s">
        <v>1425</v>
      </c>
      <c r="P12" s="1485"/>
      <c r="Q12" s="1486"/>
      <c r="R12" s="553"/>
      <c r="T12" s="547">
        <v>7</v>
      </c>
      <c r="U12" s="1483" t="s">
        <v>1789</v>
      </c>
      <c r="V12" s="1483"/>
      <c r="W12" s="1483"/>
      <c r="X12" s="767">
        <f>IF('User Dashboard'!$W$9,T12,IF('User Dashboard'!R12="",T12,'User Dashboard'!R12))</f>
        <v>7</v>
      </c>
      <c r="Z12" s="368">
        <v>1</v>
      </c>
      <c r="AA12" s="997"/>
      <c r="AB12" s="997"/>
      <c r="AC12" s="997"/>
      <c r="AD12" s="997"/>
      <c r="AE12" s="997"/>
      <c r="AF12" s="552"/>
      <c r="AG12" s="1013"/>
      <c r="AH12" s="319"/>
    </row>
    <row r="13" spans="1:66" ht="36" customHeight="1" thickBot="1" x14ac:dyDescent="0.9">
      <c r="B13" s="99" t="s">
        <v>583</v>
      </c>
      <c r="C13" s="64" t="s">
        <v>579</v>
      </c>
      <c r="D13" s="163" t="str">
        <f>IFERROR(IF(Attack_rate_modelled="manual","Manually enter Clinical 
Attack Rate --&gt;",CONCATENATE(" ",AttackRate*100,"%"," clinical attack rate")),"")</f>
        <v xml:space="preserve"> 20% clinical attack rate</v>
      </c>
      <c r="E13" s="777">
        <v>0.2</v>
      </c>
      <c r="F13" s="181"/>
      <c r="G13" s="101" t="s">
        <v>902</v>
      </c>
      <c r="H13" s="65">
        <v>0</v>
      </c>
      <c r="I13" s="1461" t="s">
        <v>1548</v>
      </c>
      <c r="J13" s="1462"/>
      <c r="K13"/>
      <c r="L13"/>
      <c r="O13" s="1408" t="s">
        <v>1674</v>
      </c>
      <c r="P13" s="1487"/>
      <c r="Q13" s="1488"/>
      <c r="R13" s="368"/>
      <c r="T13" s="547">
        <f>IF(2^((((LN('Back Calculations'!C110)/LN(2))*(4/7))-(T12/7))/(4/7))&lt;0,0,2^((((LN('Back Calculations'!C110)/LN(2))*(4/7))-(T12/7))/(4/7)))</f>
        <v>0.29730177875068026</v>
      </c>
      <c r="U13" s="1483" t="s">
        <v>1787</v>
      </c>
      <c r="V13" s="1483"/>
      <c r="W13" s="1483"/>
      <c r="X13" s="1126">
        <f>IF('User Dashboard'!$W$9,T13,IF('User Dashboard'!R13="",T13,'User Dashboard'!R13))</f>
        <v>0.29730177875068026</v>
      </c>
      <c r="Z13" s="1407" t="s">
        <v>1521</v>
      </c>
      <c r="AA13" s="1407"/>
      <c r="AB13" s="1407"/>
      <c r="AC13" s="1407"/>
      <c r="AD13" s="1407"/>
      <c r="AE13" s="1407"/>
      <c r="AF13" s="1407"/>
      <c r="AG13" s="1407"/>
      <c r="AH13" s="319"/>
      <c r="AI13" s="1168" t="s">
        <v>1314</v>
      </c>
      <c r="AJ13" s="1169" t="s">
        <v>1362</v>
      </c>
      <c r="AK13" s="1170" t="s">
        <v>1360</v>
      </c>
      <c r="AL13" s="1337" t="s">
        <v>1361</v>
      </c>
      <c r="AM13" s="1171" t="s">
        <v>1523</v>
      </c>
      <c r="AN13" s="1172" t="s">
        <v>1313</v>
      </c>
    </row>
    <row r="14" spans="1:66" ht="39.950000000000003" customHeight="1" thickBot="1" x14ac:dyDescent="0.9">
      <c r="B14" s="100" t="s">
        <v>700</v>
      </c>
      <c r="C14" s="218" t="s">
        <v>579</v>
      </c>
      <c r="D14" s="163" t="str">
        <f>IFERROR(IF(Doubling_rate_modelled="manual","Manually enter Doubling Rate (days) --&gt;",IF(Doubling_rate_modelled="Combined","",CONCATENATE(" Infections double every ",ROUND(INDEX('Back Calculations'!$C$89:$C$99,MATCH(Doubling_rate_modelled,'Back Calculations'!$B$89:$B$99,0)),1)," days"))),"")</f>
        <v xml:space="preserve"> Infections double every 4 days</v>
      </c>
      <c r="E14" s="778"/>
      <c r="G14"/>
      <c r="I14" s="357"/>
      <c r="J14" s="1413" t="s">
        <v>1399</v>
      </c>
      <c r="K14" s="1413"/>
      <c r="L14" s="1413"/>
      <c r="O14" s="1408" t="s">
        <v>1675</v>
      </c>
      <c r="P14" s="1409"/>
      <c r="Q14" s="1410"/>
      <c r="R14" s="553"/>
      <c r="T14" s="548">
        <f>IFERROR(VLOOKUP(Inputs!E35,'Daily Contacts by Country'!A3:BB152,54,FALSE),IFERROR(AVERAGEIFS('Daily Contacts by Country'!BB:BB,'Daily Contacts by Country'!B:B,VLOOKUP(Inputs!E35,'HCW + Staff Summary'!B:E,4,FALSE)),AVERAGE('Daily Contacts by Country'!BB:BB)))</f>
        <v>15.209356603107825</v>
      </c>
      <c r="U14" s="1483" t="s">
        <v>1792</v>
      </c>
      <c r="V14" s="1483"/>
      <c r="W14" s="1483"/>
      <c r="X14" s="768">
        <f>IF('User Dashboard'!$W$9,T14,IF('User Dashboard'!R14="",T14,'User Dashboard'!R14))</f>
        <v>15.209356603107825</v>
      </c>
      <c r="Z14" s="549" t="s">
        <v>1522</v>
      </c>
      <c r="AA14" s="997"/>
      <c r="AB14" s="997"/>
      <c r="AC14" s="997"/>
      <c r="AD14" s="997"/>
      <c r="AE14" s="144"/>
      <c r="AF14" s="1013"/>
      <c r="AG14" s="1013"/>
      <c r="AH14" s="319"/>
      <c r="AI14" s="1173">
        <v>1</v>
      </c>
      <c r="AJ14" s="1119">
        <v>0</v>
      </c>
      <c r="AK14" s="594"/>
      <c r="AL14" s="594"/>
      <c r="AM14" s="1120">
        <f>'User Dashboard'!X14*'User Dashboard'!X12*'User Dashboard'!X15</f>
        <v>2.35</v>
      </c>
      <c r="AN14" s="1174">
        <f>'User Dashboard'!X14</f>
        <v>15.209356603107825</v>
      </c>
    </row>
    <row r="15" spans="1:66" ht="21.65" customHeight="1" thickBot="1" x14ac:dyDescent="0.9">
      <c r="B15" s="224" t="str">
        <f>IF(Doubling_rate_modelled="COMBINED","Enter Combined Rates Below","")</f>
        <v/>
      </c>
      <c r="E15"/>
      <c r="F15"/>
      <c r="G15"/>
      <c r="H15"/>
      <c r="I15" s="132"/>
      <c r="J15" s="1413"/>
      <c r="K15" s="1413"/>
      <c r="L15" s="1413"/>
      <c r="N15" s="96"/>
      <c r="O15" s="1422" t="s">
        <v>1426</v>
      </c>
      <c r="P15" s="1380"/>
      <c r="Q15" s="1423"/>
      <c r="R15" s="1427"/>
      <c r="T15" s="1429">
        <f>2.35/(X14*X12)</f>
        <v>2.2072878851804097E-2</v>
      </c>
      <c r="U15" s="1431" t="str">
        <f>CONCATENATE(CONCATENATE(CONCATENATE("Calculation: from a selected infectious time of ",X12," days, ",ROUND(X14,1)," contacts per person per day, and basic reproduction number of 2.35. (i.e. 2.35 persons infected per case / (",ROUND(X14,1)," contacts per day * ",X12," days))."))," To use a different reproduction number, it is suggested to use multiple 'stages' in Step 3 - if the current reproduction number is estimated to be different than the basic"," reproduction number of 2.35, it can be specified in the 2nd stage if the 2nd stage is set to start on day 0.")</f>
        <v>Calculation: from a selected infectious time of 7 days, 15.2 contacts per person per day, and basic reproduction number of 2.35. (i.e. 2.35 persons infected per case / (15.2 contacts per day * 7 days)). To use a different reproduction number, it is suggested to use multiple 'stages' in Step 3 - if the current reproduction number is estimated to be different than the basic reproduction number of 2.35, it can be specified in the 2nd stage if the 2nd stage is set to start on day 0.</v>
      </c>
      <c r="V15" s="1432"/>
      <c r="W15" s="1433"/>
      <c r="X15" s="769">
        <f>IF('User Dashboard'!$W$9,T15,IF('User Dashboard'!R15="",T15,'User Dashboard'!R15))</f>
        <v>2.2072878851804097E-2</v>
      </c>
      <c r="Z15" s="759" t="s">
        <v>1313</v>
      </c>
      <c r="AA15" s="997"/>
      <c r="AB15" s="997"/>
      <c r="AC15" s="997"/>
      <c r="AD15" s="997"/>
      <c r="AE15" s="1167">
        <v>1</v>
      </c>
      <c r="AF15" s="1013"/>
      <c r="AG15" s="1013"/>
      <c r="AH15" s="319"/>
      <c r="AI15" s="1173" t="str">
        <f>IF(AI14&lt;'User Dashboard'!$Z$12,AI14+1,"")</f>
        <v/>
      </c>
      <c r="AJ15" s="1165">
        <v>0</v>
      </c>
      <c r="AK15" s="1166">
        <v>1.8</v>
      </c>
      <c r="AL15" s="1166">
        <v>4</v>
      </c>
      <c r="AM15" s="1120">
        <f>IFERROR(IF(AE15=2,AN15*'User Dashboard'!$X$15*'User Dashboard'!$X$12,IF(AK15="","",AK15)),"")</f>
        <v>1.8</v>
      </c>
      <c r="AN15" s="1174">
        <f>IFERROR(IF('User Dashboard'!$AE$15=1,AM15/('User Dashboard'!$X$15*'User Dashboard'!$X$12),IF(AL15="","",AL15)),"")</f>
        <v>11.649719951316632</v>
      </c>
    </row>
    <row r="16" spans="1:66" ht="32.450000000000003" customHeight="1" thickBot="1" x14ac:dyDescent="0.9">
      <c r="B16" s="964" t="s">
        <v>701</v>
      </c>
      <c r="C16" s="221"/>
      <c r="E16"/>
      <c r="F16"/>
      <c r="G16" s="216" t="s">
        <v>1544</v>
      </c>
      <c r="H16" s="382" t="s">
        <v>831</v>
      </c>
      <c r="I16" s="708" t="s">
        <v>913</v>
      </c>
      <c r="J16" s="709" t="s">
        <v>1480</v>
      </c>
      <c r="K16" s="709" t="s">
        <v>1481</v>
      </c>
      <c r="L16" s="709" t="s">
        <v>1546</v>
      </c>
      <c r="N16" s="96"/>
      <c r="O16" s="1424"/>
      <c r="P16" s="1425"/>
      <c r="Q16" s="1426"/>
      <c r="R16" s="1428"/>
      <c r="T16" s="1430"/>
      <c r="U16" s="1434"/>
      <c r="V16" s="1435"/>
      <c r="W16" s="1436"/>
      <c r="X16" s="764"/>
      <c r="Z16" s="997"/>
      <c r="AA16" s="997"/>
      <c r="AB16" s="997"/>
      <c r="AC16" s="997"/>
      <c r="AD16" s="997"/>
      <c r="AE16" s="997"/>
      <c r="AF16" s="1013"/>
      <c r="AG16" s="1013"/>
      <c r="AH16" s="319"/>
      <c r="AI16" s="1173" t="str">
        <f>IF(AI15&lt;'User Dashboard'!$Z$12,AI15+1,"")</f>
        <v/>
      </c>
      <c r="AJ16" s="1165">
        <v>70</v>
      </c>
      <c r="AK16" s="1166">
        <v>2.35</v>
      </c>
      <c r="AL16" s="1166">
        <v>12</v>
      </c>
      <c r="AM16" s="1120">
        <f>IFERROR(IF(AE15=2,AN16*'User Dashboard'!$X$15*'User Dashboard'!$X$12,IF(AK16="","",AK16)),"")</f>
        <v>2.35</v>
      </c>
      <c r="AN16" s="1174">
        <f>IFERROR(IF('User Dashboard'!$AE$15=1,AM16/('User Dashboard'!$X$15*'User Dashboard'!$X$12),IF(AL16="","",AL16)),"")</f>
        <v>15.209356603107825</v>
      </c>
    </row>
    <row r="17" spans="2:63" ht="33.75" customHeight="1" x14ac:dyDescent="0.75">
      <c r="B17" s="822" t="s">
        <v>895</v>
      </c>
      <c r="C17" s="63"/>
      <c r="E17"/>
      <c r="F17"/>
      <c r="G17" s="800" t="s">
        <v>1545</v>
      </c>
      <c r="H17" s="383">
        <v>0.1</v>
      </c>
      <c r="I17" s="595" t="s">
        <v>975</v>
      </c>
      <c r="J17" s="368">
        <v>1</v>
      </c>
      <c r="K17" s="342" t="s">
        <v>893</v>
      </c>
      <c r="L17" s="892">
        <f>SUM(J17:K17)</f>
        <v>1</v>
      </c>
      <c r="N17" s="96"/>
      <c r="O17" s="1437" t="s">
        <v>1786</v>
      </c>
      <c r="P17" s="1437"/>
      <c r="Q17" s="1437"/>
      <c r="R17" s="1437"/>
      <c r="S17" s="1437"/>
      <c r="T17" s="1437"/>
      <c r="U17" s="1437"/>
      <c r="V17" s="1075"/>
      <c r="W17" s="1075"/>
      <c r="Z17" s="1416" t="s">
        <v>1855</v>
      </c>
      <c r="AA17" s="1417"/>
      <c r="AB17" s="1418"/>
      <c r="AF17" s="319"/>
      <c r="AG17" s="319"/>
      <c r="AH17" s="319"/>
      <c r="AI17" s="1173" t="str">
        <f>IF(AI16&lt;'User Dashboard'!$Z$12,AI16+1,"")</f>
        <v/>
      </c>
      <c r="AJ17" s="1165">
        <v>600</v>
      </c>
      <c r="AK17" s="1166">
        <v>2.35</v>
      </c>
      <c r="AL17" s="1166">
        <v>12</v>
      </c>
      <c r="AM17" s="1120">
        <f>IFERROR(IF(AE15=2,AN17*'User Dashboard'!$X$15*'User Dashboard'!$X$12,IF(AK17="","",AK17)),"")</f>
        <v>2.35</v>
      </c>
      <c r="AN17" s="1174">
        <f>IFERROR(IF('User Dashboard'!$AE$15=1,AM17/('User Dashboard'!$X$15*'User Dashboard'!$X$12),IF(AL17="","",AL17)),"")</f>
        <v>15.209356603107825</v>
      </c>
      <c r="AQ17" s="127"/>
    </row>
    <row r="18" spans="2:63" s="87" customFormat="1" ht="30" customHeight="1" thickBot="1" x14ac:dyDescent="0.9">
      <c r="B18" s="801" t="s">
        <v>702</v>
      </c>
      <c r="C18" s="222"/>
      <c r="D18"/>
      <c r="E18"/>
      <c r="F18"/>
      <c r="G18" s="801" t="s">
        <v>1479</v>
      </c>
      <c r="H18" s="384">
        <v>10</v>
      </c>
      <c r="I18" s="595" t="s">
        <v>976</v>
      </c>
      <c r="J18" s="368">
        <v>1</v>
      </c>
      <c r="K18" s="368">
        <v>2</v>
      </c>
      <c r="L18" s="892">
        <f>SUM(J18:K18)</f>
        <v>3</v>
      </c>
      <c r="N18" s="96"/>
      <c r="O18" s="1437"/>
      <c r="P18" s="1437"/>
      <c r="Q18" s="1437"/>
      <c r="R18" s="1437"/>
      <c r="S18" s="1437"/>
      <c r="T18" s="1437"/>
      <c r="U18" s="1437"/>
      <c r="V18" s="1075"/>
      <c r="W18" s="1075"/>
      <c r="X18" s="118"/>
      <c r="Z18" s="1419"/>
      <c r="AA18" s="1420"/>
      <c r="AB18" s="1421"/>
      <c r="AF18" s="319"/>
      <c r="AG18" s="319"/>
      <c r="AH18" s="319"/>
      <c r="AI18" s="1175" t="str">
        <f>IF(AI17&lt;'User Dashboard'!$Z$12,AI17+1,"")</f>
        <v/>
      </c>
      <c r="AJ18" s="1176">
        <v>700</v>
      </c>
      <c r="AK18" s="1177">
        <v>2</v>
      </c>
      <c r="AL18" s="1177">
        <v>12</v>
      </c>
      <c r="AM18" s="1178">
        <f>IFERROR(IF(AE15=2,AN18*'User Dashboard'!$X$15*'User Dashboard'!$X$12,IF(AK18="","",AK18)),"")</f>
        <v>2</v>
      </c>
      <c r="AN18" s="1179">
        <f>IFERROR(IF('User Dashboard'!$AE$15=1,AM18/('User Dashboard'!$X$15*'User Dashboard'!$X$12),IF(AL18="","",AL18)),"")</f>
        <v>12.944133279240702</v>
      </c>
    </row>
    <row r="19" spans="2:63" s="87" customFormat="1" ht="24" customHeight="1" x14ac:dyDescent="0.75">
      <c r="C19"/>
      <c r="D19"/>
      <c r="E19"/>
      <c r="F19"/>
      <c r="G19" s="381" t="str">
        <f>IF(Mild_testing_strategy="Targeted","Tests all severe/critical patients, and percent of suspects/mild/moderate specified in H17","")</f>
        <v>Tests all severe/critical patients, and percent of suspects/mild/moderate specified in H17</v>
      </c>
      <c r="H19"/>
      <c r="I19"/>
      <c r="J19"/>
      <c r="N19" s="96"/>
      <c r="O19" s="1437"/>
      <c r="P19" s="1437"/>
      <c r="Q19" s="1437"/>
      <c r="R19" s="1437"/>
      <c r="S19" s="1437"/>
      <c r="T19" s="1437"/>
      <c r="U19" s="1437"/>
      <c r="X19" s="118"/>
    </row>
    <row r="20" spans="2:63" s="89" customFormat="1" ht="17.25" x14ac:dyDescent="0.85">
      <c r="B20" s="90"/>
      <c r="C20" s="91"/>
      <c r="X20" s="765"/>
    </row>
    <row r="21" spans="2:63" s="87" customFormat="1" x14ac:dyDescent="0.75">
      <c r="B21" s="88"/>
      <c r="C21" s="88"/>
      <c r="D21" s="88"/>
      <c r="E21" s="88"/>
      <c r="F21" s="88"/>
      <c r="G21" s="88"/>
      <c r="I21" s="95"/>
      <c r="X21" s="118"/>
    </row>
    <row r="22" spans="2:63" s="87" customFormat="1" ht="17.899999999999999" customHeight="1" thickBot="1" x14ac:dyDescent="1.05">
      <c r="B22" s="88"/>
      <c r="C22" s="1452" t="str">
        <f>Inputs!E35&amp;" - High-Level COVID-19 Outputs"</f>
        <v>Zambia - High-Level COVID-19 Outputs</v>
      </c>
      <c r="D22" s="1452"/>
      <c r="E22" s="1452"/>
      <c r="F22" s="1452"/>
      <c r="G22" s="1452"/>
      <c r="H22" s="1452"/>
      <c r="I22" s="1452"/>
      <c r="X22" s="118"/>
    </row>
    <row r="23" spans="2:63" s="87" customFormat="1" ht="15.5" thickTop="1" x14ac:dyDescent="0.75">
      <c r="B23" s="103"/>
      <c r="C23" s="103"/>
      <c r="D23" s="104"/>
      <c r="E23" s="104"/>
      <c r="F23" s="104"/>
      <c r="G23" s="104"/>
      <c r="H23" s="103"/>
      <c r="I23" s="105"/>
      <c r="J23" s="103"/>
      <c r="X23" s="118"/>
    </row>
    <row r="24" spans="2:63" s="87" customFormat="1" x14ac:dyDescent="0.75">
      <c r="B24" s="103"/>
      <c r="C24" s="103"/>
      <c r="D24" s="104"/>
      <c r="E24" s="104"/>
      <c r="F24" s="104"/>
      <c r="G24" s="104"/>
      <c r="H24" s="103"/>
      <c r="I24" s="105"/>
      <c r="J24" s="103"/>
      <c r="X24" s="118"/>
    </row>
    <row r="25" spans="2:63" s="87" customFormat="1" x14ac:dyDescent="0.75">
      <c r="B25" s="106" t="s">
        <v>598</v>
      </c>
      <c r="C25" s="107">
        <f>F99</f>
        <v>1623814.1884616646</v>
      </c>
      <c r="D25" s="104"/>
      <c r="E25" s="104"/>
      <c r="F25" s="104"/>
      <c r="G25" s="104"/>
      <c r="H25" s="103"/>
      <c r="I25" s="105"/>
      <c r="J25" s="103"/>
      <c r="K25"/>
      <c r="L25" s="973"/>
      <c r="X25" s="118"/>
    </row>
    <row r="26" spans="2:63" s="87" customFormat="1" x14ac:dyDescent="0.75">
      <c r="B26" s="106" t="s">
        <v>602</v>
      </c>
      <c r="C26" s="107">
        <f>F100</f>
        <v>649525.67538466584</v>
      </c>
      <c r="D26" s="104"/>
      <c r="G26" s="104"/>
      <c r="J26" s="103"/>
      <c r="K26" s="319"/>
      <c r="L26" s="319"/>
      <c r="M26" s="319"/>
      <c r="N26" s="319"/>
      <c r="O26" s="319"/>
      <c r="P26" s="319"/>
      <c r="Q26" s="319"/>
      <c r="R26" s="319"/>
      <c r="S26" s="319"/>
      <c r="T26" s="319"/>
      <c r="X26" s="118"/>
    </row>
    <row r="27" spans="2:63" s="87" customFormat="1" x14ac:dyDescent="0.75">
      <c r="B27" s="106" t="s">
        <v>1004</v>
      </c>
      <c r="C27" s="107">
        <f>F101</f>
        <v>649525.67538466584</v>
      </c>
      <c r="D27" s="104"/>
      <c r="G27" s="104"/>
      <c r="J27" s="103"/>
      <c r="K27" s="998" t="s">
        <v>937</v>
      </c>
      <c r="L27" s="319"/>
      <c r="M27" s="319"/>
      <c r="N27" s="319"/>
      <c r="O27" s="319"/>
      <c r="P27" s="319"/>
      <c r="Q27" s="319"/>
      <c r="R27" s="319"/>
      <c r="S27" s="319"/>
      <c r="T27" s="319"/>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row>
    <row r="28" spans="2:63" s="87" customFormat="1" x14ac:dyDescent="0.75">
      <c r="B28" s="108" t="s">
        <v>603</v>
      </c>
      <c r="C28" s="107">
        <f>F102</f>
        <v>243572.12826924969</v>
      </c>
      <c r="D28" s="104"/>
      <c r="G28" s="104"/>
      <c r="J28" s="103"/>
      <c r="K28" s="998"/>
      <c r="L28" s="999">
        <f>F114</f>
        <v>1</v>
      </c>
      <c r="M28" s="998">
        <f>IFERROR(IF(L28+1&lt;=MAX('Patient Calcs'!$B$14:$B$65),L28+1,""),"")</f>
        <v>2</v>
      </c>
      <c r="N28" s="998">
        <f>IFERROR(IF(M28+1&lt;=MAX('Patient Calcs'!$B$14:$B$65),M28+1,""),"")</f>
        <v>3</v>
      </c>
      <c r="O28" s="998">
        <f>IFERROR(IF(N28+1&lt;=MAX('Patient Calcs'!$B$14:$B$65),N28+1,""),"")</f>
        <v>4</v>
      </c>
      <c r="P28" s="998">
        <f>IFERROR(IF(O28+1&lt;=MAX('Patient Calcs'!$B$14:$B$65),O28+1,""),"")</f>
        <v>5</v>
      </c>
      <c r="Q28" s="998">
        <f>IFERROR(IF(P28+1&lt;=MAX('Patient Calcs'!$B$14:$B$65),P28+1,""),"")</f>
        <v>6</v>
      </c>
      <c r="R28" s="998">
        <f>IFERROR(IF(Q28+1&lt;=MAX('Patient Calcs'!$B$14:$B$65),Q28+1,""),"")</f>
        <v>7</v>
      </c>
      <c r="S28" s="998">
        <f>IFERROR(IF(R28+1&lt;=MAX('Patient Calcs'!$B$14:$B$65),R28+1,""),"")</f>
        <v>8</v>
      </c>
      <c r="T28" s="998">
        <f>IFERROR(IF(S28+1&lt;=MAX('Patient Calcs'!$B$14:$B$65),S28+1,""),"")</f>
        <v>9</v>
      </c>
      <c r="U28" s="998">
        <f>IFERROR(IF(T28+1&lt;=MAX('Patient Calcs'!$B$14:$B$65),T28+1,""),"")</f>
        <v>10</v>
      </c>
      <c r="V28" s="998">
        <f>IFERROR(IF(U28+1&lt;=MAX('Patient Calcs'!$B$14:$B$65),U28+1,""),"")</f>
        <v>11</v>
      </c>
      <c r="W28" s="998">
        <f>IFERROR(IF(V28+1&lt;=MAX('Patient Calcs'!$B$14:$B$65),V28+1,""),"")</f>
        <v>12</v>
      </c>
      <c r="X28" s="998" t="str">
        <f>IFERROR(IF(W28+1&lt;=MAX('Patient Calcs'!$B$14:$B$65),W28+1,""),"")</f>
        <v/>
      </c>
      <c r="Y28" s="998" t="str">
        <f>IFERROR(IF(X28+1&lt;=MAX('Patient Calcs'!$B$14:$B$65),X28+1,""),"")</f>
        <v/>
      </c>
      <c r="Z28" s="998" t="str">
        <f>IFERROR(IF(Y28+1&lt;=MAX('Patient Calcs'!$B$14:$B$65),Y28+1,""),"")</f>
        <v/>
      </c>
      <c r="AA28" s="998" t="str">
        <f>IFERROR(IF(Z28+1&lt;=MAX('Patient Calcs'!$B$14:$B$65),Z28+1,""),"")</f>
        <v/>
      </c>
      <c r="AB28" s="998" t="str">
        <f>IFERROR(IF(AA28+1&lt;=MAX('Patient Calcs'!$B$14:$B$65),AA28+1,""),"")</f>
        <v/>
      </c>
      <c r="AC28" s="998" t="str">
        <f>IFERROR(IF(AB28+1&lt;=MAX('Patient Calcs'!$B$14:$B$65),AB28+1,""),"")</f>
        <v/>
      </c>
      <c r="AD28" s="998" t="str">
        <f>IFERROR(IF(AC28+1&lt;=MAX('Patient Calcs'!$B$14:$B$65),AC28+1,""),"")</f>
        <v/>
      </c>
      <c r="AE28" s="998" t="str">
        <f>IFERROR(IF(AD28+1&lt;=MAX('Patient Calcs'!$B$14:$B$65),AD28+1,""),"")</f>
        <v/>
      </c>
      <c r="AF28" s="998" t="str">
        <f>IFERROR(IF(AE28+1&lt;=MAX('Patient Calcs'!$B$14:$B$65),AE28+1,""),"")</f>
        <v/>
      </c>
      <c r="AG28" s="998" t="str">
        <f>IFERROR(IF(AF28+1&lt;=MAX('Patient Calcs'!$B$14:$B$65),AF28+1,""),"")</f>
        <v/>
      </c>
      <c r="AH28" s="998" t="str">
        <f>IFERROR(IF(AG28+1&lt;=MAX('Patient Calcs'!$B$14:$B$65),AG28+1,""),"")</f>
        <v/>
      </c>
      <c r="AI28" s="998" t="str">
        <f>IFERROR(IF(AH28+1&lt;=MAX('Patient Calcs'!$B$14:$B$65),AH28+1,""),"")</f>
        <v/>
      </c>
      <c r="AJ28" s="998" t="str">
        <f>IFERROR(IF(AI28+1&lt;=MAX('Patient Calcs'!$B$14:$B$65),AI28+1,""),"")</f>
        <v/>
      </c>
      <c r="AK28" s="998" t="str">
        <f>IFERROR(IF(AJ28+1&lt;=MAX('Patient Calcs'!$B$14:$B$65),AJ28+1,""),"")</f>
        <v/>
      </c>
      <c r="AL28" s="998" t="str">
        <f>IFERROR(IF(AK28+1&lt;=MAX('Patient Calcs'!$B$14:$B$65),AK28+1,""),"")</f>
        <v/>
      </c>
      <c r="AM28" s="998" t="str">
        <f>IFERROR(IF(AL28+1&lt;=MAX('Patient Calcs'!$B$14:$B$65),AL28+1,""),"")</f>
        <v/>
      </c>
      <c r="AN28" s="998" t="str">
        <f>IFERROR(IF(AM28+1&lt;=MAX('Patient Calcs'!$B$14:$B$65),AM28+1,""),"")</f>
        <v/>
      </c>
      <c r="AO28" s="998" t="str">
        <f>IFERROR(IF(AN28+1&lt;=MAX('Patient Calcs'!$B$14:$B$65),AN28+1,""),"")</f>
        <v/>
      </c>
      <c r="AP28" s="998" t="str">
        <f>IFERROR(IF(AO28+1&lt;=MAX('Patient Calcs'!$B$14:$B$65),AO28+1,""),"")</f>
        <v/>
      </c>
      <c r="AQ28" s="998" t="str">
        <f>IFERROR(IF(AP28+1&lt;=MAX('Patient Calcs'!$B$14:$B$65),AP28+1,""),"")</f>
        <v/>
      </c>
      <c r="AR28" s="998" t="str">
        <f>IFERROR(IF(AQ28+1&lt;=MAX('Patient Calcs'!$B$14:$B$65),AQ28+1,""),"")</f>
        <v/>
      </c>
      <c r="AS28" s="998" t="str">
        <f>IFERROR(IF(AR28+1&lt;=MAX('Patient Calcs'!$B$14:$B$65),AR28+1,""),"")</f>
        <v/>
      </c>
      <c r="AT28" s="998" t="str">
        <f>IFERROR(IF(AS28+1&lt;=MAX('Patient Calcs'!$B$14:$B$65),AS28+1,""),"")</f>
        <v/>
      </c>
      <c r="AU28" s="998" t="str">
        <f>IFERROR(IF(AT28+1&lt;=MAX('Patient Calcs'!$B$14:$B$65),AT28+1,""),"")</f>
        <v/>
      </c>
      <c r="AV28" s="998" t="str">
        <f>IFERROR(IF(AU28+1&lt;=MAX('Patient Calcs'!$B$14:$B$65),AU28+1,""),"")</f>
        <v/>
      </c>
      <c r="AW28" s="998" t="str">
        <f>IFERROR(IF(AV28+1&lt;=MAX('Patient Calcs'!$B$14:$B$65),AV28+1,""),"")</f>
        <v/>
      </c>
      <c r="AX28" s="998" t="str">
        <f>IFERROR(IF(AW28+1&lt;=MAX('Patient Calcs'!$B$14:$B$65),AW28+1,""),"")</f>
        <v/>
      </c>
      <c r="AY28" s="998" t="str">
        <f>IFERROR(IF(AX28+1&lt;=MAX('Patient Calcs'!$B$14:$B$65),AX28+1,""),"")</f>
        <v/>
      </c>
      <c r="AZ28" s="998" t="str">
        <f>IFERROR(IF(AY28+1&lt;=MAX('Patient Calcs'!$B$14:$B$65),AY28+1,""),"")</f>
        <v/>
      </c>
      <c r="BA28" s="998" t="str">
        <f>IFERROR(IF(AZ28+1&lt;=MAX('Patient Calcs'!$B$14:$B$65),AZ28+1,""),"")</f>
        <v/>
      </c>
      <c r="BB28" s="998" t="str">
        <f>IFERROR(IF(BA28+1&lt;=MAX('Patient Calcs'!$B$14:$B$65),BA28+1,""),"")</f>
        <v/>
      </c>
      <c r="BC28" s="998" t="str">
        <f>IFERROR(IF(BB28+1&lt;=MAX('Patient Calcs'!$B$14:$B$65),BB28+1,""),"")</f>
        <v/>
      </c>
      <c r="BD28" s="998" t="str">
        <f>IFERROR(IF(BC28+1&lt;=MAX('Patient Calcs'!$B$14:$B$65),BC28+1,""),"")</f>
        <v/>
      </c>
      <c r="BE28" s="998" t="str">
        <f>IFERROR(IF(BD28+1&lt;=MAX('Patient Calcs'!$B$14:$B$65),BD28+1,""),"")</f>
        <v/>
      </c>
      <c r="BF28" s="998" t="str">
        <f>IFERROR(IF(BE28+1&lt;=MAX('Patient Calcs'!$B$14:$B$65),BE28+1,""),"")</f>
        <v/>
      </c>
      <c r="BG28" s="998" t="str">
        <f>IFERROR(IF(BF28+1&lt;=MAX('Patient Calcs'!$B$14:$B$65),BF28+1,""),"")</f>
        <v/>
      </c>
      <c r="BH28" s="998" t="str">
        <f>IFERROR(IF(BG28+1&lt;=MAX('Patient Calcs'!$B$14:$B$65),BG28+1,""),"")</f>
        <v/>
      </c>
      <c r="BI28" s="998" t="str">
        <f>IFERROR(IF(BH28+1&lt;=MAX('Patient Calcs'!$B$14:$B$65),BH28+1,""),"")</f>
        <v/>
      </c>
      <c r="BJ28" s="998" t="str">
        <f>IFERROR(IF(BI28+1&lt;=MAX('Patient Calcs'!$B$14:$B$65),BI28+1,""),"")</f>
        <v/>
      </c>
      <c r="BK28" s="998" t="str">
        <f>IFERROR(IF(BJ28+1&lt;=MAX('Patient Calcs'!$B$14:$B$65),BJ28+1,""),"")</f>
        <v/>
      </c>
    </row>
    <row r="29" spans="2:63" s="87" customFormat="1" x14ac:dyDescent="0.75">
      <c r="B29" s="108" t="s">
        <v>604</v>
      </c>
      <c r="C29" s="107">
        <f>F103</f>
        <v>81190.70942308323</v>
      </c>
      <c r="D29" s="104"/>
      <c r="G29" s="104"/>
      <c r="J29" s="103"/>
      <c r="K29" s="998" t="s">
        <v>1071</v>
      </c>
      <c r="L29" s="999">
        <f>SUM(L30:L33)</f>
        <v>2.9803873923966009</v>
      </c>
      <c r="M29" s="999">
        <f t="shared" ref="M29:BK29" si="0">SUM(M30:M33)</f>
        <v>10.242124866675805</v>
      </c>
      <c r="N29" s="999">
        <f t="shared" si="0"/>
        <v>35.196797305648218</v>
      </c>
      <c r="O29" s="999">
        <f t="shared" si="0"/>
        <v>120.94879952740592</v>
      </c>
      <c r="P29" s="999">
        <f t="shared" si="0"/>
        <v>415.57516064540209</v>
      </c>
      <c r="Q29" s="999">
        <f t="shared" si="0"/>
        <v>1427.3302173325599</v>
      </c>
      <c r="R29" s="999">
        <f t="shared" si="0"/>
        <v>4895.5881375156223</v>
      </c>
      <c r="S29" s="999">
        <f t="shared" si="0"/>
        <v>16712.780367833751</v>
      </c>
      <c r="T29" s="999">
        <f t="shared" si="0"/>
        <v>56152.276583894854</v>
      </c>
      <c r="U29" s="999">
        <f t="shared" si="0"/>
        <v>178945.24920951907</v>
      </c>
      <c r="V29" s="999">
        <f t="shared" si="0"/>
        <v>484964.4514441854</v>
      </c>
      <c r="W29" s="999">
        <f t="shared" si="0"/>
        <v>880131.56923164602</v>
      </c>
      <c r="X29" s="999">
        <f t="shared" si="0"/>
        <v>0</v>
      </c>
      <c r="Y29" s="999">
        <f t="shared" si="0"/>
        <v>0</v>
      </c>
      <c r="Z29" s="999">
        <f t="shared" si="0"/>
        <v>0</v>
      </c>
      <c r="AA29" s="999">
        <f t="shared" si="0"/>
        <v>0</v>
      </c>
      <c r="AB29" s="999">
        <f t="shared" si="0"/>
        <v>0</v>
      </c>
      <c r="AC29" s="999">
        <f t="shared" si="0"/>
        <v>0</v>
      </c>
      <c r="AD29" s="999">
        <f t="shared" si="0"/>
        <v>0</v>
      </c>
      <c r="AE29" s="999">
        <f t="shared" si="0"/>
        <v>0</v>
      </c>
      <c r="AF29" s="999">
        <f t="shared" si="0"/>
        <v>0</v>
      </c>
      <c r="AG29" s="999">
        <f t="shared" si="0"/>
        <v>0</v>
      </c>
      <c r="AH29" s="999">
        <f t="shared" si="0"/>
        <v>0</v>
      </c>
      <c r="AI29" s="999">
        <f t="shared" si="0"/>
        <v>0</v>
      </c>
      <c r="AJ29" s="999">
        <f t="shared" si="0"/>
        <v>0</v>
      </c>
      <c r="AK29" s="999">
        <f t="shared" si="0"/>
        <v>0</v>
      </c>
      <c r="AL29" s="999">
        <f t="shared" si="0"/>
        <v>0</v>
      </c>
      <c r="AM29" s="999">
        <f t="shared" si="0"/>
        <v>0</v>
      </c>
      <c r="AN29" s="999">
        <f t="shared" si="0"/>
        <v>0</v>
      </c>
      <c r="AO29" s="999">
        <f t="shared" si="0"/>
        <v>0</v>
      </c>
      <c r="AP29" s="999">
        <f t="shared" si="0"/>
        <v>0</v>
      </c>
      <c r="AQ29" s="999">
        <f t="shared" si="0"/>
        <v>0</v>
      </c>
      <c r="AR29" s="999">
        <f t="shared" si="0"/>
        <v>0</v>
      </c>
      <c r="AS29" s="999">
        <f t="shared" si="0"/>
        <v>0</v>
      </c>
      <c r="AT29" s="999">
        <f t="shared" si="0"/>
        <v>0</v>
      </c>
      <c r="AU29" s="999">
        <f t="shared" si="0"/>
        <v>0</v>
      </c>
      <c r="AV29" s="999">
        <f t="shared" si="0"/>
        <v>0</v>
      </c>
      <c r="AW29" s="999">
        <f t="shared" si="0"/>
        <v>0</v>
      </c>
      <c r="AX29" s="999">
        <f t="shared" si="0"/>
        <v>0</v>
      </c>
      <c r="AY29" s="999">
        <f t="shared" si="0"/>
        <v>0</v>
      </c>
      <c r="AZ29" s="999">
        <f t="shared" si="0"/>
        <v>0</v>
      </c>
      <c r="BA29" s="999">
        <f t="shared" si="0"/>
        <v>0</v>
      </c>
      <c r="BB29" s="999">
        <f t="shared" si="0"/>
        <v>0</v>
      </c>
      <c r="BC29" s="999">
        <f t="shared" si="0"/>
        <v>0</v>
      </c>
      <c r="BD29" s="999">
        <f t="shared" si="0"/>
        <v>0</v>
      </c>
      <c r="BE29" s="999">
        <f t="shared" si="0"/>
        <v>0</v>
      </c>
      <c r="BF29" s="999">
        <f t="shared" si="0"/>
        <v>0</v>
      </c>
      <c r="BG29" s="999">
        <f t="shared" si="0"/>
        <v>0</v>
      </c>
      <c r="BH29" s="999">
        <f t="shared" si="0"/>
        <v>0</v>
      </c>
      <c r="BI29" s="999">
        <f t="shared" si="0"/>
        <v>0</v>
      </c>
      <c r="BJ29" s="999">
        <f t="shared" si="0"/>
        <v>0</v>
      </c>
      <c r="BK29" s="999">
        <f t="shared" si="0"/>
        <v>0</v>
      </c>
    </row>
    <row r="30" spans="2:63" s="87" customFormat="1" x14ac:dyDescent="0.75">
      <c r="B30" s="104"/>
      <c r="C30" s="104"/>
      <c r="D30" s="104"/>
      <c r="G30" s="104"/>
      <c r="J30" s="103"/>
      <c r="K30" s="1000" t="s">
        <v>870</v>
      </c>
      <c r="L30" s="999">
        <f>IF(ISNUMBER(F$114),INDEX(Patients!$D$34:$BD$37,1,MATCH(F$114,Patients!$D$31:$BD$31,0)),"")</f>
        <v>1.1921549569586405</v>
      </c>
      <c r="M30" s="999">
        <f>IF(ISNUMBER(G$114),INDEX(Patients!$D$34:$BD$37,1,MATCH(G$114,Patients!$D$31:$BD$31,0)),"")</f>
        <v>4.0968499466703223</v>
      </c>
      <c r="N30" s="999">
        <f>IF(ISNUMBER(H$114),INDEX(Patients!$D$34:$BD$37,1,MATCH(H$114,Patients!$D$31:$BD$31,0)),"")</f>
        <v>14.078718922259288</v>
      </c>
      <c r="O30" s="999">
        <f>IF(ISNUMBER(I$114),INDEX(Patients!$D$34:$BD$37,1,MATCH(I$114,Patients!$D$31:$BD$31,0)),"")</f>
        <v>48.379519810962371</v>
      </c>
      <c r="P30" s="999">
        <f>IF(ISNUMBER(J$114),INDEX(Patients!$D$34:$BD$37,1,MATCH(J$114,Patients!$D$31:$BD$31,0)),"")</f>
        <v>166.23006425816084</v>
      </c>
      <c r="Q30" s="999">
        <f>IF(ISNUMBER(K$114),INDEX(Patients!$D$34:$BD$37,1,MATCH(K$114,Patients!$D$31:$BD$31,0)),"")</f>
        <v>570.93208693302392</v>
      </c>
      <c r="R30" s="999">
        <f>IF(ISNUMBER(L$114),INDEX(Patients!$D$34:$BD$37,1,MATCH(L$114,Patients!$D$31:$BD$31,0)),"")</f>
        <v>1958.235255006249</v>
      </c>
      <c r="S30" s="999">
        <f>IF(ISNUMBER(M$114),INDEX(Patients!$D$34:$BD$37,1,MATCH(M$114,Patients!$D$31:$BD$31,0)),"")</f>
        <v>6685.1121471335009</v>
      </c>
      <c r="T30" s="999">
        <f>IF(ISNUMBER(N$114),INDEX(Patients!$D$34:$BD$37,1,MATCH(N$114,Patients!$D$31:$BD$31,0)),"")</f>
        <v>22460.910633557942</v>
      </c>
      <c r="U30" s="999">
        <f>IF(ISNUMBER(O$114),INDEX(Patients!$D$34:$BD$37,1,MATCH(O$114,Patients!$D$31:$BD$31,0)),"")</f>
        <v>71578.099683807624</v>
      </c>
      <c r="V30" s="999">
        <f>IF(ISNUMBER(P$114),INDEX(Patients!$D$34:$BD$37,1,MATCH(P$114,Patients!$D$31:$BD$31,0)),"")</f>
        <v>193985.78057767416</v>
      </c>
      <c r="W30" s="999">
        <f>IF(ISNUMBER(Q$114),INDEX(Patients!$D$34:$BD$37,1,MATCH(Q$114,Patients!$D$31:$BD$31,0)),"")</f>
        <v>352052.6276926584</v>
      </c>
      <c r="X30" s="999" t="str">
        <f>IF(ISNUMBER(R$114),INDEX(Patients!$D$34:$BD$37,1,MATCH(R$114,Patients!$D$31:$BD$31,0)),"")</f>
        <v/>
      </c>
      <c r="Y30" s="999" t="str">
        <f>IF(ISNUMBER(S$114),INDEX(Patients!$D$34:$BD$37,1,MATCH(S$114,Patients!$D$31:$BD$31,0)),"")</f>
        <v/>
      </c>
      <c r="Z30" s="999" t="str">
        <f>IF(ISNUMBER(T$114),INDEX(Patients!$D$34:$BD$37,1,MATCH(T$114,Patients!$D$31:$BD$31,0)),"")</f>
        <v/>
      </c>
      <c r="AA30" s="999" t="str">
        <f>IF(ISNUMBER(U$114),INDEX(Patients!$D$34:$BD$37,1,MATCH(U$114,Patients!$D$31:$BD$31,0)),"")</f>
        <v/>
      </c>
      <c r="AB30" s="999" t="str">
        <f>IF(ISNUMBER(V$114),INDEX(Patients!$D$34:$BD$37,1,MATCH(V$114,Patients!$D$31:$BD$31,0)),"")</f>
        <v/>
      </c>
      <c r="AC30" s="999" t="str">
        <f>IF(ISNUMBER(W$114),INDEX(Patients!$D$34:$BD$37,1,MATCH(W$114,Patients!$D$31:$BD$31,0)),"")</f>
        <v/>
      </c>
      <c r="AD30" s="999" t="str">
        <f>IF(ISNUMBER(X$114),INDEX(Patients!$D$34:$BD$37,1,MATCH(X$114,Patients!$D$31:$BD$31,0)),"")</f>
        <v/>
      </c>
      <c r="AE30" s="999" t="str">
        <f>IF(ISNUMBER(Y$114),INDEX(Patients!$D$34:$BD$37,1,MATCH(Y$114,Patients!$D$31:$BD$31,0)),"")</f>
        <v/>
      </c>
      <c r="AF30" s="999" t="str">
        <f>IF(ISNUMBER(Z$114),INDEX(Patients!$D$34:$BD$37,1,MATCH(Z$114,Patients!$D$31:$BD$31,0)),"")</f>
        <v/>
      </c>
      <c r="AG30" s="999" t="str">
        <f>IF(ISNUMBER(AA$114),INDEX(Patients!$D$34:$BD$37,1,MATCH(AA$114,Patients!$D$31:$BD$31,0)),"")</f>
        <v/>
      </c>
      <c r="AH30" s="999" t="str">
        <f>IF(ISNUMBER(AB$114),INDEX(Patients!$D$34:$BD$37,1,MATCH(AB$114,Patients!$D$31:$BD$31,0)),"")</f>
        <v/>
      </c>
      <c r="AI30" s="999" t="str">
        <f>IF(ISNUMBER(AC$114),INDEX(Patients!$D$34:$BD$37,1,MATCH(AC$114,Patients!$D$31:$BD$31,0)),"")</f>
        <v/>
      </c>
      <c r="AJ30" s="999" t="str">
        <f>IF(ISNUMBER(AD$114),INDEX(Patients!$D$34:$BD$37,1,MATCH(AD$114,Patients!$D$31:$BD$31,0)),"")</f>
        <v/>
      </c>
      <c r="AK30" s="999" t="str">
        <f>IF(ISNUMBER(AE$114),INDEX(Patients!$D$34:$BD$37,1,MATCH(AE$114,Patients!$D$31:$BD$31,0)),"")</f>
        <v/>
      </c>
      <c r="AL30" s="999" t="str">
        <f>IF(ISNUMBER(AF$114),INDEX(Patients!$D$34:$BD$37,1,MATCH(AF$114,Patients!$D$31:$BD$31,0)),"")</f>
        <v/>
      </c>
      <c r="AM30" s="999" t="str">
        <f>IF(ISNUMBER(AG$114),INDEX(Patients!$D$34:$BD$37,1,MATCH(AG$114,Patients!$D$31:$BD$31,0)),"")</f>
        <v/>
      </c>
      <c r="AN30" s="999" t="str">
        <f>IF(ISNUMBER(AH$114),INDEX(Patients!$D$34:$BD$37,1,MATCH(AH$114,Patients!$D$31:$BD$31,0)),"")</f>
        <v/>
      </c>
      <c r="AO30" s="999" t="str">
        <f>IF(ISNUMBER(AI$114),INDEX(Patients!$D$34:$BD$37,1,MATCH(AI$114,Patients!$D$31:$BD$31,0)),"")</f>
        <v/>
      </c>
      <c r="AP30" s="999" t="str">
        <f>IF(ISNUMBER(AJ$114),INDEX(Patients!$D$34:$BD$37,1,MATCH(AJ$114,Patients!$D$31:$BD$31,0)),"")</f>
        <v/>
      </c>
      <c r="AQ30" s="999" t="str">
        <f>IF(ISNUMBER(AK$114),INDEX(Patients!$D$34:$BD$37,1,MATCH(AK$114,Patients!$D$31:$BD$31,0)),"")</f>
        <v/>
      </c>
      <c r="AR30" s="999" t="str">
        <f>IF(ISNUMBER(AL$114),INDEX(Patients!$D$34:$BD$37,1,MATCH(AL$114,Patients!$D$31:$BD$31,0)),"")</f>
        <v/>
      </c>
      <c r="AS30" s="999" t="str">
        <f>IF(ISNUMBER(AM$114),INDEX(Patients!$D$34:$BD$37,1,MATCH(AM$114,Patients!$D$31:$BD$31,0)),"")</f>
        <v/>
      </c>
      <c r="AT30" s="999" t="str">
        <f>IF(ISNUMBER(AN$114),INDEX(Patients!$D$34:$BD$37,1,MATCH(AN$114,Patients!$D$31:$BD$31,0)),"")</f>
        <v/>
      </c>
      <c r="AU30" s="999" t="str">
        <f>IF(ISNUMBER(AO$114),INDEX(Patients!$D$34:$BD$37,1,MATCH(AO$114,Patients!$D$31:$BD$31,0)),"")</f>
        <v/>
      </c>
      <c r="AV30" s="999" t="str">
        <f>IF(ISNUMBER(AP$114),INDEX(Patients!$D$34:$BD$37,1,MATCH(AP$114,Patients!$D$31:$BD$31,0)),"")</f>
        <v/>
      </c>
      <c r="AW30" s="999" t="str">
        <f>IF(ISNUMBER(AQ$114),INDEX(Patients!$D$34:$BD$37,1,MATCH(AQ$114,Patients!$D$31:$BD$31,0)),"")</f>
        <v/>
      </c>
      <c r="AX30" s="999" t="str">
        <f>IF(ISNUMBER(AR$114),INDEX(Patients!$D$34:$BD$37,1,MATCH(AR$114,Patients!$D$31:$BD$31,0)),"")</f>
        <v/>
      </c>
      <c r="AY30" s="999" t="str">
        <f>IF(ISNUMBER(AS$114),INDEX(Patients!$D$34:$BD$37,1,MATCH(AS$114,Patients!$D$31:$BD$31,0)),"")</f>
        <v/>
      </c>
      <c r="AZ30" s="999" t="str">
        <f>IF(ISNUMBER(AT$114),INDEX(Patients!$D$34:$BD$37,1,MATCH(AT$114,Patients!$D$31:$BD$31,0)),"")</f>
        <v/>
      </c>
      <c r="BA30" s="999" t="str">
        <f>IF(ISNUMBER(AU$114),INDEX(Patients!$D$34:$BD$37,1,MATCH(AU$114,Patients!$D$31:$BD$31,0)),"")</f>
        <v/>
      </c>
      <c r="BB30" s="999" t="str">
        <f>IF(ISNUMBER(AV$114),INDEX(Patients!$D$34:$BD$37,1,MATCH(AV$114,Patients!$D$31:$BD$31,0)),"")</f>
        <v/>
      </c>
      <c r="BC30" s="999" t="str">
        <f>IF(ISNUMBER(AW$114),INDEX(Patients!$D$34:$BD$37,1,MATCH(AW$114,Patients!$D$31:$BD$31,0)),"")</f>
        <v/>
      </c>
      <c r="BD30" s="999" t="str">
        <f>IF(ISNUMBER(AX$114),INDEX(Patients!$D$34:$BD$37,1,MATCH(AX$114,Patients!$D$31:$BD$31,0)),"")</f>
        <v/>
      </c>
      <c r="BE30" s="999" t="str">
        <f>IF(ISNUMBER(AY$114),INDEX(Patients!$D$34:$BD$37,1,MATCH(AY$114,Patients!$D$31:$BD$31,0)),"")</f>
        <v/>
      </c>
      <c r="BF30" s="999" t="str">
        <f>IF(ISNUMBER(AZ$114),INDEX(Patients!$D$34:$BD$37,1,MATCH(AZ$114,Patients!$D$31:$BD$31,0)),"")</f>
        <v/>
      </c>
      <c r="BG30" s="999" t="str">
        <f>IF(ISNUMBER(BA$114),INDEX(Patients!$D$34:$BD$37,1,MATCH(BA$114,Patients!$D$31:$BD$31,0)),"")</f>
        <v/>
      </c>
      <c r="BH30" s="999" t="str">
        <f>IF(ISNUMBER(BB$114),INDEX(Patients!$D$34:$BD$37,1,MATCH(BB$114,Patients!$D$31:$BD$31,0)),"")</f>
        <v/>
      </c>
      <c r="BI30" s="999" t="str">
        <f>IF(ISNUMBER(BC$114),INDEX(Patients!$D$34:$BD$37,1,MATCH(BC$114,Patients!$D$31:$BD$31,0)),"")</f>
        <v/>
      </c>
      <c r="BJ30" s="999" t="str">
        <f>IF(ISNUMBER(BD$114),INDEX(Patients!$D$34:$BD$37,1,MATCH(BD$114,Patients!$D$31:$BD$31,0)),"")</f>
        <v/>
      </c>
      <c r="BK30" s="999" t="str">
        <f>IF(ISNUMBER(BE$114),INDEX(Patients!$D$34:$BD$37,1,MATCH(BE$114,Patients!$D$31:$BD$31,0)),"")</f>
        <v/>
      </c>
    </row>
    <row r="31" spans="2:63" s="87" customFormat="1" x14ac:dyDescent="0.75">
      <c r="B31" s="104"/>
      <c r="C31" s="104"/>
      <c r="D31" s="104"/>
      <c r="G31" s="104"/>
      <c r="J31" s="103"/>
      <c r="K31" s="1000" t="s">
        <v>996</v>
      </c>
      <c r="L31" s="999">
        <f>IF(ISNUMBER(F$114),INDEX(Patients!$D$34:$BD$37,2,MATCH(F$114,Patients!$D$31:$BD$31,0)),"")</f>
        <v>1.1921549569586405</v>
      </c>
      <c r="M31" s="999">
        <f>IF(ISNUMBER(G$114),INDEX(Patients!$D$34:$BD$37,2,MATCH(G$114,Patients!$D$31:$BD$31,0)),"")</f>
        <v>4.0968499466703223</v>
      </c>
      <c r="N31" s="999">
        <f>IF(ISNUMBER(H$114),INDEX(Patients!$D$34:$BD$37,2,MATCH(H$114,Patients!$D$31:$BD$31,0)),"")</f>
        <v>14.078718922259288</v>
      </c>
      <c r="O31" s="999">
        <f>IF(ISNUMBER(I$114),INDEX(Patients!$D$34:$BD$37,2,MATCH(I$114,Patients!$D$31:$BD$31,0)),"")</f>
        <v>48.379519810962371</v>
      </c>
      <c r="P31" s="999">
        <f>IF(ISNUMBER(J$114),INDEX(Patients!$D$34:$BD$37,2,MATCH(J$114,Patients!$D$31:$BD$31,0)),"")</f>
        <v>166.23006425816084</v>
      </c>
      <c r="Q31" s="999">
        <f>IF(ISNUMBER(K$114),INDEX(Patients!$D$34:$BD$37,2,MATCH(K$114,Patients!$D$31:$BD$31,0)),"")</f>
        <v>570.93208693302392</v>
      </c>
      <c r="R31" s="999">
        <f>IF(ISNUMBER(L$114),INDEX(Patients!$D$34:$BD$37,2,MATCH(L$114,Patients!$D$31:$BD$31,0)),"")</f>
        <v>1958.235255006249</v>
      </c>
      <c r="S31" s="999">
        <f>IF(ISNUMBER(M$114),INDEX(Patients!$D$34:$BD$37,2,MATCH(M$114,Patients!$D$31:$BD$31,0)),"")</f>
        <v>6685.1121471335009</v>
      </c>
      <c r="T31" s="999">
        <f>IF(ISNUMBER(N$114),INDEX(Patients!$D$34:$BD$37,2,MATCH(N$114,Patients!$D$31:$BD$31,0)),"")</f>
        <v>22460.910633557942</v>
      </c>
      <c r="U31" s="999">
        <f>IF(ISNUMBER(O$114),INDEX(Patients!$D$34:$BD$37,2,MATCH(O$114,Patients!$D$31:$BD$31,0)),"")</f>
        <v>71578.099683807624</v>
      </c>
      <c r="V31" s="999">
        <f>IF(ISNUMBER(P$114),INDEX(Patients!$D$34:$BD$37,2,MATCH(P$114,Patients!$D$31:$BD$31,0)),"")</f>
        <v>193985.78057767416</v>
      </c>
      <c r="W31" s="999">
        <f>IF(ISNUMBER(Q$114),INDEX(Patients!$D$34:$BD$37,2,MATCH(Q$114,Patients!$D$31:$BD$31,0)),"")</f>
        <v>352052.6276926584</v>
      </c>
      <c r="X31" s="999" t="str">
        <f>IF(ISNUMBER(R$114),INDEX(Patients!$D$34:$BD$37,2,MATCH(R$114,Patients!$D$31:$BD$31,0)),"")</f>
        <v/>
      </c>
      <c r="Y31" s="999" t="str">
        <f>IF(ISNUMBER(S$114),INDEX(Patients!$D$34:$BD$37,2,MATCH(S$114,Patients!$D$31:$BD$31,0)),"")</f>
        <v/>
      </c>
      <c r="Z31" s="999" t="str">
        <f>IF(ISNUMBER(T$114),INDEX(Patients!$D$34:$BD$37,2,MATCH(T$114,Patients!$D$31:$BD$31,0)),"")</f>
        <v/>
      </c>
      <c r="AA31" s="999" t="str">
        <f>IF(ISNUMBER(U$114),INDEX(Patients!$D$34:$BD$37,2,MATCH(U$114,Patients!$D$31:$BD$31,0)),"")</f>
        <v/>
      </c>
      <c r="AB31" s="999" t="str">
        <f>IF(ISNUMBER(V$114),INDEX(Patients!$D$34:$BD$37,2,MATCH(V$114,Patients!$D$31:$BD$31,0)),"")</f>
        <v/>
      </c>
      <c r="AC31" s="999" t="str">
        <f>IF(ISNUMBER(W$114),INDEX(Patients!$D$34:$BD$37,2,MATCH(W$114,Patients!$D$31:$BD$31,0)),"")</f>
        <v/>
      </c>
      <c r="AD31" s="999" t="str">
        <f>IF(ISNUMBER(X$114),INDEX(Patients!$D$34:$BD$37,2,MATCH(X$114,Patients!$D$31:$BD$31,0)),"")</f>
        <v/>
      </c>
      <c r="AE31" s="999" t="str">
        <f>IF(ISNUMBER(Y$114),INDEX(Patients!$D$34:$BD$37,2,MATCH(Y$114,Patients!$D$31:$BD$31,0)),"")</f>
        <v/>
      </c>
      <c r="AF31" s="999" t="str">
        <f>IF(ISNUMBER(Z$114),INDEX(Patients!$D$34:$BD$37,2,MATCH(Z$114,Patients!$D$31:$BD$31,0)),"")</f>
        <v/>
      </c>
      <c r="AG31" s="999" t="str">
        <f>IF(ISNUMBER(AA$114),INDEX(Patients!$D$34:$BD$37,2,MATCH(AA$114,Patients!$D$31:$BD$31,0)),"")</f>
        <v/>
      </c>
      <c r="AH31" s="999" t="str">
        <f>IF(ISNUMBER(AB$114),INDEX(Patients!$D$34:$BD$37,2,MATCH(AB$114,Patients!$D$31:$BD$31,0)),"")</f>
        <v/>
      </c>
      <c r="AI31" s="999" t="str">
        <f>IF(ISNUMBER(AC$114),INDEX(Patients!$D$34:$BD$37,2,MATCH(AC$114,Patients!$D$31:$BD$31,0)),"")</f>
        <v/>
      </c>
      <c r="AJ31" s="999" t="str">
        <f>IF(ISNUMBER(AD$114),INDEX(Patients!$D$34:$BD$37,2,MATCH(AD$114,Patients!$D$31:$BD$31,0)),"")</f>
        <v/>
      </c>
      <c r="AK31" s="999" t="str">
        <f>IF(ISNUMBER(AE$114),INDEX(Patients!$D$34:$BD$37,2,MATCH(AE$114,Patients!$D$31:$BD$31,0)),"")</f>
        <v/>
      </c>
      <c r="AL31" s="999" t="str">
        <f>IF(ISNUMBER(AF$114),INDEX(Patients!$D$34:$BD$37,2,MATCH(AF$114,Patients!$D$31:$BD$31,0)),"")</f>
        <v/>
      </c>
      <c r="AM31" s="999" t="str">
        <f>IF(ISNUMBER(AG$114),INDEX(Patients!$D$34:$BD$37,2,MATCH(AG$114,Patients!$D$31:$BD$31,0)),"")</f>
        <v/>
      </c>
      <c r="AN31" s="999" t="str">
        <f>IF(ISNUMBER(AH$114),INDEX(Patients!$D$34:$BD$37,2,MATCH(AH$114,Patients!$D$31:$BD$31,0)),"")</f>
        <v/>
      </c>
      <c r="AO31" s="999" t="str">
        <f>IF(ISNUMBER(AI$114),INDEX(Patients!$D$34:$BD$37,2,MATCH(AI$114,Patients!$D$31:$BD$31,0)),"")</f>
        <v/>
      </c>
      <c r="AP31" s="999" t="str">
        <f>IF(ISNUMBER(AJ$114),INDEX(Patients!$D$34:$BD$37,2,MATCH(AJ$114,Patients!$D$31:$BD$31,0)),"")</f>
        <v/>
      </c>
      <c r="AQ31" s="999" t="str">
        <f>IF(ISNUMBER(AK$114),INDEX(Patients!$D$34:$BD$37,2,MATCH(AK$114,Patients!$D$31:$BD$31,0)),"")</f>
        <v/>
      </c>
      <c r="AR31" s="999" t="str">
        <f>IF(ISNUMBER(AL$114),INDEX(Patients!$D$34:$BD$37,2,MATCH(AL$114,Patients!$D$31:$BD$31,0)),"")</f>
        <v/>
      </c>
      <c r="AS31" s="999" t="str">
        <f>IF(ISNUMBER(AM$114),INDEX(Patients!$D$34:$BD$37,2,MATCH(AM$114,Patients!$D$31:$BD$31,0)),"")</f>
        <v/>
      </c>
      <c r="AT31" s="999" t="str">
        <f>IF(ISNUMBER(AN$114),INDEX(Patients!$D$34:$BD$37,2,MATCH(AN$114,Patients!$D$31:$BD$31,0)),"")</f>
        <v/>
      </c>
      <c r="AU31" s="999" t="str">
        <f>IF(ISNUMBER(AO$114),INDEX(Patients!$D$34:$BD$37,2,MATCH(AO$114,Patients!$D$31:$BD$31,0)),"")</f>
        <v/>
      </c>
      <c r="AV31" s="999" t="str">
        <f>IF(ISNUMBER(AP$114),INDEX(Patients!$D$34:$BD$37,2,MATCH(AP$114,Patients!$D$31:$BD$31,0)),"")</f>
        <v/>
      </c>
      <c r="AW31" s="999" t="str">
        <f>IF(ISNUMBER(AQ$114),INDEX(Patients!$D$34:$BD$37,2,MATCH(AQ$114,Patients!$D$31:$BD$31,0)),"")</f>
        <v/>
      </c>
      <c r="AX31" s="999" t="str">
        <f>IF(ISNUMBER(AR$114),INDEX(Patients!$D$34:$BD$37,2,MATCH(AR$114,Patients!$D$31:$BD$31,0)),"")</f>
        <v/>
      </c>
      <c r="AY31" s="999" t="str">
        <f>IF(ISNUMBER(AS$114),INDEX(Patients!$D$34:$BD$37,2,MATCH(AS$114,Patients!$D$31:$BD$31,0)),"")</f>
        <v/>
      </c>
      <c r="AZ31" s="999" t="str">
        <f>IF(ISNUMBER(AT$114),INDEX(Patients!$D$34:$BD$37,2,MATCH(AT$114,Patients!$D$31:$BD$31,0)),"")</f>
        <v/>
      </c>
      <c r="BA31" s="999" t="str">
        <f>IF(ISNUMBER(AU$114),INDEX(Patients!$D$34:$BD$37,2,MATCH(AU$114,Patients!$D$31:$BD$31,0)),"")</f>
        <v/>
      </c>
      <c r="BB31" s="999" t="str">
        <f>IF(ISNUMBER(AV$114),INDEX(Patients!$D$34:$BD$37,2,MATCH(AV$114,Patients!$D$31:$BD$31,0)),"")</f>
        <v/>
      </c>
      <c r="BC31" s="999" t="str">
        <f>IF(ISNUMBER(AW$114),INDEX(Patients!$D$34:$BD$37,2,MATCH(AW$114,Patients!$D$31:$BD$31,0)),"")</f>
        <v/>
      </c>
      <c r="BD31" s="999" t="str">
        <f>IF(ISNUMBER(AX$114),INDEX(Patients!$D$34:$BD$37,2,MATCH(AX$114,Patients!$D$31:$BD$31,0)),"")</f>
        <v/>
      </c>
      <c r="BE31" s="999" t="str">
        <f>IF(ISNUMBER(AY$114),INDEX(Patients!$D$34:$BD$37,2,MATCH(AY$114,Patients!$D$31:$BD$31,0)),"")</f>
        <v/>
      </c>
      <c r="BF31" s="999" t="str">
        <f>IF(ISNUMBER(AZ$114),INDEX(Patients!$D$34:$BD$37,2,MATCH(AZ$114,Patients!$D$31:$BD$31,0)),"")</f>
        <v/>
      </c>
      <c r="BG31" s="999" t="str">
        <f>IF(ISNUMBER(BA$114),INDEX(Patients!$D$34:$BD$37,2,MATCH(BA$114,Patients!$D$31:$BD$31,0)),"")</f>
        <v/>
      </c>
      <c r="BH31" s="999" t="str">
        <f>IF(ISNUMBER(BB$114),INDEX(Patients!$D$34:$BD$37,2,MATCH(BB$114,Patients!$D$31:$BD$31,0)),"")</f>
        <v/>
      </c>
      <c r="BI31" s="999" t="str">
        <f>IF(ISNUMBER(BC$114),INDEX(Patients!$D$34:$BD$37,2,MATCH(BC$114,Patients!$D$31:$BD$31,0)),"")</f>
        <v/>
      </c>
      <c r="BJ31" s="999" t="str">
        <f>IF(ISNUMBER(BD$114),INDEX(Patients!$D$34:$BD$37,2,MATCH(BD$114,Patients!$D$31:$BD$31,0)),"")</f>
        <v/>
      </c>
      <c r="BK31" s="999" t="str">
        <f>IF(ISNUMBER(BE$114),INDEX(Patients!$D$34:$BD$37,2,MATCH(BE$114,Patients!$D$31:$BD$31,0)),"")</f>
        <v/>
      </c>
    </row>
    <row r="32" spans="2:63" s="87" customFormat="1" x14ac:dyDescent="0.75">
      <c r="B32" s="104"/>
      <c r="C32" s="104"/>
      <c r="D32" s="104"/>
      <c r="E32" s="104"/>
      <c r="F32" s="104"/>
      <c r="G32" s="104"/>
      <c r="J32" s="103"/>
      <c r="K32" s="1000" t="s">
        <v>871</v>
      </c>
      <c r="L32" s="999">
        <f>IF(ISNUMBER(F$114),INDEX(Patients!$D$34:$BD$37,3,MATCH(F$114,Patients!$D$31:$BD$31,0)),"")</f>
        <v>0.4470581088594901</v>
      </c>
      <c r="M32" s="999">
        <f>IF(ISNUMBER(G$114),INDEX(Patients!$D$34:$BD$37,3,MATCH(G$114,Patients!$D$31:$BD$31,0)),"")</f>
        <v>1.5363187300013708</v>
      </c>
      <c r="N32" s="999">
        <f>IF(ISNUMBER(H$114),INDEX(Patients!$D$34:$BD$37,3,MATCH(H$114,Patients!$D$31:$BD$31,0)),"")</f>
        <v>5.2795195958472325</v>
      </c>
      <c r="O32" s="999">
        <f>IF(ISNUMBER(I$114),INDEX(Patients!$D$34:$BD$37,3,MATCH(I$114,Patients!$D$31:$BD$31,0)),"")</f>
        <v>18.142319929110887</v>
      </c>
      <c r="P32" s="999">
        <f>IF(ISNUMBER(J$114),INDEX(Patients!$D$34:$BD$37,3,MATCH(J$114,Patients!$D$31:$BD$31,0)),"")</f>
        <v>62.336274096810314</v>
      </c>
      <c r="Q32" s="999">
        <f>IF(ISNUMBER(K$114),INDEX(Patients!$D$34:$BD$37,3,MATCH(K$114,Patients!$D$31:$BD$31,0)),"")</f>
        <v>214.09953259988393</v>
      </c>
      <c r="R32" s="999">
        <f>IF(ISNUMBER(L$114),INDEX(Patients!$D$34:$BD$37,3,MATCH(L$114,Patients!$D$31:$BD$31,0)),"")</f>
        <v>734.33822062734328</v>
      </c>
      <c r="S32" s="999">
        <f>IF(ISNUMBER(M$114),INDEX(Patients!$D$34:$BD$37,3,MATCH(M$114,Patients!$D$31:$BD$31,0)),"")</f>
        <v>2506.9170551750626</v>
      </c>
      <c r="T32" s="999">
        <f>IF(ISNUMBER(N$114),INDEX(Patients!$D$34:$BD$37,3,MATCH(N$114,Patients!$D$31:$BD$31,0)),"")</f>
        <v>8422.8414875842282</v>
      </c>
      <c r="U32" s="999">
        <f>IF(ISNUMBER(O$114),INDEX(Patients!$D$34:$BD$37,3,MATCH(O$114,Patients!$D$31:$BD$31,0)),"")</f>
        <v>26841.787381427854</v>
      </c>
      <c r="V32" s="999">
        <f>IF(ISNUMBER(P$114),INDEX(Patients!$D$34:$BD$37,3,MATCH(P$114,Patients!$D$31:$BD$31,0)),"")</f>
        <v>72744.667716627795</v>
      </c>
      <c r="W32" s="999">
        <f>IF(ISNUMBER(Q$114),INDEX(Patients!$D$34:$BD$37,3,MATCH(Q$114,Patients!$D$31:$BD$31,0)),"")</f>
        <v>132019.73538474689</v>
      </c>
      <c r="X32" s="999" t="str">
        <f>IF(ISNUMBER(R$114),INDEX(Patients!$D$34:$BD$37,3,MATCH(R$114,Patients!$D$31:$BD$31,0)),"")</f>
        <v/>
      </c>
      <c r="Y32" s="999" t="str">
        <f>IF(ISNUMBER(S$114),INDEX(Patients!$D$34:$BD$37,3,MATCH(S$114,Patients!$D$31:$BD$31,0)),"")</f>
        <v/>
      </c>
      <c r="Z32" s="999" t="str">
        <f>IF(ISNUMBER(T$114),INDEX(Patients!$D$34:$BD$37,3,MATCH(T$114,Patients!$D$31:$BD$31,0)),"")</f>
        <v/>
      </c>
      <c r="AA32" s="999" t="str">
        <f>IF(ISNUMBER(U$114),INDEX(Patients!$D$34:$BD$37,3,MATCH(U$114,Patients!$D$31:$BD$31,0)),"")</f>
        <v/>
      </c>
      <c r="AB32" s="999" t="str">
        <f>IF(ISNUMBER(V$114),INDEX(Patients!$D$34:$BD$37,3,MATCH(V$114,Patients!$D$31:$BD$31,0)),"")</f>
        <v/>
      </c>
      <c r="AC32" s="999" t="str">
        <f>IF(ISNUMBER(W$114),INDEX(Patients!$D$34:$BD$37,3,MATCH(W$114,Patients!$D$31:$BD$31,0)),"")</f>
        <v/>
      </c>
      <c r="AD32" s="999" t="str">
        <f>IF(ISNUMBER(X$114),INDEX(Patients!$D$34:$BD$37,3,MATCH(X$114,Patients!$D$31:$BD$31,0)),"")</f>
        <v/>
      </c>
      <c r="AE32" s="999" t="str">
        <f>IF(ISNUMBER(Y$114),INDEX(Patients!$D$34:$BD$37,3,MATCH(Y$114,Patients!$D$31:$BD$31,0)),"")</f>
        <v/>
      </c>
      <c r="AF32" s="999" t="str">
        <f>IF(ISNUMBER(Z$114),INDEX(Patients!$D$34:$BD$37,3,MATCH(Z$114,Patients!$D$31:$BD$31,0)),"")</f>
        <v/>
      </c>
      <c r="AG32" s="999" t="str">
        <f>IF(ISNUMBER(AA$114),INDEX(Patients!$D$34:$BD$37,3,MATCH(AA$114,Patients!$D$31:$BD$31,0)),"")</f>
        <v/>
      </c>
      <c r="AH32" s="999" t="str">
        <f>IF(ISNUMBER(AB$114),INDEX(Patients!$D$34:$BD$37,3,MATCH(AB$114,Patients!$D$31:$BD$31,0)),"")</f>
        <v/>
      </c>
      <c r="AI32" s="999" t="str">
        <f>IF(ISNUMBER(AC$114),INDEX(Patients!$D$34:$BD$37,3,MATCH(AC$114,Patients!$D$31:$BD$31,0)),"")</f>
        <v/>
      </c>
      <c r="AJ32" s="999" t="str">
        <f>IF(ISNUMBER(AD$114),INDEX(Patients!$D$34:$BD$37,3,MATCH(AD$114,Patients!$D$31:$BD$31,0)),"")</f>
        <v/>
      </c>
      <c r="AK32" s="999" t="str">
        <f>IF(ISNUMBER(AE$114),INDEX(Patients!$D$34:$BD$37,3,MATCH(AE$114,Patients!$D$31:$BD$31,0)),"")</f>
        <v/>
      </c>
      <c r="AL32" s="999" t="str">
        <f>IF(ISNUMBER(AF$114),INDEX(Patients!$D$34:$BD$37,3,MATCH(AF$114,Patients!$D$31:$BD$31,0)),"")</f>
        <v/>
      </c>
      <c r="AM32" s="999" t="str">
        <f>IF(ISNUMBER(AG$114),INDEX(Patients!$D$34:$BD$37,3,MATCH(AG$114,Patients!$D$31:$BD$31,0)),"")</f>
        <v/>
      </c>
      <c r="AN32" s="999" t="str">
        <f>IF(ISNUMBER(AH$114),INDEX(Patients!$D$34:$BD$37,3,MATCH(AH$114,Patients!$D$31:$BD$31,0)),"")</f>
        <v/>
      </c>
      <c r="AO32" s="999" t="str">
        <f>IF(ISNUMBER(AI$114),INDEX(Patients!$D$34:$BD$37,3,MATCH(AI$114,Patients!$D$31:$BD$31,0)),"")</f>
        <v/>
      </c>
      <c r="AP32" s="999" t="str">
        <f>IF(ISNUMBER(AJ$114),INDEX(Patients!$D$34:$BD$37,3,MATCH(AJ$114,Patients!$D$31:$BD$31,0)),"")</f>
        <v/>
      </c>
      <c r="AQ32" s="999" t="str">
        <f>IF(ISNUMBER(AK$114),INDEX(Patients!$D$34:$BD$37,3,MATCH(AK$114,Patients!$D$31:$BD$31,0)),"")</f>
        <v/>
      </c>
      <c r="AR32" s="999" t="str">
        <f>IF(ISNUMBER(AL$114),INDEX(Patients!$D$34:$BD$37,3,MATCH(AL$114,Patients!$D$31:$BD$31,0)),"")</f>
        <v/>
      </c>
      <c r="AS32" s="999" t="str">
        <f>IF(ISNUMBER(AM$114),INDEX(Patients!$D$34:$BD$37,3,MATCH(AM$114,Patients!$D$31:$BD$31,0)),"")</f>
        <v/>
      </c>
      <c r="AT32" s="999" t="str">
        <f>IF(ISNUMBER(AN$114),INDEX(Patients!$D$34:$BD$37,3,MATCH(AN$114,Patients!$D$31:$BD$31,0)),"")</f>
        <v/>
      </c>
      <c r="AU32" s="999" t="str">
        <f>IF(ISNUMBER(AO$114),INDEX(Patients!$D$34:$BD$37,3,MATCH(AO$114,Patients!$D$31:$BD$31,0)),"")</f>
        <v/>
      </c>
      <c r="AV32" s="999" t="str">
        <f>IF(ISNUMBER(AP$114),INDEX(Patients!$D$34:$BD$37,3,MATCH(AP$114,Patients!$D$31:$BD$31,0)),"")</f>
        <v/>
      </c>
      <c r="AW32" s="999" t="str">
        <f>IF(ISNUMBER(AQ$114),INDEX(Patients!$D$34:$BD$37,3,MATCH(AQ$114,Patients!$D$31:$BD$31,0)),"")</f>
        <v/>
      </c>
      <c r="AX32" s="999" t="str">
        <f>IF(ISNUMBER(AR$114),INDEX(Patients!$D$34:$BD$37,3,MATCH(AR$114,Patients!$D$31:$BD$31,0)),"")</f>
        <v/>
      </c>
      <c r="AY32" s="999" t="str">
        <f>IF(ISNUMBER(AS$114),INDEX(Patients!$D$34:$BD$37,3,MATCH(AS$114,Patients!$D$31:$BD$31,0)),"")</f>
        <v/>
      </c>
      <c r="AZ32" s="999" t="str">
        <f>IF(ISNUMBER(AT$114),INDEX(Patients!$D$34:$BD$37,3,MATCH(AT$114,Patients!$D$31:$BD$31,0)),"")</f>
        <v/>
      </c>
      <c r="BA32" s="999" t="str">
        <f>IF(ISNUMBER(AU$114),INDEX(Patients!$D$34:$BD$37,3,MATCH(AU$114,Patients!$D$31:$BD$31,0)),"")</f>
        <v/>
      </c>
      <c r="BB32" s="999" t="str">
        <f>IF(ISNUMBER(AV$114),INDEX(Patients!$D$34:$BD$37,3,MATCH(AV$114,Patients!$D$31:$BD$31,0)),"")</f>
        <v/>
      </c>
      <c r="BC32" s="999" t="str">
        <f>IF(ISNUMBER(AW$114),INDEX(Patients!$D$34:$BD$37,3,MATCH(AW$114,Patients!$D$31:$BD$31,0)),"")</f>
        <v/>
      </c>
      <c r="BD32" s="999" t="str">
        <f>IF(ISNUMBER(AX$114),INDEX(Patients!$D$34:$BD$37,3,MATCH(AX$114,Patients!$D$31:$BD$31,0)),"")</f>
        <v/>
      </c>
      <c r="BE32" s="999" t="str">
        <f>IF(ISNUMBER(AY$114),INDEX(Patients!$D$34:$BD$37,3,MATCH(AY$114,Patients!$D$31:$BD$31,0)),"")</f>
        <v/>
      </c>
      <c r="BF32" s="999" t="str">
        <f>IF(ISNUMBER(AZ$114),INDEX(Patients!$D$34:$BD$37,3,MATCH(AZ$114,Patients!$D$31:$BD$31,0)),"")</f>
        <v/>
      </c>
      <c r="BG32" s="999" t="str">
        <f>IF(ISNUMBER(BA$114),INDEX(Patients!$D$34:$BD$37,3,MATCH(BA$114,Patients!$D$31:$BD$31,0)),"")</f>
        <v/>
      </c>
      <c r="BH32" s="999" t="str">
        <f>IF(ISNUMBER(BB$114),INDEX(Patients!$D$34:$BD$37,3,MATCH(BB$114,Patients!$D$31:$BD$31,0)),"")</f>
        <v/>
      </c>
      <c r="BI32" s="999" t="str">
        <f>IF(ISNUMBER(BC$114),INDEX(Patients!$D$34:$BD$37,3,MATCH(BC$114,Patients!$D$31:$BD$31,0)),"")</f>
        <v/>
      </c>
      <c r="BJ32" s="999" t="str">
        <f>IF(ISNUMBER(BD$114),INDEX(Patients!$D$34:$BD$37,3,MATCH(BD$114,Patients!$D$31:$BD$31,0)),"")</f>
        <v/>
      </c>
      <c r="BK32" s="999" t="str">
        <f>IF(ISNUMBER(BE$114),INDEX(Patients!$D$34:$BD$37,3,MATCH(BE$114,Patients!$D$31:$BD$31,0)),"")</f>
        <v/>
      </c>
    </row>
    <row r="33" spans="2:73" s="87" customFormat="1" x14ac:dyDescent="0.75">
      <c r="B33" s="104"/>
      <c r="C33" s="104"/>
      <c r="D33" s="104"/>
      <c r="E33" s="104"/>
      <c r="F33" s="104"/>
      <c r="G33" s="104"/>
      <c r="J33" s="103"/>
      <c r="K33" s="1000" t="s">
        <v>872</v>
      </c>
      <c r="L33" s="999">
        <f>IF(ISNUMBER(F$114),INDEX(Patients!$D$34:$BD$37,4,MATCH(F$114,Patients!$D$31:$BD$31,0)),"")</f>
        <v>0.14901936961983006</v>
      </c>
      <c r="M33" s="999">
        <f>IF(ISNUMBER(G$114),INDEX(Patients!$D$34:$BD$37,4,MATCH(G$114,Patients!$D$31:$BD$31,0)),"")</f>
        <v>0.51210624333379029</v>
      </c>
      <c r="N33" s="999">
        <f>IF(ISNUMBER(H$114),INDEX(Patients!$D$34:$BD$37,4,MATCH(H$114,Patients!$D$31:$BD$31,0)),"")</f>
        <v>1.759839865282411</v>
      </c>
      <c r="O33" s="999">
        <f>IF(ISNUMBER(I$114),INDEX(Patients!$D$34:$BD$37,4,MATCH(I$114,Patients!$D$31:$BD$31,0)),"")</f>
        <v>6.0474399763702964</v>
      </c>
      <c r="P33" s="999">
        <f>IF(ISNUMBER(J$114),INDEX(Patients!$D$34:$BD$37,4,MATCH(J$114,Patients!$D$31:$BD$31,0)),"")</f>
        <v>20.778758032270105</v>
      </c>
      <c r="Q33" s="999">
        <f>IF(ISNUMBER(K$114),INDEX(Patients!$D$34:$BD$37,4,MATCH(K$114,Patients!$D$31:$BD$31,0)),"")</f>
        <v>71.366510866627991</v>
      </c>
      <c r="R33" s="999">
        <f>IF(ISNUMBER(L$114),INDEX(Patients!$D$34:$BD$37,4,MATCH(L$114,Patients!$D$31:$BD$31,0)),"")</f>
        <v>244.77940687578112</v>
      </c>
      <c r="S33" s="999">
        <f>IF(ISNUMBER(M$114),INDEX(Patients!$D$34:$BD$37,4,MATCH(M$114,Patients!$D$31:$BD$31,0)),"")</f>
        <v>835.63901839168761</v>
      </c>
      <c r="T33" s="999">
        <f>IF(ISNUMBER(N$114),INDEX(Patients!$D$34:$BD$37,4,MATCH(N$114,Patients!$D$31:$BD$31,0)),"")</f>
        <v>2807.6138291947427</v>
      </c>
      <c r="U33" s="999">
        <f>IF(ISNUMBER(O$114),INDEX(Patients!$D$34:$BD$37,4,MATCH(O$114,Patients!$D$31:$BD$31,0)),"")</f>
        <v>8947.262460475953</v>
      </c>
      <c r="V33" s="999">
        <f>IF(ISNUMBER(P$114),INDEX(Patients!$D$34:$BD$37,4,MATCH(P$114,Patients!$D$31:$BD$31,0)),"")</f>
        <v>24248.22257220927</v>
      </c>
      <c r="W33" s="999">
        <f>IF(ISNUMBER(Q$114),INDEX(Patients!$D$34:$BD$37,4,MATCH(Q$114,Patients!$D$31:$BD$31,0)),"")</f>
        <v>44006.578461582299</v>
      </c>
      <c r="X33" s="999" t="str">
        <f>IF(ISNUMBER(R$114),INDEX(Patients!$D$34:$BD$37,4,MATCH(R$114,Patients!$D$31:$BD$31,0)),"")</f>
        <v/>
      </c>
      <c r="Y33" s="999" t="str">
        <f>IF(ISNUMBER(S$114),INDEX(Patients!$D$34:$BD$37,4,MATCH(S$114,Patients!$D$31:$BD$31,0)),"")</f>
        <v/>
      </c>
      <c r="Z33" s="999" t="str">
        <f>IF(ISNUMBER(T$114),INDEX(Patients!$D$34:$BD$37,4,MATCH(T$114,Patients!$D$31:$BD$31,0)),"")</f>
        <v/>
      </c>
      <c r="AA33" s="999" t="str">
        <f>IF(ISNUMBER(U$114),INDEX(Patients!$D$34:$BD$37,4,MATCH(U$114,Patients!$D$31:$BD$31,0)),"")</f>
        <v/>
      </c>
      <c r="AB33" s="999" t="str">
        <f>IF(ISNUMBER(V$114),INDEX(Patients!$D$34:$BD$37,4,MATCH(V$114,Patients!$D$31:$BD$31,0)),"")</f>
        <v/>
      </c>
      <c r="AC33" s="999" t="str">
        <f>IF(ISNUMBER(W$114),INDEX(Patients!$D$34:$BD$37,4,MATCH(W$114,Patients!$D$31:$BD$31,0)),"")</f>
        <v/>
      </c>
      <c r="AD33" s="999" t="str">
        <f>IF(ISNUMBER(X$114),INDEX(Patients!$D$34:$BD$37,4,MATCH(X$114,Patients!$D$31:$BD$31,0)),"")</f>
        <v/>
      </c>
      <c r="AE33" s="999" t="str">
        <f>IF(ISNUMBER(Y$114),INDEX(Patients!$D$34:$BD$37,4,MATCH(Y$114,Patients!$D$31:$BD$31,0)),"")</f>
        <v/>
      </c>
      <c r="AF33" s="999" t="str">
        <f>IF(ISNUMBER(Z$114),INDEX(Patients!$D$34:$BD$37,4,MATCH(Z$114,Patients!$D$31:$BD$31,0)),"")</f>
        <v/>
      </c>
      <c r="AG33" s="999" t="str">
        <f>IF(ISNUMBER(AA$114),INDEX(Patients!$D$34:$BD$37,4,MATCH(AA$114,Patients!$D$31:$BD$31,0)),"")</f>
        <v/>
      </c>
      <c r="AH33" s="999" t="str">
        <f>IF(ISNUMBER(AB$114),INDEX(Patients!$D$34:$BD$37,4,MATCH(AB$114,Patients!$D$31:$BD$31,0)),"")</f>
        <v/>
      </c>
      <c r="AI33" s="999" t="str">
        <f>IF(ISNUMBER(AC$114),INDEX(Patients!$D$34:$BD$37,4,MATCH(AC$114,Patients!$D$31:$BD$31,0)),"")</f>
        <v/>
      </c>
      <c r="AJ33" s="999" t="str">
        <f>IF(ISNUMBER(AD$114),INDEX(Patients!$D$34:$BD$37,4,MATCH(AD$114,Patients!$D$31:$BD$31,0)),"")</f>
        <v/>
      </c>
      <c r="AK33" s="999" t="str">
        <f>IF(ISNUMBER(AE$114),INDEX(Patients!$D$34:$BD$37,4,MATCH(AE$114,Patients!$D$31:$BD$31,0)),"")</f>
        <v/>
      </c>
      <c r="AL33" s="999" t="str">
        <f>IF(ISNUMBER(AF$114),INDEX(Patients!$D$34:$BD$37,4,MATCH(AF$114,Patients!$D$31:$BD$31,0)),"")</f>
        <v/>
      </c>
      <c r="AM33" s="999" t="str">
        <f>IF(ISNUMBER(AG$114),INDEX(Patients!$D$34:$BD$37,4,MATCH(AG$114,Patients!$D$31:$BD$31,0)),"")</f>
        <v/>
      </c>
      <c r="AN33" s="999" t="str">
        <f>IF(ISNUMBER(AH$114),INDEX(Patients!$D$34:$BD$37,4,MATCH(AH$114,Patients!$D$31:$BD$31,0)),"")</f>
        <v/>
      </c>
      <c r="AO33" s="999" t="str">
        <f>IF(ISNUMBER(AI$114),INDEX(Patients!$D$34:$BD$37,4,MATCH(AI$114,Patients!$D$31:$BD$31,0)),"")</f>
        <v/>
      </c>
      <c r="AP33" s="999" t="str">
        <f>IF(ISNUMBER(AJ$114),INDEX(Patients!$D$34:$BD$37,4,MATCH(AJ$114,Patients!$D$31:$BD$31,0)),"")</f>
        <v/>
      </c>
      <c r="AQ33" s="999" t="str">
        <f>IF(ISNUMBER(AK$114),INDEX(Patients!$D$34:$BD$37,4,MATCH(AK$114,Patients!$D$31:$BD$31,0)),"")</f>
        <v/>
      </c>
      <c r="AR33" s="999" t="str">
        <f>IF(ISNUMBER(AL$114),INDEX(Patients!$D$34:$BD$37,4,MATCH(AL$114,Patients!$D$31:$BD$31,0)),"")</f>
        <v/>
      </c>
      <c r="AS33" s="999" t="str">
        <f>IF(ISNUMBER(AM$114),INDEX(Patients!$D$34:$BD$37,4,MATCH(AM$114,Patients!$D$31:$BD$31,0)),"")</f>
        <v/>
      </c>
      <c r="AT33" s="999" t="str">
        <f>IF(ISNUMBER(AN$114),INDEX(Patients!$D$34:$BD$37,4,MATCH(AN$114,Patients!$D$31:$BD$31,0)),"")</f>
        <v/>
      </c>
      <c r="AU33" s="999" t="str">
        <f>IF(ISNUMBER(AO$114),INDEX(Patients!$D$34:$BD$37,4,MATCH(AO$114,Patients!$D$31:$BD$31,0)),"")</f>
        <v/>
      </c>
      <c r="AV33" s="999" t="str">
        <f>IF(ISNUMBER(AP$114),INDEX(Patients!$D$34:$BD$37,4,MATCH(AP$114,Patients!$D$31:$BD$31,0)),"")</f>
        <v/>
      </c>
      <c r="AW33" s="999" t="str">
        <f>IF(ISNUMBER(AQ$114),INDEX(Patients!$D$34:$BD$37,4,MATCH(AQ$114,Patients!$D$31:$BD$31,0)),"")</f>
        <v/>
      </c>
      <c r="AX33" s="999" t="str">
        <f>IF(ISNUMBER(AR$114),INDEX(Patients!$D$34:$BD$37,4,MATCH(AR$114,Patients!$D$31:$BD$31,0)),"")</f>
        <v/>
      </c>
      <c r="AY33" s="999" t="str">
        <f>IF(ISNUMBER(AS$114),INDEX(Patients!$D$34:$BD$37,4,MATCH(AS$114,Patients!$D$31:$BD$31,0)),"")</f>
        <v/>
      </c>
      <c r="AZ33" s="999" t="str">
        <f>IF(ISNUMBER(AT$114),INDEX(Patients!$D$34:$BD$37,4,MATCH(AT$114,Patients!$D$31:$BD$31,0)),"")</f>
        <v/>
      </c>
      <c r="BA33" s="999" t="str">
        <f>IF(ISNUMBER(AU$114),INDEX(Patients!$D$34:$BD$37,4,MATCH(AU$114,Patients!$D$31:$BD$31,0)),"")</f>
        <v/>
      </c>
      <c r="BB33" s="999" t="str">
        <f>IF(ISNUMBER(AV$114),INDEX(Patients!$D$34:$BD$37,4,MATCH(AV$114,Patients!$D$31:$BD$31,0)),"")</f>
        <v/>
      </c>
      <c r="BC33" s="999" t="str">
        <f>IF(ISNUMBER(AW$114),INDEX(Patients!$D$34:$BD$37,4,MATCH(AW$114,Patients!$D$31:$BD$31,0)),"")</f>
        <v/>
      </c>
      <c r="BD33" s="999" t="str">
        <f>IF(ISNUMBER(AX$114),INDEX(Patients!$D$34:$BD$37,4,MATCH(AX$114,Patients!$D$31:$BD$31,0)),"")</f>
        <v/>
      </c>
      <c r="BE33" s="999" t="str">
        <f>IF(ISNUMBER(AY$114),INDEX(Patients!$D$34:$BD$37,4,MATCH(AY$114,Patients!$D$31:$BD$31,0)),"")</f>
        <v/>
      </c>
      <c r="BF33" s="999" t="str">
        <f>IF(ISNUMBER(AZ$114),INDEX(Patients!$D$34:$BD$37,4,MATCH(AZ$114,Patients!$D$31:$BD$31,0)),"")</f>
        <v/>
      </c>
      <c r="BG33" s="999" t="str">
        <f>IF(ISNUMBER(BA$114),INDEX(Patients!$D$34:$BD$37,4,MATCH(BA$114,Patients!$D$31:$BD$31,0)),"")</f>
        <v/>
      </c>
      <c r="BH33" s="999" t="str">
        <f>IF(ISNUMBER(BB$114),INDEX(Patients!$D$34:$BD$37,4,MATCH(BB$114,Patients!$D$31:$BD$31,0)),"")</f>
        <v/>
      </c>
      <c r="BI33" s="999" t="str">
        <f>IF(ISNUMBER(BC$114),INDEX(Patients!$D$34:$BD$37,4,MATCH(BC$114,Patients!$D$31:$BD$31,0)),"")</f>
        <v/>
      </c>
      <c r="BJ33" s="999" t="str">
        <f>IF(ISNUMBER(BD$114),INDEX(Patients!$D$34:$BD$37,4,MATCH(BD$114,Patients!$D$31:$BD$31,0)),"")</f>
        <v/>
      </c>
      <c r="BK33" s="999" t="str">
        <f>IF(ISNUMBER(BE$114),INDEX(Patients!$D$34:$BD$37,4,MATCH(BE$114,Patients!$D$31:$BD$31,0)),"")</f>
        <v/>
      </c>
    </row>
    <row r="34" spans="2:73" s="87" customFormat="1" x14ac:dyDescent="0.75">
      <c r="B34" s="104"/>
      <c r="C34" s="104"/>
      <c r="D34" s="104"/>
      <c r="E34" s="104"/>
      <c r="F34" s="104"/>
      <c r="G34" s="104"/>
      <c r="H34" s="103"/>
      <c r="I34" s="105"/>
      <c r="J34" s="103"/>
      <c r="K34" s="1335"/>
      <c r="L34" s="1334"/>
      <c r="M34" s="1334"/>
      <c r="N34" s="1334"/>
      <c r="O34" s="1334"/>
      <c r="P34" s="1334"/>
      <c r="Q34" s="1334"/>
      <c r="R34" s="319"/>
      <c r="S34" s="319"/>
      <c r="T34" s="319"/>
      <c r="U34" s="1013"/>
      <c r="V34" s="1013"/>
      <c r="W34" s="1013"/>
      <c r="X34" s="1013"/>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row>
    <row r="35" spans="2:73" s="87" customFormat="1" x14ac:dyDescent="0.75">
      <c r="B35" s="104"/>
      <c r="C35" s="104"/>
      <c r="D35" s="104"/>
      <c r="E35" s="104"/>
      <c r="F35" s="104"/>
      <c r="G35" s="104"/>
      <c r="H35" s="103"/>
      <c r="I35" s="105"/>
      <c r="J35" s="103"/>
      <c r="K35" s="1334"/>
      <c r="L35" s="1334"/>
      <c r="M35" s="1334"/>
      <c r="N35" s="1334"/>
      <c r="O35" s="1334"/>
      <c r="P35" s="1334"/>
      <c r="Q35" s="1334"/>
      <c r="R35" s="319"/>
      <c r="S35" s="319"/>
      <c r="T35" s="319"/>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row>
    <row r="36" spans="2:73" s="87" customFormat="1" x14ac:dyDescent="0.75">
      <c r="B36" s="104"/>
      <c r="C36" s="104"/>
      <c r="D36" s="104"/>
      <c r="E36" s="104"/>
      <c r="F36" s="104"/>
      <c r="G36" s="104"/>
      <c r="H36" s="103"/>
      <c r="I36" s="105"/>
      <c r="J36" s="103"/>
      <c r="K36" s="1334"/>
      <c r="L36" s="1334"/>
      <c r="M36" s="1334"/>
      <c r="N36" s="1334"/>
      <c r="O36" s="1334"/>
      <c r="P36" s="1334"/>
      <c r="Q36" s="1334"/>
      <c r="R36" s="319"/>
      <c r="S36" s="319"/>
      <c r="T36" s="319"/>
      <c r="X36" s="118"/>
    </row>
    <row r="37" spans="2:73" s="87" customFormat="1" x14ac:dyDescent="0.75">
      <c r="B37" s="88"/>
      <c r="C37" s="88"/>
      <c r="D37" s="88"/>
      <c r="E37" s="88"/>
      <c r="F37" s="88"/>
      <c r="G37" s="88"/>
      <c r="I37" s="95"/>
      <c r="K37" s="1334"/>
      <c r="L37" s="1334"/>
      <c r="M37" s="1334"/>
      <c r="N37" s="1334"/>
      <c r="O37" s="1334"/>
      <c r="P37" s="1334"/>
      <c r="Q37" s="1334"/>
      <c r="R37" s="319"/>
      <c r="S37" s="319"/>
      <c r="T37" s="319"/>
      <c r="X37" s="118"/>
    </row>
    <row r="38" spans="2:73" s="87" customFormat="1" ht="15.5" thickBot="1" x14ac:dyDescent="0.9">
      <c r="B38" s="88"/>
      <c r="C38" s="88"/>
      <c r="D38" s="88"/>
      <c r="E38" s="88"/>
      <c r="F38" s="88"/>
      <c r="G38" s="88"/>
      <c r="I38" s="95"/>
      <c r="K38" s="1334"/>
      <c r="L38" s="1334"/>
      <c r="M38" s="1334"/>
      <c r="N38" s="1334"/>
      <c r="O38" s="1334"/>
      <c r="P38" s="1334"/>
      <c r="Q38" s="1334"/>
      <c r="X38" s="118"/>
    </row>
    <row r="39" spans="2:73" s="87" customFormat="1" ht="15.5" thickBot="1" x14ac:dyDescent="0.9">
      <c r="B39" s="138" t="s">
        <v>1064</v>
      </c>
      <c r="C39" s="214">
        <f>F99</f>
        <v>1623814.1884616646</v>
      </c>
      <c r="D39" s="139"/>
      <c r="E39" s="412" t="s">
        <v>1356</v>
      </c>
      <c r="G39" s="139"/>
      <c r="K39" s="1334"/>
      <c r="L39" s="1334"/>
      <c r="M39" s="1334"/>
      <c r="N39" s="1334"/>
      <c r="O39" s="1334"/>
      <c r="P39" s="1334"/>
      <c r="Q39" s="1334"/>
      <c r="X39" s="118"/>
    </row>
    <row r="40" spans="2:73" s="87" customFormat="1" x14ac:dyDescent="0.75">
      <c r="B40" s="412" t="s">
        <v>1358</v>
      </c>
      <c r="C40" s="88"/>
      <c r="D40" s="88"/>
      <c r="E40" s="412" t="s">
        <v>1852</v>
      </c>
      <c r="G40" s="88"/>
      <c r="H40"/>
      <c r="I40"/>
      <c r="K40" s="1334"/>
      <c r="L40" s="1334"/>
      <c r="M40" s="1334"/>
      <c r="N40" s="1336"/>
      <c r="O40" s="1334"/>
      <c r="P40" s="1334"/>
      <c r="Q40" s="1334"/>
      <c r="X40" s="118"/>
    </row>
    <row r="41" spans="2:73" s="87" customFormat="1" x14ac:dyDescent="0.75">
      <c r="B41" s="412" t="s">
        <v>1357</v>
      </c>
      <c r="C41" s="88"/>
      <c r="D41" s="88"/>
      <c r="E41" s="88"/>
      <c r="F41" s="88"/>
      <c r="G41" s="88"/>
      <c r="H41" s="132"/>
      <c r="I41" s="132"/>
      <c r="K41" s="998"/>
      <c r="L41" s="998"/>
      <c r="M41" s="998"/>
      <c r="N41" s="1074"/>
      <c r="O41" s="998"/>
      <c r="P41" s="998"/>
      <c r="Q41" s="998"/>
      <c r="R41" s="998"/>
      <c r="S41" s="998"/>
      <c r="T41" s="998"/>
      <c r="U41" s="998"/>
      <c r="V41" s="998"/>
      <c r="W41" s="998"/>
      <c r="X41" s="998"/>
      <c r="Y41" s="998"/>
      <c r="Z41" s="998"/>
      <c r="AA41" s="998"/>
      <c r="AB41" s="998"/>
      <c r="AC41" s="998"/>
      <c r="AD41" s="998"/>
      <c r="AE41" s="998"/>
      <c r="AF41" s="998"/>
      <c r="AG41" s="998"/>
      <c r="AH41" s="998"/>
      <c r="AI41" s="998"/>
      <c r="AJ41" s="998"/>
      <c r="AK41" s="998"/>
      <c r="AL41" s="998"/>
      <c r="AM41" s="998"/>
      <c r="AN41" s="998"/>
      <c r="AO41" s="998"/>
      <c r="AP41" s="998"/>
      <c r="AQ41" s="998"/>
      <c r="AR41" s="998"/>
      <c r="AS41" s="998"/>
      <c r="AT41" s="998"/>
      <c r="AU41" s="998"/>
      <c r="AV41" s="998"/>
      <c r="AW41" s="998"/>
      <c r="AX41" s="998"/>
      <c r="AY41" s="998"/>
      <c r="AZ41" s="998"/>
      <c r="BA41" s="998"/>
      <c r="BB41" s="998"/>
      <c r="BC41" s="998"/>
      <c r="BD41" s="998"/>
      <c r="BE41" s="998"/>
      <c r="BF41" s="998"/>
      <c r="BG41" s="998"/>
      <c r="BH41" s="998"/>
      <c r="BI41" s="998"/>
      <c r="BJ41" s="998"/>
      <c r="BK41" s="998"/>
      <c r="BL41" s="998"/>
      <c r="BM41" s="998"/>
      <c r="BN41" s="998"/>
      <c r="BO41" s="998"/>
      <c r="BP41" s="998"/>
      <c r="BQ41" s="998"/>
      <c r="BR41" s="998"/>
      <c r="BS41" s="998"/>
      <c r="BT41" s="998"/>
      <c r="BU41" s="998"/>
    </row>
    <row r="42" spans="2:73" s="87" customFormat="1" x14ac:dyDescent="0.75">
      <c r="B42" s="88"/>
      <c r="C42" s="88"/>
      <c r="D42" s="88"/>
      <c r="E42" s="88"/>
      <c r="F42" s="88"/>
      <c r="G42" s="88"/>
      <c r="H42" s="132"/>
      <c r="I42" s="132"/>
      <c r="K42" s="998"/>
      <c r="L42" s="998"/>
      <c r="M42" s="998"/>
      <c r="N42" s="1074"/>
      <c r="O42" s="998"/>
      <c r="P42" s="998"/>
      <c r="Q42" s="998"/>
      <c r="R42" s="998"/>
      <c r="S42" s="998"/>
      <c r="T42" s="998"/>
      <c r="U42" s="998"/>
      <c r="V42" s="998"/>
      <c r="W42" s="998"/>
      <c r="X42" s="998"/>
      <c r="Y42" s="998"/>
      <c r="Z42" s="998"/>
      <c r="AA42" s="998"/>
      <c r="AB42" s="998"/>
      <c r="AC42" s="998"/>
      <c r="AD42" s="998"/>
      <c r="AE42" s="998"/>
      <c r="AF42" s="998"/>
      <c r="AG42" s="998"/>
      <c r="AH42" s="998"/>
      <c r="AI42" s="998"/>
      <c r="AJ42" s="998"/>
      <c r="AK42" s="998"/>
      <c r="AL42" s="998"/>
      <c r="AM42" s="998"/>
      <c r="AN42" s="998"/>
      <c r="AO42" s="998"/>
      <c r="AP42" s="998"/>
      <c r="AQ42" s="998"/>
      <c r="AR42" s="998"/>
      <c r="AS42" s="998"/>
      <c r="AT42" s="998"/>
      <c r="AU42" s="998"/>
      <c r="AV42" s="998"/>
      <c r="AW42" s="998"/>
      <c r="AX42" s="998"/>
      <c r="AY42" s="998"/>
      <c r="AZ42" s="998"/>
      <c r="BA42" s="998"/>
      <c r="BB42" s="998"/>
      <c r="BC42" s="998"/>
      <c r="BD42" s="998"/>
      <c r="BE42" s="998"/>
      <c r="BF42" s="998"/>
      <c r="BG42" s="998"/>
      <c r="BH42" s="998"/>
      <c r="BI42" s="998"/>
      <c r="BJ42" s="998"/>
      <c r="BK42" s="998"/>
      <c r="BL42" s="998"/>
      <c r="BM42" s="998"/>
      <c r="BN42" s="998"/>
      <c r="BO42" s="998"/>
      <c r="BP42" s="998"/>
      <c r="BQ42" s="998"/>
      <c r="BR42" s="998"/>
      <c r="BS42" s="998"/>
      <c r="BT42" s="998"/>
      <c r="BU42" s="998"/>
    </row>
    <row r="43" spans="2:73" s="87" customFormat="1" x14ac:dyDescent="0.75">
      <c r="B43" s="88"/>
      <c r="C43" s="88"/>
      <c r="D43" s="88"/>
      <c r="E43" s="88"/>
      <c r="F43" s="88"/>
      <c r="G43" s="88"/>
      <c r="H43" s="132"/>
      <c r="I43" s="132"/>
      <c r="K43" s="998"/>
      <c r="L43" s="998"/>
      <c r="M43" s="998"/>
      <c r="N43" s="1074"/>
      <c r="O43" s="998"/>
      <c r="P43" s="998"/>
      <c r="Q43" s="998"/>
      <c r="R43" s="998"/>
      <c r="S43" s="998"/>
      <c r="T43" s="998"/>
      <c r="U43" s="998"/>
      <c r="V43" s="998"/>
      <c r="W43" s="998"/>
      <c r="X43" s="998"/>
      <c r="Y43" s="998"/>
      <c r="Z43" s="998"/>
      <c r="AA43" s="998"/>
      <c r="AB43" s="998"/>
      <c r="AC43" s="998"/>
      <c r="AD43" s="998"/>
      <c r="AE43" s="998"/>
      <c r="AF43" s="998"/>
      <c r="AG43" s="998"/>
      <c r="AH43" s="998"/>
      <c r="AI43" s="998"/>
      <c r="AJ43" s="998"/>
      <c r="AK43" s="998"/>
      <c r="AL43" s="998"/>
      <c r="AM43" s="998"/>
      <c r="AN43" s="998"/>
      <c r="AO43" s="998"/>
      <c r="AP43" s="998"/>
      <c r="AQ43" s="998"/>
      <c r="AR43" s="998"/>
      <c r="AS43" s="998"/>
      <c r="AT43" s="998"/>
      <c r="AU43" s="998"/>
      <c r="AV43" s="998"/>
      <c r="AW43" s="998"/>
      <c r="AX43" s="998"/>
      <c r="AY43" s="998"/>
      <c r="AZ43" s="998"/>
      <c r="BA43" s="998"/>
      <c r="BB43" s="998"/>
      <c r="BC43" s="998"/>
      <c r="BD43" s="998"/>
      <c r="BE43" s="998"/>
      <c r="BF43" s="998"/>
      <c r="BG43" s="998"/>
      <c r="BH43" s="998"/>
      <c r="BI43" s="998"/>
      <c r="BJ43" s="998"/>
      <c r="BK43" s="998"/>
      <c r="BL43" s="998"/>
      <c r="BM43" s="998"/>
      <c r="BN43" s="998"/>
      <c r="BO43" s="998"/>
      <c r="BP43" s="998"/>
      <c r="BQ43" s="998"/>
      <c r="BR43" s="998"/>
      <c r="BS43" s="998"/>
      <c r="BT43" s="998"/>
      <c r="BU43" s="998"/>
    </row>
    <row r="44" spans="2:73" s="87" customFormat="1" x14ac:dyDescent="0.75">
      <c r="B44" s="88"/>
      <c r="C44" s="88"/>
      <c r="D44" s="88"/>
      <c r="E44" s="88"/>
      <c r="F44" s="88"/>
      <c r="G44" s="88"/>
      <c r="H44" s="132"/>
      <c r="I44" s="132"/>
      <c r="K44" s="998"/>
      <c r="L44" s="998"/>
      <c r="M44" s="998"/>
      <c r="N44" s="1074"/>
      <c r="O44" s="998"/>
      <c r="P44" s="998"/>
      <c r="Q44" s="998"/>
      <c r="R44" s="998"/>
      <c r="S44" s="998"/>
      <c r="T44" s="998"/>
      <c r="U44" s="998"/>
      <c r="V44" s="998"/>
      <c r="W44" s="998"/>
      <c r="X44" s="998"/>
      <c r="Y44" s="998"/>
      <c r="Z44" s="998"/>
      <c r="AA44" s="998"/>
      <c r="AB44" s="998"/>
      <c r="AC44" s="998"/>
      <c r="AD44" s="998"/>
      <c r="AE44" s="998"/>
      <c r="AF44" s="998"/>
      <c r="AG44" s="998"/>
      <c r="AH44" s="998"/>
      <c r="AI44" s="998"/>
      <c r="AJ44" s="998"/>
      <c r="AK44" s="998"/>
      <c r="AL44" s="998"/>
      <c r="AM44" s="998"/>
      <c r="AN44" s="998"/>
      <c r="AO44" s="998"/>
      <c r="AP44" s="998"/>
      <c r="AQ44" s="998"/>
      <c r="AR44" s="998"/>
      <c r="AS44" s="998"/>
      <c r="AT44" s="998"/>
      <c r="AU44" s="998"/>
      <c r="AV44" s="998"/>
      <c r="AW44" s="998"/>
      <c r="AX44" s="998"/>
      <c r="AY44" s="998"/>
      <c r="AZ44" s="998"/>
      <c r="BA44" s="998"/>
      <c r="BB44" s="998"/>
      <c r="BC44" s="998"/>
      <c r="BD44" s="998"/>
      <c r="BE44" s="998"/>
      <c r="BF44" s="998"/>
      <c r="BG44" s="998"/>
      <c r="BH44" s="998"/>
      <c r="BI44" s="998"/>
      <c r="BJ44" s="998"/>
      <c r="BK44" s="998"/>
      <c r="BL44" s="998"/>
      <c r="BM44" s="998"/>
      <c r="BN44" s="998"/>
      <c r="BO44" s="998"/>
      <c r="BP44" s="998"/>
      <c r="BQ44" s="998"/>
      <c r="BR44" s="998"/>
      <c r="BS44" s="998"/>
      <c r="BT44" s="998"/>
      <c r="BU44" s="998"/>
    </row>
    <row r="45" spans="2:73" s="87" customFormat="1" x14ac:dyDescent="0.75">
      <c r="B45"/>
      <c r="C45"/>
      <c r="D45" s="88"/>
      <c r="E45" s="88"/>
      <c r="F45" s="88"/>
      <c r="G45" s="88"/>
      <c r="H45" s="132"/>
      <c r="I45" s="132"/>
      <c r="K45" s="998"/>
      <c r="L45" s="998"/>
      <c r="M45" s="998"/>
      <c r="N45" s="1074"/>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998"/>
      <c r="AO45" s="998"/>
      <c r="AP45" s="998"/>
      <c r="AQ45" s="998"/>
      <c r="AR45" s="998"/>
      <c r="AS45" s="998"/>
      <c r="AT45" s="998"/>
      <c r="AU45" s="998"/>
      <c r="AV45" s="998"/>
      <c r="AW45" s="998"/>
      <c r="AX45" s="998"/>
      <c r="AY45" s="998"/>
      <c r="AZ45" s="998"/>
      <c r="BA45" s="998"/>
      <c r="BB45" s="998"/>
      <c r="BC45" s="998"/>
      <c r="BD45" s="998"/>
      <c r="BE45" s="998"/>
      <c r="BF45" s="998"/>
      <c r="BG45" s="998"/>
      <c r="BH45" s="998"/>
      <c r="BI45" s="998"/>
      <c r="BJ45" s="998"/>
      <c r="BK45" s="998"/>
      <c r="BL45" s="998"/>
      <c r="BM45" s="998"/>
      <c r="BN45" s="998"/>
      <c r="BO45" s="998"/>
      <c r="BP45" s="998"/>
      <c r="BQ45" s="998"/>
      <c r="BR45" s="998"/>
      <c r="BS45" s="998"/>
      <c r="BT45" s="998"/>
      <c r="BU45" s="998"/>
    </row>
    <row r="46" spans="2:73" s="87" customFormat="1" x14ac:dyDescent="0.75">
      <c r="B46"/>
      <c r="C46"/>
      <c r="D46" s="88"/>
      <c r="E46" s="88"/>
      <c r="F46" s="88"/>
      <c r="G46" s="88"/>
      <c r="H46" s="132"/>
      <c r="I46" s="132"/>
      <c r="K46" s="9"/>
      <c r="L46" s="998"/>
      <c r="M46" s="998"/>
      <c r="N46" s="1074"/>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8"/>
      <c r="AQ46" s="998"/>
      <c r="AR46" s="998"/>
      <c r="AS46" s="998"/>
      <c r="AT46" s="998"/>
      <c r="AU46" s="998"/>
      <c r="AV46" s="998"/>
      <c r="AW46" s="998"/>
      <c r="AX46" s="998"/>
      <c r="AY46" s="998"/>
      <c r="AZ46" s="998"/>
      <c r="BA46" s="998"/>
      <c r="BB46" s="998"/>
      <c r="BC46" s="998"/>
      <c r="BD46" s="998"/>
      <c r="BE46" s="998"/>
      <c r="BF46" s="998"/>
      <c r="BG46" s="998"/>
      <c r="BH46" s="998"/>
      <c r="BI46" s="998"/>
      <c r="BJ46" s="998"/>
      <c r="BK46" s="998"/>
      <c r="BL46" s="998"/>
      <c r="BM46" s="998"/>
      <c r="BN46" s="998"/>
      <c r="BO46" s="998"/>
      <c r="BP46" s="998"/>
      <c r="BQ46" s="998"/>
      <c r="BR46" s="998"/>
      <c r="BS46" s="998"/>
      <c r="BT46" s="998"/>
      <c r="BU46" s="998"/>
    </row>
    <row r="47" spans="2:73" s="87" customFormat="1" x14ac:dyDescent="0.75">
      <c r="B47"/>
      <c r="C47"/>
      <c r="D47" s="88"/>
      <c r="E47" s="88"/>
      <c r="F47" s="88"/>
      <c r="G47" s="88"/>
      <c r="H47" s="132"/>
      <c r="I47" s="132"/>
      <c r="K47" s="998"/>
      <c r="L47" s="998"/>
      <c r="M47" s="998"/>
      <c r="N47" s="1074"/>
      <c r="O47" s="998"/>
      <c r="P47" s="998"/>
      <c r="Q47" s="998"/>
      <c r="R47" s="998"/>
      <c r="S47" s="998"/>
      <c r="T47" s="998"/>
      <c r="U47" s="998"/>
      <c r="V47" s="998"/>
      <c r="W47" s="998"/>
      <c r="X47" s="998"/>
      <c r="Y47" s="998"/>
      <c r="Z47" s="998"/>
      <c r="AA47" s="998"/>
      <c r="AB47" s="998"/>
      <c r="AC47" s="998"/>
      <c r="AD47" s="998"/>
      <c r="AE47" s="998"/>
      <c r="AF47" s="998"/>
      <c r="AG47" s="998"/>
      <c r="AH47" s="998"/>
      <c r="AI47" s="998"/>
      <c r="AJ47" s="998"/>
      <c r="AK47" s="998"/>
      <c r="AL47" s="998"/>
      <c r="AM47" s="998"/>
      <c r="AN47" s="998"/>
      <c r="AO47" s="998"/>
      <c r="AP47" s="998"/>
      <c r="AQ47" s="998"/>
      <c r="AR47" s="998"/>
      <c r="AS47" s="998"/>
      <c r="AT47" s="998"/>
      <c r="AU47" s="998"/>
      <c r="AV47" s="998"/>
      <c r="AW47" s="998"/>
      <c r="AX47" s="998"/>
      <c r="AY47" s="998"/>
      <c r="AZ47" s="998"/>
      <c r="BA47" s="998"/>
      <c r="BB47" s="998"/>
      <c r="BC47" s="998"/>
      <c r="BD47" s="998"/>
      <c r="BE47" s="998"/>
      <c r="BF47" s="998"/>
      <c r="BG47" s="998"/>
      <c r="BH47" s="998"/>
      <c r="BI47" s="998"/>
      <c r="BJ47" s="998"/>
      <c r="BK47" s="998"/>
      <c r="BL47" s="998"/>
      <c r="BM47" s="998"/>
      <c r="BN47" s="998"/>
      <c r="BO47" s="998"/>
      <c r="BP47" s="998"/>
      <c r="BQ47" s="998"/>
      <c r="BR47" s="998"/>
      <c r="BS47" s="998"/>
      <c r="BT47" s="998"/>
      <c r="BU47" s="998"/>
    </row>
    <row r="48" spans="2:73" s="87" customFormat="1" x14ac:dyDescent="0.75">
      <c r="B48" s="106" t="s">
        <v>598</v>
      </c>
      <c r="C48" s="107">
        <f ca="1">SUM(C49:C52)</f>
        <v>1377300.3022301325</v>
      </c>
      <c r="D48" s="88"/>
      <c r="E48" s="88"/>
      <c r="F48" s="88"/>
      <c r="G48" s="88"/>
      <c r="H48" s="132"/>
      <c r="I48" s="132"/>
      <c r="K48" s="998" t="s">
        <v>937</v>
      </c>
      <c r="L48" s="998"/>
      <c r="M48" s="998"/>
      <c r="N48" s="998"/>
      <c r="O48" s="998"/>
      <c r="P48" s="998"/>
      <c r="Q48" s="998"/>
      <c r="R48" s="998"/>
      <c r="S48" s="998"/>
      <c r="T48" s="998"/>
      <c r="U48" s="998"/>
      <c r="V48" s="998"/>
      <c r="W48" s="998"/>
      <c r="X48" s="998"/>
      <c r="Y48" s="998"/>
      <c r="Z48" s="998"/>
      <c r="AA48" s="998"/>
      <c r="AB48" s="998"/>
      <c r="AC48" s="998"/>
      <c r="AD48" s="998"/>
      <c r="AE48" s="998"/>
      <c r="AF48" s="998"/>
      <c r="AG48" s="998"/>
      <c r="AH48" s="998"/>
      <c r="AI48" s="998"/>
      <c r="AJ48" s="998"/>
      <c r="AK48" s="998"/>
      <c r="AL48" s="998"/>
      <c r="AM48" s="998"/>
      <c r="AN48" s="998"/>
      <c r="AO48" s="998"/>
      <c r="AP48" s="998"/>
      <c r="AQ48" s="998"/>
      <c r="AR48" s="998"/>
      <c r="AS48" s="998"/>
      <c r="AT48" s="998"/>
      <c r="AU48" s="998"/>
      <c r="AV48" s="998"/>
      <c r="AW48" s="998"/>
      <c r="AX48" s="998"/>
      <c r="AY48" s="998"/>
      <c r="AZ48" s="998"/>
      <c r="BA48" s="998"/>
      <c r="BB48" s="998"/>
      <c r="BC48" s="998"/>
      <c r="BD48" s="998"/>
      <c r="BE48" s="998"/>
      <c r="BF48" s="998"/>
      <c r="BG48" s="998"/>
      <c r="BH48" s="998"/>
      <c r="BI48" s="998"/>
      <c r="BJ48" s="998"/>
      <c r="BK48" s="998"/>
      <c r="BL48" s="998"/>
      <c r="BM48" s="998"/>
      <c r="BN48" s="998"/>
      <c r="BO48" s="998"/>
      <c r="BP48" s="998"/>
      <c r="BQ48" s="998"/>
      <c r="BR48" s="998"/>
      <c r="BS48" s="998"/>
      <c r="BT48" s="998"/>
      <c r="BU48" s="998"/>
    </row>
    <row r="49" spans="2:73" s="87" customFormat="1" x14ac:dyDescent="0.75">
      <c r="B49" s="106" t="s">
        <v>602</v>
      </c>
      <c r="C49" s="107">
        <f>C26</f>
        <v>649525.67538466584</v>
      </c>
      <c r="D49" s="88"/>
      <c r="E49" s="88"/>
      <c r="F49" s="88"/>
      <c r="G49" s="88"/>
      <c r="H49" s="132"/>
      <c r="I49" s="132"/>
      <c r="K49" s="998"/>
      <c r="L49" s="999">
        <f>F114</f>
        <v>1</v>
      </c>
      <c r="M49" s="998">
        <f>IFERROR(IF(L49+1&lt;=MAX('Patient Calcs'!$B$14:$B$65),L49+1,""),"")</f>
        <v>2</v>
      </c>
      <c r="N49" s="998">
        <f>IFERROR(IF(M49+1&lt;=MAX('Patient Calcs'!$B$14:$B$65),M49+1,""),"")</f>
        <v>3</v>
      </c>
      <c r="O49" s="998">
        <f>IFERROR(IF(N49+1&lt;=MAX('Patient Calcs'!$B$14:$B$65),N49+1,""),"")</f>
        <v>4</v>
      </c>
      <c r="P49" s="998">
        <f>IFERROR(IF(O49+1&lt;=MAX('Patient Calcs'!$B$14:$B$65),O49+1,""),"")</f>
        <v>5</v>
      </c>
      <c r="Q49" s="998">
        <f>IFERROR(IF(P49+1&lt;=MAX('Patient Calcs'!$B$14:$B$65),P49+1,""),"")</f>
        <v>6</v>
      </c>
      <c r="R49" s="998">
        <f>IFERROR(IF(Q49+1&lt;=MAX('Patient Calcs'!$B$14:$B$65),Q49+1,""),"")</f>
        <v>7</v>
      </c>
      <c r="S49" s="998">
        <f>IFERROR(IF(R49+1&lt;=MAX('Patient Calcs'!$B$14:$B$65),R49+1,""),"")</f>
        <v>8</v>
      </c>
      <c r="T49" s="998">
        <f>IFERROR(IF(S49+1&lt;=MAX('Patient Calcs'!$B$14:$B$65),S49+1,""),"")</f>
        <v>9</v>
      </c>
      <c r="U49" s="998">
        <f>IFERROR(IF(T49+1&lt;=MAX('Patient Calcs'!$B$14:$B$65),T49+1,""),"")</f>
        <v>10</v>
      </c>
      <c r="V49" s="998">
        <f>IFERROR(IF(U49+1&lt;=MAX('Patient Calcs'!$B$14:$B$65),U49+1,""),"")</f>
        <v>11</v>
      </c>
      <c r="W49" s="998">
        <f>IFERROR(IF(V49+1&lt;=MAX('Patient Calcs'!$B$14:$B$65),V49+1,""),"")</f>
        <v>12</v>
      </c>
      <c r="X49" s="998" t="str">
        <f>IFERROR(IF(W49+1&lt;=MAX('Patient Calcs'!$B$14:$B$65),W49+1,""),"")</f>
        <v/>
      </c>
      <c r="Y49" s="998" t="str">
        <f>IFERROR(IF(X49+1&lt;=MAX('Patient Calcs'!$B$14:$B$65),X49+1,""),"")</f>
        <v/>
      </c>
      <c r="Z49" s="998" t="str">
        <f>IFERROR(IF(Y49+1&lt;=MAX('Patient Calcs'!$B$14:$B$65),Y49+1,""),"")</f>
        <v/>
      </c>
      <c r="AA49" s="998" t="str">
        <f>IFERROR(IF(Z49+1&lt;=MAX('Patient Calcs'!$B$14:$B$65),Z49+1,""),"")</f>
        <v/>
      </c>
      <c r="AB49" s="998" t="str">
        <f>IFERROR(IF(AA49+1&lt;=MAX('Patient Calcs'!$B$14:$B$65),AA49+1,""),"")</f>
        <v/>
      </c>
      <c r="AC49" s="998" t="str">
        <f>IFERROR(IF(AB49+1&lt;=MAX('Patient Calcs'!$B$14:$B$65),AB49+1,""),"")</f>
        <v/>
      </c>
      <c r="AD49" s="998" t="str">
        <f>IFERROR(IF(AC49+1&lt;=MAX('Patient Calcs'!$B$14:$B$65),AC49+1,""),"")</f>
        <v/>
      </c>
      <c r="AE49" s="998" t="str">
        <f>IFERROR(IF(AD49+1&lt;=MAX('Patient Calcs'!$B$14:$B$65),AD49+1,""),"")</f>
        <v/>
      </c>
      <c r="AF49" s="998" t="str">
        <f>IFERROR(IF(AE49+1&lt;=MAX('Patient Calcs'!$B$14:$B$65),AE49+1,""),"")</f>
        <v/>
      </c>
      <c r="AG49" s="998" t="str">
        <f>IFERROR(IF(AF49+1&lt;=MAX('Patient Calcs'!$B$14:$B$65),AF49+1,""),"")</f>
        <v/>
      </c>
      <c r="AH49" s="998" t="str">
        <f>IFERROR(IF(AG49+1&lt;=MAX('Patient Calcs'!$B$14:$B$65),AG49+1,""),"")</f>
        <v/>
      </c>
      <c r="AI49" s="998" t="str">
        <f>IFERROR(IF(AH49+1&lt;=MAX('Patient Calcs'!$B$14:$B$65),AH49+1,""),"")</f>
        <v/>
      </c>
      <c r="AJ49" s="998" t="str">
        <f>IFERROR(IF(AI49+1&lt;=MAX('Patient Calcs'!$B$14:$B$65),AI49+1,""),"")</f>
        <v/>
      </c>
      <c r="AK49" s="998" t="str">
        <f>IFERROR(IF(AJ49+1&lt;=MAX('Patient Calcs'!$B$14:$B$65),AJ49+1,""),"")</f>
        <v/>
      </c>
      <c r="AL49" s="998" t="str">
        <f>IFERROR(IF(AK49+1&lt;=MAX('Patient Calcs'!$B$14:$B$65),AK49+1,""),"")</f>
        <v/>
      </c>
      <c r="AM49" s="998" t="str">
        <f>IFERROR(IF(AL49+1&lt;=MAX('Patient Calcs'!$B$14:$B$65),AL49+1,""),"")</f>
        <v/>
      </c>
      <c r="AN49" s="998" t="str">
        <f>IFERROR(IF(AM49+1&lt;=MAX('Patient Calcs'!$B$14:$B$65),AM49+1,""),"")</f>
        <v/>
      </c>
      <c r="AO49" s="998" t="str">
        <f>IFERROR(IF(AN49+1&lt;=MAX('Patient Calcs'!$B$14:$B$65),AN49+1,""),"")</f>
        <v/>
      </c>
      <c r="AP49" s="998" t="str">
        <f>IFERROR(IF(AO49+1&lt;=MAX('Patient Calcs'!$B$14:$B$65),AO49+1,""),"")</f>
        <v/>
      </c>
      <c r="AQ49" s="998" t="str">
        <f>IFERROR(IF(AP49+1&lt;=MAX('Patient Calcs'!$B$14:$B$65),AP49+1,""),"")</f>
        <v/>
      </c>
      <c r="AR49" s="998" t="str">
        <f>IFERROR(IF(AQ49+1&lt;=MAX('Patient Calcs'!$B$14:$B$65),AQ49+1,""),"")</f>
        <v/>
      </c>
      <c r="AS49" s="998" t="str">
        <f>IFERROR(IF(AR49+1&lt;=MAX('Patient Calcs'!$B$14:$B$65),AR49+1,""),"")</f>
        <v/>
      </c>
      <c r="AT49" s="998" t="str">
        <f>IFERROR(IF(AS49+1&lt;=MAX('Patient Calcs'!$B$14:$B$65),AS49+1,""),"")</f>
        <v/>
      </c>
      <c r="AU49" s="998" t="str">
        <f>IFERROR(IF(AT49+1&lt;=MAX('Patient Calcs'!$B$14:$B$65),AT49+1,""),"")</f>
        <v/>
      </c>
      <c r="AV49" s="998" t="str">
        <f>IFERROR(IF(AU49+1&lt;=MAX('Patient Calcs'!$B$14:$B$65),AU49+1,""),"")</f>
        <v/>
      </c>
      <c r="AW49" s="998" t="str">
        <f>IFERROR(IF(AV49+1&lt;=MAX('Patient Calcs'!$B$14:$B$65),AV49+1,""),"")</f>
        <v/>
      </c>
      <c r="AX49" s="998" t="str">
        <f>IFERROR(IF(AW49+1&lt;=MAX('Patient Calcs'!$B$14:$B$65),AW49+1,""),"")</f>
        <v/>
      </c>
      <c r="AY49" s="998" t="str">
        <f>IFERROR(IF(AX49+1&lt;=MAX('Patient Calcs'!$B$14:$B$65),AX49+1,""),"")</f>
        <v/>
      </c>
      <c r="AZ49" s="998" t="str">
        <f>IFERROR(IF(AY49+1&lt;=MAX('Patient Calcs'!$B$14:$B$65),AY49+1,""),"")</f>
        <v/>
      </c>
      <c r="BA49" s="998" t="str">
        <f>IFERROR(IF(AZ49+1&lt;=MAX('Patient Calcs'!$B$14:$B$65),AZ49+1,""),"")</f>
        <v/>
      </c>
      <c r="BB49" s="998" t="str">
        <f>IFERROR(IF(BA49+1&lt;=MAX('Patient Calcs'!$B$14:$B$65),BA49+1,""),"")</f>
        <v/>
      </c>
      <c r="BC49" s="998" t="str">
        <f>IFERROR(IF(BB49+1&lt;=MAX('Patient Calcs'!$B$14:$B$65),BB49+1,""),"")</f>
        <v/>
      </c>
      <c r="BD49" s="998" t="str">
        <f>IFERROR(IF(BC49+1&lt;=MAX('Patient Calcs'!$B$14:$B$65),BC49+1,""),"")</f>
        <v/>
      </c>
      <c r="BE49" s="998" t="str">
        <f>IFERROR(IF(BD49+1&lt;=MAX('Patient Calcs'!$B$14:$B$65),BD49+1,""),"")</f>
        <v/>
      </c>
      <c r="BF49" s="998" t="str">
        <f>IFERROR(IF(BE49+1&lt;=MAX('Patient Calcs'!$B$14:$B$65),BE49+1,""),"")</f>
        <v/>
      </c>
      <c r="BG49" s="998" t="str">
        <f>IFERROR(IF(BF49+1&lt;=MAX('Patient Calcs'!$B$14:$B$65),BF49+1,""),"")</f>
        <v/>
      </c>
      <c r="BH49" s="998" t="str">
        <f>IFERROR(IF(BG49+1&lt;=MAX('Patient Calcs'!$B$14:$B$65),BG49+1,""),"")</f>
        <v/>
      </c>
      <c r="BI49" s="998" t="str">
        <f>IFERROR(IF(BH49+1&lt;=MAX('Patient Calcs'!$B$14:$B$65),BH49+1,""),"")</f>
        <v/>
      </c>
      <c r="BJ49" s="998" t="str">
        <f>IFERROR(IF(BI49+1&lt;=MAX('Patient Calcs'!$B$14:$B$65),BI49+1,""),"")</f>
        <v/>
      </c>
      <c r="BK49" s="998" t="str">
        <f>IFERROR(IF(BJ49+1&lt;=MAX('Patient Calcs'!$B$14:$B$65),BJ49+1,""),"")</f>
        <v/>
      </c>
      <c r="BL49" s="998"/>
      <c r="BM49" s="998"/>
      <c r="BN49" s="998"/>
      <c r="BO49" s="998"/>
      <c r="BP49" s="998"/>
      <c r="BQ49" s="998"/>
      <c r="BR49" s="998"/>
      <c r="BS49" s="998"/>
      <c r="BT49" s="998"/>
      <c r="BU49" s="998"/>
    </row>
    <row r="50" spans="2:73" x14ac:dyDescent="0.75">
      <c r="B50" s="106" t="s">
        <v>1004</v>
      </c>
      <c r="C50" s="107">
        <f>C27</f>
        <v>649525.67538466584</v>
      </c>
      <c r="D50" s="88"/>
      <c r="E50" s="88"/>
      <c r="F50" s="88"/>
      <c r="H50" s="132"/>
      <c r="I50" s="132"/>
      <c r="K50" s="998" t="s">
        <v>1354</v>
      </c>
      <c r="L50" s="999">
        <f ca="1">IF(L$49&lt;=$I$12+$H$13,F140,"")</f>
        <v>0.19901936961983005</v>
      </c>
      <c r="M50" s="999">
        <f t="shared" ref="M50:BK50" ca="1" si="1">IF(M$49&lt;=$I$12+$H$13,G140,"")</f>
        <v>0.66112561295362027</v>
      </c>
      <c r="N50" s="999">
        <f t="shared" ca="1" si="1"/>
        <v>2.2719461086162016</v>
      </c>
      <c r="O50" s="999">
        <f t="shared" ca="1" si="1"/>
        <v>7.8072798416527087</v>
      </c>
      <c r="P50" s="999">
        <f t="shared" ca="1" si="1"/>
        <v>26.826198008640404</v>
      </c>
      <c r="Q50" s="999">
        <f t="shared" ca="1" si="1"/>
        <v>92.145268898898095</v>
      </c>
      <c r="R50" s="999">
        <f t="shared" ca="1" si="1"/>
        <v>316.1459177424091</v>
      </c>
      <c r="S50" s="999">
        <f t="shared" ca="1" si="1"/>
        <v>875.0784000000001</v>
      </c>
      <c r="T50" s="999">
        <f t="shared" ca="1" si="1"/>
        <v>875.0784000000001</v>
      </c>
      <c r="U50" s="999">
        <f t="shared" ca="1" si="1"/>
        <v>875.0784000000001</v>
      </c>
      <c r="V50" s="999">
        <f t="shared" ca="1" si="1"/>
        <v>875.0784000000001</v>
      </c>
      <c r="W50" s="999">
        <f t="shared" ca="1" si="1"/>
        <v>875.0784000000001</v>
      </c>
      <c r="X50" s="999" t="str">
        <f t="shared" si="1"/>
        <v/>
      </c>
      <c r="Y50" s="999" t="str">
        <f t="shared" si="1"/>
        <v/>
      </c>
      <c r="Z50" s="999" t="str">
        <f t="shared" si="1"/>
        <v/>
      </c>
      <c r="AA50" s="999" t="str">
        <f t="shared" si="1"/>
        <v/>
      </c>
      <c r="AB50" s="999" t="str">
        <f t="shared" si="1"/>
        <v/>
      </c>
      <c r="AC50" s="999" t="str">
        <f t="shared" si="1"/>
        <v/>
      </c>
      <c r="AD50" s="999" t="str">
        <f t="shared" si="1"/>
        <v/>
      </c>
      <c r="AE50" s="999" t="str">
        <f t="shared" si="1"/>
        <v/>
      </c>
      <c r="AF50" s="999" t="str">
        <f t="shared" si="1"/>
        <v/>
      </c>
      <c r="AG50" s="999" t="str">
        <f t="shared" si="1"/>
        <v/>
      </c>
      <c r="AH50" s="999" t="str">
        <f t="shared" si="1"/>
        <v/>
      </c>
      <c r="AI50" s="999" t="str">
        <f t="shared" si="1"/>
        <v/>
      </c>
      <c r="AJ50" s="999" t="str">
        <f t="shared" si="1"/>
        <v/>
      </c>
      <c r="AK50" s="999" t="str">
        <f t="shared" si="1"/>
        <v/>
      </c>
      <c r="AL50" s="999" t="str">
        <f t="shared" si="1"/>
        <v/>
      </c>
      <c r="AM50" s="999" t="str">
        <f t="shared" si="1"/>
        <v/>
      </c>
      <c r="AN50" s="999" t="str">
        <f t="shared" si="1"/>
        <v/>
      </c>
      <c r="AO50" s="999" t="str">
        <f t="shared" si="1"/>
        <v/>
      </c>
      <c r="AP50" s="999" t="str">
        <f t="shared" si="1"/>
        <v/>
      </c>
      <c r="AQ50" s="999" t="str">
        <f t="shared" si="1"/>
        <v/>
      </c>
      <c r="AR50" s="999" t="str">
        <f t="shared" si="1"/>
        <v/>
      </c>
      <c r="AS50" s="999" t="str">
        <f t="shared" si="1"/>
        <v/>
      </c>
      <c r="AT50" s="999" t="str">
        <f t="shared" si="1"/>
        <v/>
      </c>
      <c r="AU50" s="999" t="str">
        <f t="shared" si="1"/>
        <v/>
      </c>
      <c r="AV50" s="999" t="str">
        <f t="shared" si="1"/>
        <v/>
      </c>
      <c r="AW50" s="999" t="str">
        <f t="shared" si="1"/>
        <v/>
      </c>
      <c r="AX50" s="999" t="str">
        <f t="shared" si="1"/>
        <v/>
      </c>
      <c r="AY50" s="999" t="str">
        <f t="shared" si="1"/>
        <v/>
      </c>
      <c r="AZ50" s="999" t="str">
        <f t="shared" si="1"/>
        <v/>
      </c>
      <c r="BA50" s="999" t="str">
        <f t="shared" si="1"/>
        <v/>
      </c>
      <c r="BB50" s="999" t="str">
        <f t="shared" si="1"/>
        <v/>
      </c>
      <c r="BC50" s="999" t="str">
        <f t="shared" si="1"/>
        <v/>
      </c>
      <c r="BD50" s="999" t="str">
        <f t="shared" si="1"/>
        <v/>
      </c>
      <c r="BE50" s="999" t="str">
        <f t="shared" si="1"/>
        <v/>
      </c>
      <c r="BF50" s="999" t="str">
        <f t="shared" si="1"/>
        <v/>
      </c>
      <c r="BG50" s="999" t="str">
        <f t="shared" si="1"/>
        <v/>
      </c>
      <c r="BH50" s="999" t="str">
        <f t="shared" si="1"/>
        <v/>
      </c>
      <c r="BI50" s="999" t="str">
        <f t="shared" si="1"/>
        <v/>
      </c>
      <c r="BJ50" s="999" t="str">
        <f t="shared" si="1"/>
        <v/>
      </c>
      <c r="BK50" s="999" t="str">
        <f t="shared" si="1"/>
        <v/>
      </c>
      <c r="BL50" s="998"/>
      <c r="BM50" s="998"/>
      <c r="BN50" s="998"/>
      <c r="BO50" s="9"/>
      <c r="BP50" s="9"/>
      <c r="BQ50" s="9"/>
      <c r="BR50" s="9"/>
      <c r="BS50" s="9"/>
      <c r="BT50" s="9"/>
      <c r="BU50" s="9"/>
    </row>
    <row r="51" spans="2:73" x14ac:dyDescent="0.75">
      <c r="B51" s="108" t="s">
        <v>603</v>
      </c>
      <c r="C51" s="107">
        <f ca="1">Total_admitted_capped_severe_patients</f>
        <v>75523.102586447159</v>
      </c>
      <c r="D51" s="88"/>
      <c r="E51" s="88"/>
      <c r="F51" s="88"/>
      <c r="H51" s="132"/>
      <c r="I51" s="132"/>
      <c r="K51" s="998" t="s">
        <v>1061</v>
      </c>
      <c r="L51" s="999">
        <f ca="1">IF(L$49&lt;=$I$12+$H$13,F136,"")</f>
        <v>0.44705810885949004</v>
      </c>
      <c r="M51" s="999">
        <f t="shared" ref="M51:BK51" ca="1" si="2">IF(M$49&lt;=$I$12+$H$13,G136,"")</f>
        <v>1.536318730001371</v>
      </c>
      <c r="N51" s="999">
        <f t="shared" ca="1" si="2"/>
        <v>5.2795195958472325</v>
      </c>
      <c r="O51" s="999">
        <f t="shared" ca="1" si="2"/>
        <v>18.14231992911089</v>
      </c>
      <c r="P51" s="999">
        <f t="shared" ca="1" si="2"/>
        <v>62.336274096810314</v>
      </c>
      <c r="Q51" s="999">
        <f t="shared" ca="1" si="2"/>
        <v>214.0995325998839</v>
      </c>
      <c r="R51" s="999">
        <f t="shared" ca="1" si="2"/>
        <v>734.33822062734316</v>
      </c>
      <c r="S51" s="999">
        <f t="shared" ca="1" si="2"/>
        <v>2506.9170551750631</v>
      </c>
      <c r="T51" s="999">
        <f t="shared" ca="1" si="2"/>
        <v>8422.8414875842282</v>
      </c>
      <c r="U51" s="999">
        <f t="shared" ca="1" si="2"/>
        <v>21185.721600000001</v>
      </c>
      <c r="V51" s="999">
        <f t="shared" ca="1" si="2"/>
        <v>21185.721600000001</v>
      </c>
      <c r="W51" s="999">
        <f t="shared" ca="1" si="2"/>
        <v>21185.721600000001</v>
      </c>
      <c r="X51" s="999" t="str">
        <f t="shared" si="2"/>
        <v/>
      </c>
      <c r="Y51" s="999" t="str">
        <f t="shared" si="2"/>
        <v/>
      </c>
      <c r="Z51" s="999" t="str">
        <f t="shared" si="2"/>
        <v/>
      </c>
      <c r="AA51" s="999" t="str">
        <f t="shared" si="2"/>
        <v/>
      </c>
      <c r="AB51" s="999" t="str">
        <f t="shared" si="2"/>
        <v/>
      </c>
      <c r="AC51" s="999" t="str">
        <f t="shared" si="2"/>
        <v/>
      </c>
      <c r="AD51" s="999" t="str">
        <f t="shared" si="2"/>
        <v/>
      </c>
      <c r="AE51" s="999" t="str">
        <f t="shared" si="2"/>
        <v/>
      </c>
      <c r="AF51" s="999" t="str">
        <f t="shared" si="2"/>
        <v/>
      </c>
      <c r="AG51" s="999" t="str">
        <f t="shared" si="2"/>
        <v/>
      </c>
      <c r="AH51" s="999" t="str">
        <f t="shared" si="2"/>
        <v/>
      </c>
      <c r="AI51" s="999" t="str">
        <f t="shared" si="2"/>
        <v/>
      </c>
      <c r="AJ51" s="999" t="str">
        <f t="shared" si="2"/>
        <v/>
      </c>
      <c r="AK51" s="999" t="str">
        <f t="shared" si="2"/>
        <v/>
      </c>
      <c r="AL51" s="999" t="str">
        <f t="shared" si="2"/>
        <v/>
      </c>
      <c r="AM51" s="999" t="str">
        <f t="shared" si="2"/>
        <v/>
      </c>
      <c r="AN51" s="999" t="str">
        <f t="shared" si="2"/>
        <v/>
      </c>
      <c r="AO51" s="999" t="str">
        <f t="shared" si="2"/>
        <v/>
      </c>
      <c r="AP51" s="999" t="str">
        <f t="shared" si="2"/>
        <v/>
      </c>
      <c r="AQ51" s="999" t="str">
        <f t="shared" si="2"/>
        <v/>
      </c>
      <c r="AR51" s="999" t="str">
        <f t="shared" si="2"/>
        <v/>
      </c>
      <c r="AS51" s="999" t="str">
        <f t="shared" si="2"/>
        <v/>
      </c>
      <c r="AT51" s="999" t="str">
        <f t="shared" si="2"/>
        <v/>
      </c>
      <c r="AU51" s="999" t="str">
        <f t="shared" si="2"/>
        <v/>
      </c>
      <c r="AV51" s="999" t="str">
        <f t="shared" si="2"/>
        <v/>
      </c>
      <c r="AW51" s="999" t="str">
        <f t="shared" si="2"/>
        <v/>
      </c>
      <c r="AX51" s="999" t="str">
        <f t="shared" si="2"/>
        <v/>
      </c>
      <c r="AY51" s="999" t="str">
        <f t="shared" si="2"/>
        <v/>
      </c>
      <c r="AZ51" s="999" t="str">
        <f t="shared" si="2"/>
        <v/>
      </c>
      <c r="BA51" s="999" t="str">
        <f t="shared" si="2"/>
        <v/>
      </c>
      <c r="BB51" s="999" t="str">
        <f t="shared" si="2"/>
        <v/>
      </c>
      <c r="BC51" s="999" t="str">
        <f t="shared" si="2"/>
        <v/>
      </c>
      <c r="BD51" s="999" t="str">
        <f t="shared" si="2"/>
        <v/>
      </c>
      <c r="BE51" s="999" t="str">
        <f t="shared" si="2"/>
        <v/>
      </c>
      <c r="BF51" s="999" t="str">
        <f t="shared" si="2"/>
        <v/>
      </c>
      <c r="BG51" s="999" t="str">
        <f t="shared" si="2"/>
        <v/>
      </c>
      <c r="BH51" s="999" t="str">
        <f t="shared" si="2"/>
        <v/>
      </c>
      <c r="BI51" s="999" t="str">
        <f t="shared" si="2"/>
        <v/>
      </c>
      <c r="BJ51" s="999" t="str">
        <f t="shared" si="2"/>
        <v/>
      </c>
      <c r="BK51" s="999" t="str">
        <f t="shared" si="2"/>
        <v/>
      </c>
      <c r="BL51" s="998"/>
      <c r="BM51" s="998"/>
      <c r="BN51" s="998"/>
      <c r="BO51" s="9"/>
      <c r="BP51" s="9"/>
      <c r="BQ51" s="9"/>
      <c r="BR51" s="9"/>
      <c r="BS51" s="9"/>
      <c r="BT51" s="9"/>
      <c r="BU51" s="9"/>
    </row>
    <row r="52" spans="2:73" x14ac:dyDescent="0.75">
      <c r="B52" s="108" t="s">
        <v>604</v>
      </c>
      <c r="C52" s="107">
        <f ca="1">Total_admitted_capped_critical_patients</f>
        <v>2725.8488743535049</v>
      </c>
      <c r="D52" s="88"/>
      <c r="E52" s="88"/>
      <c r="F52" s="88"/>
      <c r="H52" s="132"/>
      <c r="I52" s="132"/>
      <c r="K52" s="998" t="s">
        <v>1352</v>
      </c>
      <c r="L52" s="999">
        <f>IF(L$49&lt;=$I$12+$H$13,Patients!$D$11,"")</f>
        <v>21185.721600000001</v>
      </c>
      <c r="M52" s="999">
        <f>IF(M$49&lt;=$I$12+$H$13,Patients!$D$11,"")</f>
        <v>21185.721600000001</v>
      </c>
      <c r="N52" s="999">
        <f>IF(N$49&lt;=$I$12+$H$13,Patients!$D$11,"")</f>
        <v>21185.721600000001</v>
      </c>
      <c r="O52" s="999">
        <f>IF(O$49&lt;=$I$12+$H$13,Patients!$D$11,"")</f>
        <v>21185.721600000001</v>
      </c>
      <c r="P52" s="999">
        <f>IF(P$49&lt;=$I$12+$H$13,Patients!$D$11,"")</f>
        <v>21185.721600000001</v>
      </c>
      <c r="Q52" s="999">
        <f>IF(Q$49&lt;=$I$12+$H$13,Patients!$D$11,"")</f>
        <v>21185.721600000001</v>
      </c>
      <c r="R52" s="999">
        <f>IF(R$49&lt;=$I$12+$H$13,Patients!$D$11,"")</f>
        <v>21185.721600000001</v>
      </c>
      <c r="S52" s="999">
        <f>IF(S$49&lt;=$I$12+$H$13,Patients!$D$11,"")</f>
        <v>21185.721600000001</v>
      </c>
      <c r="T52" s="999">
        <f>IF(T$49&lt;=$I$12+$H$13,Patients!$D$11,"")</f>
        <v>21185.721600000001</v>
      </c>
      <c r="U52" s="999">
        <f>IF(U$49&lt;=$I$12+$H$13,Patients!$D$11,"")</f>
        <v>21185.721600000001</v>
      </c>
      <c r="V52" s="999">
        <f>IF(V$49&lt;=$I$12+$H$13,Patients!$D$11,"")</f>
        <v>21185.721600000001</v>
      </c>
      <c r="W52" s="999">
        <f>IF(W$49&lt;=$I$12+$H$13,Patients!$D$11,"")</f>
        <v>21185.721600000001</v>
      </c>
      <c r="X52" s="999" t="str">
        <f>IF(X$49&lt;=$I$12+$H$13,Patients!$D$11,"")</f>
        <v/>
      </c>
      <c r="Y52" s="999" t="str">
        <f>IF(Y$49&lt;=$I$12+$H$13,Patients!$D$11,"")</f>
        <v/>
      </c>
      <c r="Z52" s="999" t="str">
        <f>IF(Z$49&lt;=$I$12+$H$13,Patients!$D$11,"")</f>
        <v/>
      </c>
      <c r="AA52" s="999" t="str">
        <f>IF(AA$49&lt;=$I$12+$H$13,Patients!$D$11,"")</f>
        <v/>
      </c>
      <c r="AB52" s="999" t="str">
        <f>IF(AB$49&lt;=$I$12+$H$13,Patients!$D$11,"")</f>
        <v/>
      </c>
      <c r="AC52" s="999" t="str">
        <f>IF(AC$49&lt;=$I$12+$H$13,Patients!$D$11,"")</f>
        <v/>
      </c>
      <c r="AD52" s="999" t="str">
        <f>IF(AD$49&lt;=$I$12+$H$13,Patients!$D$11,"")</f>
        <v/>
      </c>
      <c r="AE52" s="999" t="str">
        <f>IF(AE$49&lt;=$I$12+$H$13,Patients!$D$11,"")</f>
        <v/>
      </c>
      <c r="AF52" s="999" t="str">
        <f>IF(AF$49&lt;=$I$12+$H$13,Patients!$D$11,"")</f>
        <v/>
      </c>
      <c r="AG52" s="999" t="str">
        <f>IF(AG$49&lt;=$I$12+$H$13,Patients!$D$11,"")</f>
        <v/>
      </c>
      <c r="AH52" s="999" t="str">
        <f>IF(AH$49&lt;=$I$12+$H$13,Patients!$D$11,"")</f>
        <v/>
      </c>
      <c r="AI52" s="999" t="str">
        <f>IF(AI$49&lt;=$I$12+$H$13,Patients!$D$11,"")</f>
        <v/>
      </c>
      <c r="AJ52" s="999" t="str">
        <f>IF(AJ$49&lt;=$I$12+$H$13,Patients!$D$11,"")</f>
        <v/>
      </c>
      <c r="AK52" s="999" t="str">
        <f>IF(AK$49&lt;=$I$12+$H$13,Patients!$D$11,"")</f>
        <v/>
      </c>
      <c r="AL52" s="999" t="str">
        <f>IF(AL$49&lt;=$I$12+$H$13,Patients!$D$11,"")</f>
        <v/>
      </c>
      <c r="AM52" s="999" t="str">
        <f>IF(AM$49&lt;=$I$12+$H$13,Patients!$D$11,"")</f>
        <v/>
      </c>
      <c r="AN52" s="999" t="str">
        <f>IF(AN$49&lt;=$I$12+$H$13,Patients!$D$11,"")</f>
        <v/>
      </c>
      <c r="AO52" s="999" t="str">
        <f>IF(AO$49&lt;=$I$12+$H$13,Patients!$D$11,"")</f>
        <v/>
      </c>
      <c r="AP52" s="999" t="str">
        <f>IF(AP$49&lt;=$I$12+$H$13,Patients!$D$11,"")</f>
        <v/>
      </c>
      <c r="AQ52" s="999" t="str">
        <f>IF(AQ$49&lt;=$I$12+$H$13,Patients!$D$11,"")</f>
        <v/>
      </c>
      <c r="AR52" s="999" t="str">
        <f>IF(AR$49&lt;=$I$12+$H$13,Patients!$D$11,"")</f>
        <v/>
      </c>
      <c r="AS52" s="999" t="str">
        <f>IF(AS$49&lt;=$I$12+$H$13,Patients!$D$11,"")</f>
        <v/>
      </c>
      <c r="AT52" s="999" t="str">
        <f>IF(AT$49&lt;=$I$12+$H$13,Patients!$D$11,"")</f>
        <v/>
      </c>
      <c r="AU52" s="999" t="str">
        <f>IF(AU$49&lt;=$I$12+$H$13,Patients!$D$11,"")</f>
        <v/>
      </c>
      <c r="AV52" s="999" t="str">
        <f>IF(AV$49&lt;=$I$12+$H$13,Patients!$D$11,"")</f>
        <v/>
      </c>
      <c r="AW52" s="999" t="str">
        <f>IF(AW$49&lt;=$I$12+$H$13,Patients!$D$11,"")</f>
        <v/>
      </c>
      <c r="AX52" s="999" t="str">
        <f>IF(AX$49&lt;=$I$12+$H$13,Patients!$D$11,"")</f>
        <v/>
      </c>
      <c r="AY52" s="999" t="str">
        <f>IF(AY$49&lt;=$I$12+$H$13,Patients!$D$11,"")</f>
        <v/>
      </c>
      <c r="AZ52" s="999" t="str">
        <f>IF(AZ$49&lt;=$I$12+$H$13,Patients!$D$11,"")</f>
        <v/>
      </c>
      <c r="BA52" s="999" t="str">
        <f>IF(BA$49&lt;=$I$12+$H$13,Patients!$D$11,"")</f>
        <v/>
      </c>
      <c r="BB52" s="999" t="str">
        <f>IF(BB$49&lt;=$I$12+$H$13,Patients!$D$11,"")</f>
        <v/>
      </c>
      <c r="BC52" s="999" t="str">
        <f>IF(BC$49&lt;=$I$12+$H$13,Patients!$D$11,"")</f>
        <v/>
      </c>
      <c r="BD52" s="999" t="str">
        <f>IF(BD$49&lt;=$I$12+$H$13,Patients!$D$11,"")</f>
        <v/>
      </c>
      <c r="BE52" s="999" t="str">
        <f>IF(BE$49&lt;=$I$12+$H$13,Patients!$D$11,"")</f>
        <v/>
      </c>
      <c r="BF52" s="999" t="str">
        <f>IF(BF$49&lt;=$I$12+$H$13,Patients!$D$11,"")</f>
        <v/>
      </c>
      <c r="BG52" s="999" t="str">
        <f>IF(BG$49&lt;=$I$12+$H$13,Patients!$D$11,"")</f>
        <v/>
      </c>
      <c r="BH52" s="999" t="str">
        <f>IF(BH$49&lt;=$I$12+$H$13,Patients!$D$11,"")</f>
        <v/>
      </c>
      <c r="BI52" s="999" t="str">
        <f>IF(BI$49&lt;=$I$12+$H$13,Patients!$D$11,"")</f>
        <v/>
      </c>
      <c r="BJ52" s="999" t="str">
        <f>IF(BJ$49&lt;=$I$12+$H$13,Patients!$D$11,"")</f>
        <v/>
      </c>
      <c r="BK52" s="999" t="str">
        <f>IF(BK$49&lt;=$I$12+$H$13,Patients!$D$11,"")</f>
        <v/>
      </c>
      <c r="BL52" s="998"/>
      <c r="BM52" s="998"/>
      <c r="BN52" s="998"/>
      <c r="BO52" s="9"/>
      <c r="BP52" s="9"/>
      <c r="BQ52" s="9"/>
      <c r="BR52" s="9"/>
      <c r="BS52" s="9"/>
      <c r="BT52" s="9"/>
      <c r="BU52" s="9"/>
    </row>
    <row r="53" spans="2:73" x14ac:dyDescent="0.75">
      <c r="B53"/>
      <c r="C53"/>
      <c r="D53" s="88"/>
      <c r="E53" s="88"/>
      <c r="F53" s="88"/>
      <c r="H53" s="132"/>
      <c r="I53" s="132"/>
      <c r="K53" s="998" t="s">
        <v>1353</v>
      </c>
      <c r="L53" s="999">
        <f>IF(L$49&lt;=$I$12+$H$13,Patients!$D$12,"")</f>
        <v>875.0784000000001</v>
      </c>
      <c r="M53" s="999">
        <f>IF(M$49&lt;=$I$12+$H$13,Patients!$D$12,"")</f>
        <v>875.0784000000001</v>
      </c>
      <c r="N53" s="999">
        <f>IF(N$49&lt;=$I$12+$H$13,Patients!$D$12,"")</f>
        <v>875.0784000000001</v>
      </c>
      <c r="O53" s="999">
        <f>IF(O$49&lt;=$I$12+$H$13,Patients!$D$12,"")</f>
        <v>875.0784000000001</v>
      </c>
      <c r="P53" s="999">
        <f>IF(P$49&lt;=$I$12+$H$13,Patients!$D$12,"")</f>
        <v>875.0784000000001</v>
      </c>
      <c r="Q53" s="999">
        <f>IF(Q$49&lt;=$I$12+$H$13,Patients!$D$12,"")</f>
        <v>875.0784000000001</v>
      </c>
      <c r="R53" s="999">
        <f>IF(R$49&lt;=$I$12+$H$13,Patients!$D$12,"")</f>
        <v>875.0784000000001</v>
      </c>
      <c r="S53" s="999">
        <f>IF(S$49&lt;=$I$12+$H$13,Patients!$D$12,"")</f>
        <v>875.0784000000001</v>
      </c>
      <c r="T53" s="999">
        <f>IF(T$49&lt;=$I$12+$H$13,Patients!$D$12,"")</f>
        <v>875.0784000000001</v>
      </c>
      <c r="U53" s="999">
        <f>IF(U$49&lt;=$I$12+$H$13,Patients!$D$12,"")</f>
        <v>875.0784000000001</v>
      </c>
      <c r="V53" s="999">
        <f>IF(V$49&lt;=$I$12+$H$13,Patients!$D$12,"")</f>
        <v>875.0784000000001</v>
      </c>
      <c r="W53" s="999">
        <f>IF(W$49&lt;=$I$12+$H$13,Patients!$D$12,"")</f>
        <v>875.0784000000001</v>
      </c>
      <c r="X53" s="999" t="str">
        <f>IF(X$49&lt;=$I$12+$H$13,Patients!$D$12,"")</f>
        <v/>
      </c>
      <c r="Y53" s="999" t="str">
        <f>IF(Y$49&lt;=$I$12+$H$13,Patients!$D$12,"")</f>
        <v/>
      </c>
      <c r="Z53" s="999" t="str">
        <f>IF(Z$49&lt;=$I$12+$H$13,Patients!$D$12,"")</f>
        <v/>
      </c>
      <c r="AA53" s="999" t="str">
        <f>IF(AA$49&lt;=$I$12+$H$13,Patients!$D$12,"")</f>
        <v/>
      </c>
      <c r="AB53" s="999" t="str">
        <f>IF(AB$49&lt;=$I$12+$H$13,Patients!$D$12,"")</f>
        <v/>
      </c>
      <c r="AC53" s="999" t="str">
        <f>IF(AC$49&lt;=$I$12+$H$13,Patients!$D$12,"")</f>
        <v/>
      </c>
      <c r="AD53" s="999" t="str">
        <f>IF(AD$49&lt;=$I$12+$H$13,Patients!$D$12,"")</f>
        <v/>
      </c>
      <c r="AE53" s="999" t="str">
        <f>IF(AE$49&lt;=$I$12+$H$13,Patients!$D$12,"")</f>
        <v/>
      </c>
      <c r="AF53" s="999" t="str">
        <f>IF(AF$49&lt;=$I$12+$H$13,Patients!$D$12,"")</f>
        <v/>
      </c>
      <c r="AG53" s="999" t="str">
        <f>IF(AG$49&lt;=$I$12+$H$13,Patients!$D$12,"")</f>
        <v/>
      </c>
      <c r="AH53" s="999" t="str">
        <f>IF(AH$49&lt;=$I$12+$H$13,Patients!$D$12,"")</f>
        <v/>
      </c>
      <c r="AI53" s="999" t="str">
        <f>IF(AI$49&lt;=$I$12+$H$13,Patients!$D$12,"")</f>
        <v/>
      </c>
      <c r="AJ53" s="999" t="str">
        <f>IF(AJ$49&lt;=$I$12+$H$13,Patients!$D$12,"")</f>
        <v/>
      </c>
      <c r="AK53" s="999" t="str">
        <f>IF(AK$49&lt;=$I$12+$H$13,Patients!$D$12,"")</f>
        <v/>
      </c>
      <c r="AL53" s="999" t="str">
        <f>IF(AL$49&lt;=$I$12+$H$13,Patients!$D$12,"")</f>
        <v/>
      </c>
      <c r="AM53" s="999" t="str">
        <f>IF(AM$49&lt;=$I$12+$H$13,Patients!$D$12,"")</f>
        <v/>
      </c>
      <c r="AN53" s="999" t="str">
        <f>IF(AN$49&lt;=$I$12+$H$13,Patients!$D$12,"")</f>
        <v/>
      </c>
      <c r="AO53" s="999" t="str">
        <f>IF(AO$49&lt;=$I$12+$H$13,Patients!$D$12,"")</f>
        <v/>
      </c>
      <c r="AP53" s="999" t="str">
        <f>IF(AP$49&lt;=$I$12+$H$13,Patients!$D$12,"")</f>
        <v/>
      </c>
      <c r="AQ53" s="999" t="str">
        <f>IF(AQ$49&lt;=$I$12+$H$13,Patients!$D$12,"")</f>
        <v/>
      </c>
      <c r="AR53" s="999" t="str">
        <f>IF(AR$49&lt;=$I$12+$H$13,Patients!$D$12,"")</f>
        <v/>
      </c>
      <c r="AS53" s="999" t="str">
        <f>IF(AS$49&lt;=$I$12+$H$13,Patients!$D$12,"")</f>
        <v/>
      </c>
      <c r="AT53" s="999" t="str">
        <f>IF(AT$49&lt;=$I$12+$H$13,Patients!$D$12,"")</f>
        <v/>
      </c>
      <c r="AU53" s="999" t="str">
        <f>IF(AU$49&lt;=$I$12+$H$13,Patients!$D$12,"")</f>
        <v/>
      </c>
      <c r="AV53" s="999" t="str">
        <f>IF(AV$49&lt;=$I$12+$H$13,Patients!$D$12,"")</f>
        <v/>
      </c>
      <c r="AW53" s="999" t="str">
        <f>IF(AW$49&lt;=$I$12+$H$13,Patients!$D$12,"")</f>
        <v/>
      </c>
      <c r="AX53" s="999" t="str">
        <f>IF(AX$49&lt;=$I$12+$H$13,Patients!$D$12,"")</f>
        <v/>
      </c>
      <c r="AY53" s="999" t="str">
        <f>IF(AY$49&lt;=$I$12+$H$13,Patients!$D$12,"")</f>
        <v/>
      </c>
      <c r="AZ53" s="999" t="str">
        <f>IF(AZ$49&lt;=$I$12+$H$13,Patients!$D$12,"")</f>
        <v/>
      </c>
      <c r="BA53" s="999" t="str">
        <f>IF(BA$49&lt;=$I$12+$H$13,Patients!$D$12,"")</f>
        <v/>
      </c>
      <c r="BB53" s="999" t="str">
        <f>IF(BB$49&lt;=$I$12+$H$13,Patients!$D$12,"")</f>
        <v/>
      </c>
      <c r="BC53" s="999" t="str">
        <f>IF(BC$49&lt;=$I$12+$H$13,Patients!$D$12,"")</f>
        <v/>
      </c>
      <c r="BD53" s="999" t="str">
        <f>IF(BD$49&lt;=$I$12+$H$13,Patients!$D$12,"")</f>
        <v/>
      </c>
      <c r="BE53" s="999" t="str">
        <f>IF(BE$49&lt;=$I$12+$H$13,Patients!$D$12,"")</f>
        <v/>
      </c>
      <c r="BF53" s="999" t="str">
        <f>IF(BF$49&lt;=$I$12+$H$13,Patients!$D$12,"")</f>
        <v/>
      </c>
      <c r="BG53" s="999" t="str">
        <f>IF(BG$49&lt;=$I$12+$H$13,Patients!$D$12,"")</f>
        <v/>
      </c>
      <c r="BH53" s="999" t="str">
        <f>IF(BH$49&lt;=$I$12+$H$13,Patients!$D$12,"")</f>
        <v/>
      </c>
      <c r="BI53" s="999" t="str">
        <f>IF(BI$49&lt;=$I$12+$H$13,Patients!$D$12,"")</f>
        <v/>
      </c>
      <c r="BJ53" s="999" t="str">
        <f>IF(BJ$49&lt;=$I$12+$H$13,Patients!$D$12,"")</f>
        <v/>
      </c>
      <c r="BK53" s="999" t="str">
        <f>IF(BK$49&lt;=$I$12+$H$13,Patients!$D$12,"")</f>
        <v/>
      </c>
      <c r="BL53" s="999"/>
      <c r="BM53" s="999"/>
      <c r="BN53" s="999"/>
      <c r="BO53" s="9"/>
      <c r="BP53" s="9"/>
      <c r="BQ53" s="9"/>
      <c r="BR53" s="9"/>
      <c r="BS53" s="9"/>
      <c r="BT53" s="9"/>
      <c r="BU53" s="9"/>
    </row>
    <row r="54" spans="2:73" x14ac:dyDescent="0.75">
      <c r="B54"/>
      <c r="C54"/>
      <c r="D54" s="88"/>
      <c r="E54" s="88"/>
      <c r="F54" s="88"/>
      <c r="H54" s="132"/>
      <c r="I54" s="132"/>
      <c r="K54" s="998"/>
      <c r="L54" s="998">
        <f t="shared" ref="L54:AQ54" si="3">L49</f>
        <v>1</v>
      </c>
      <c r="M54" s="998">
        <f t="shared" si="3"/>
        <v>2</v>
      </c>
      <c r="N54" s="998">
        <f t="shared" si="3"/>
        <v>3</v>
      </c>
      <c r="O54" s="998">
        <f t="shared" si="3"/>
        <v>4</v>
      </c>
      <c r="P54" s="998">
        <f t="shared" si="3"/>
        <v>5</v>
      </c>
      <c r="Q54" s="998">
        <f t="shared" si="3"/>
        <v>6</v>
      </c>
      <c r="R54" s="998">
        <f t="shared" si="3"/>
        <v>7</v>
      </c>
      <c r="S54" s="998">
        <f t="shared" si="3"/>
        <v>8</v>
      </c>
      <c r="T54" s="998">
        <f t="shared" si="3"/>
        <v>9</v>
      </c>
      <c r="U54" s="998">
        <f t="shared" si="3"/>
        <v>10</v>
      </c>
      <c r="V54" s="998">
        <f t="shared" si="3"/>
        <v>11</v>
      </c>
      <c r="W54" s="998">
        <f t="shared" si="3"/>
        <v>12</v>
      </c>
      <c r="X54" s="998" t="str">
        <f t="shared" si="3"/>
        <v/>
      </c>
      <c r="Y54" s="998" t="str">
        <f t="shared" si="3"/>
        <v/>
      </c>
      <c r="Z54" s="998" t="str">
        <f t="shared" si="3"/>
        <v/>
      </c>
      <c r="AA54" s="998" t="str">
        <f t="shared" si="3"/>
        <v/>
      </c>
      <c r="AB54" s="998" t="str">
        <f t="shared" si="3"/>
        <v/>
      </c>
      <c r="AC54" s="998" t="str">
        <f t="shared" si="3"/>
        <v/>
      </c>
      <c r="AD54" s="998" t="str">
        <f t="shared" si="3"/>
        <v/>
      </c>
      <c r="AE54" s="998" t="str">
        <f t="shared" si="3"/>
        <v/>
      </c>
      <c r="AF54" s="998" t="str">
        <f t="shared" si="3"/>
        <v/>
      </c>
      <c r="AG54" s="998" t="str">
        <f t="shared" si="3"/>
        <v/>
      </c>
      <c r="AH54" s="998" t="str">
        <f t="shared" si="3"/>
        <v/>
      </c>
      <c r="AI54" s="998" t="str">
        <f t="shared" si="3"/>
        <v/>
      </c>
      <c r="AJ54" s="998" t="str">
        <f t="shared" si="3"/>
        <v/>
      </c>
      <c r="AK54" s="998" t="str">
        <f t="shared" si="3"/>
        <v/>
      </c>
      <c r="AL54" s="998" t="str">
        <f t="shared" si="3"/>
        <v/>
      </c>
      <c r="AM54" s="998" t="str">
        <f t="shared" si="3"/>
        <v/>
      </c>
      <c r="AN54" s="998" t="str">
        <f t="shared" si="3"/>
        <v/>
      </c>
      <c r="AO54" s="998" t="str">
        <f t="shared" si="3"/>
        <v/>
      </c>
      <c r="AP54" s="998" t="str">
        <f t="shared" si="3"/>
        <v/>
      </c>
      <c r="AQ54" s="998" t="str">
        <f t="shared" si="3"/>
        <v/>
      </c>
      <c r="AR54" s="998" t="str">
        <f t="shared" ref="AR54:BE54" si="4">AR49</f>
        <v/>
      </c>
      <c r="AS54" s="998" t="str">
        <f t="shared" si="4"/>
        <v/>
      </c>
      <c r="AT54" s="998" t="str">
        <f t="shared" si="4"/>
        <v/>
      </c>
      <c r="AU54" s="998" t="str">
        <f t="shared" si="4"/>
        <v/>
      </c>
      <c r="AV54" s="998" t="str">
        <f t="shared" si="4"/>
        <v/>
      </c>
      <c r="AW54" s="998" t="str">
        <f t="shared" si="4"/>
        <v/>
      </c>
      <c r="AX54" s="998" t="str">
        <f t="shared" si="4"/>
        <v/>
      </c>
      <c r="AY54" s="998" t="str">
        <f t="shared" si="4"/>
        <v/>
      </c>
      <c r="AZ54" s="998" t="str">
        <f t="shared" si="4"/>
        <v/>
      </c>
      <c r="BA54" s="998" t="str">
        <f t="shared" si="4"/>
        <v/>
      </c>
      <c r="BB54" s="998" t="str">
        <f t="shared" si="4"/>
        <v/>
      </c>
      <c r="BC54" s="998" t="str">
        <f t="shared" si="4"/>
        <v/>
      </c>
      <c r="BD54" s="998" t="str">
        <f t="shared" si="4"/>
        <v/>
      </c>
      <c r="BE54" s="998" t="str">
        <f t="shared" si="4"/>
        <v/>
      </c>
      <c r="BF54" s="998" t="str">
        <f t="shared" ref="BF54:BK54" si="5">BF49</f>
        <v/>
      </c>
      <c r="BG54" s="998" t="str">
        <f t="shared" si="5"/>
        <v/>
      </c>
      <c r="BH54" s="998" t="str">
        <f t="shared" si="5"/>
        <v/>
      </c>
      <c r="BI54" s="998" t="str">
        <f t="shared" si="5"/>
        <v/>
      </c>
      <c r="BJ54" s="998" t="str">
        <f t="shared" si="5"/>
        <v/>
      </c>
      <c r="BK54" s="998" t="str">
        <f t="shared" si="5"/>
        <v/>
      </c>
      <c r="BL54" s="998"/>
      <c r="BM54" s="998"/>
      <c r="BN54" s="998"/>
      <c r="BO54" s="9"/>
      <c r="BP54" s="9"/>
      <c r="BQ54" s="9"/>
      <c r="BR54" s="9"/>
      <c r="BS54" s="9"/>
      <c r="BT54" s="9"/>
      <c r="BU54" s="9"/>
    </row>
    <row r="55" spans="2:73" x14ac:dyDescent="0.75">
      <c r="B55" s="88"/>
      <c r="C55" s="88"/>
      <c r="D55" s="88"/>
      <c r="E55" s="88"/>
      <c r="F55" s="88"/>
      <c r="H55" s="132"/>
      <c r="I55" s="132"/>
      <c r="K55" s="998"/>
      <c r="L55" s="998"/>
      <c r="M55" s="998"/>
      <c r="N55" s="1074"/>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8"/>
      <c r="AL55" s="998"/>
      <c r="AM55" s="998"/>
      <c r="AN55" s="998"/>
      <c r="AO55" s="998"/>
      <c r="AP55" s="998"/>
      <c r="AQ55" s="998"/>
      <c r="AR55" s="998"/>
      <c r="AS55" s="998"/>
      <c r="AT55" s="998"/>
      <c r="AU55" s="998"/>
      <c r="AV55" s="998"/>
      <c r="AW55" s="998"/>
      <c r="AX55" s="998"/>
      <c r="AY55" s="998"/>
      <c r="AZ55" s="998"/>
      <c r="BA55" s="998"/>
      <c r="BB55" s="998"/>
      <c r="BC55" s="998"/>
      <c r="BD55" s="998"/>
      <c r="BE55" s="998"/>
      <c r="BF55" s="998"/>
      <c r="BG55" s="998"/>
      <c r="BH55" s="998"/>
      <c r="BI55" s="998"/>
      <c r="BJ55" s="998"/>
      <c r="BK55" s="998"/>
      <c r="BL55" s="998"/>
      <c r="BM55" s="998"/>
      <c r="BN55" s="998"/>
      <c r="BO55" s="9"/>
      <c r="BP55" s="9"/>
      <c r="BQ55" s="9"/>
      <c r="BR55" s="9"/>
      <c r="BS55" s="9"/>
      <c r="BT55" s="9"/>
      <c r="BU55" s="9"/>
    </row>
    <row r="56" spans="2:73" x14ac:dyDescent="0.75">
      <c r="B56" s="88"/>
      <c r="C56" s="88"/>
      <c r="D56" s="88"/>
      <c r="E56" s="88"/>
      <c r="F56" s="88"/>
      <c r="K56" s="998"/>
      <c r="L56" s="998"/>
      <c r="M56" s="998"/>
      <c r="N56" s="1074"/>
      <c r="O56" s="998"/>
      <c r="P56" s="998"/>
      <c r="Q56" s="998"/>
      <c r="R56" s="998"/>
      <c r="S56" s="998"/>
      <c r="T56" s="998"/>
      <c r="U56" s="998"/>
      <c r="V56" s="998"/>
      <c r="W56" s="998"/>
      <c r="X56" s="998"/>
      <c r="Y56" s="998"/>
      <c r="Z56" s="998"/>
      <c r="AA56" s="998"/>
      <c r="AB56" s="998"/>
      <c r="AC56" s="998"/>
      <c r="AD56" s="998"/>
      <c r="AE56" s="998"/>
      <c r="AF56" s="998"/>
      <c r="AG56" s="998"/>
      <c r="AH56" s="998"/>
      <c r="AI56" s="998"/>
      <c r="AJ56" s="998"/>
      <c r="AK56" s="998"/>
      <c r="AL56" s="998"/>
      <c r="AM56" s="998"/>
      <c r="AN56" s="998"/>
      <c r="AO56" s="998"/>
      <c r="AP56" s="998"/>
      <c r="AQ56" s="998"/>
      <c r="AR56" s="998"/>
      <c r="AS56" s="998"/>
      <c r="AT56" s="998"/>
      <c r="AU56" s="998"/>
      <c r="AV56" s="998"/>
      <c r="AW56" s="998"/>
      <c r="AX56" s="998"/>
      <c r="AY56" s="998"/>
      <c r="AZ56" s="998"/>
      <c r="BA56" s="998"/>
      <c r="BB56" s="998"/>
      <c r="BC56" s="998"/>
      <c r="BD56" s="998"/>
      <c r="BE56" s="998"/>
      <c r="BF56" s="998"/>
      <c r="BG56" s="998"/>
      <c r="BH56" s="998"/>
      <c r="BI56" s="998"/>
      <c r="BJ56" s="998"/>
      <c r="BK56" s="998"/>
      <c r="BL56" s="998"/>
      <c r="BM56" s="998"/>
      <c r="BN56" s="998"/>
      <c r="BO56" s="9"/>
      <c r="BP56" s="9"/>
      <c r="BQ56" s="9"/>
      <c r="BR56" s="9"/>
      <c r="BS56" s="9"/>
      <c r="BT56" s="9"/>
      <c r="BU56" s="9"/>
    </row>
    <row r="57" spans="2:73" ht="15.5" thickBot="1" x14ac:dyDescent="0.9">
      <c r="B57" s="88"/>
      <c r="C57" s="88"/>
      <c r="D57" s="88"/>
      <c r="E57" s="88"/>
      <c r="F57" s="88"/>
      <c r="H57" s="132"/>
      <c r="I57" s="132"/>
      <c r="K57" s="998"/>
      <c r="L57" s="998"/>
      <c r="M57" s="998"/>
      <c r="N57" s="1074"/>
      <c r="O57" s="998"/>
      <c r="P57" s="998"/>
      <c r="Q57" s="998"/>
      <c r="R57" s="998"/>
      <c r="S57" s="998"/>
      <c r="T57" s="998"/>
      <c r="U57" s="998"/>
      <c r="V57" s="998"/>
      <c r="W57" s="998"/>
      <c r="X57" s="998"/>
      <c r="Y57" s="998"/>
      <c r="Z57" s="998"/>
      <c r="AA57" s="998"/>
      <c r="AB57" s="998"/>
      <c r="AC57" s="998"/>
      <c r="AD57" s="998"/>
      <c r="AE57" s="998"/>
      <c r="AF57" s="998"/>
      <c r="AG57" s="998"/>
      <c r="AH57" s="998"/>
      <c r="AI57" s="998"/>
      <c r="AJ57" s="998"/>
      <c r="AK57" s="998"/>
      <c r="AL57" s="998"/>
      <c r="AM57" s="998"/>
      <c r="AN57" s="998"/>
      <c r="AO57" s="998"/>
      <c r="AP57" s="998"/>
      <c r="AQ57" s="998"/>
      <c r="AR57" s="998"/>
      <c r="AS57" s="998"/>
      <c r="AT57" s="998"/>
      <c r="AU57" s="998"/>
      <c r="AV57" s="998"/>
      <c r="AW57" s="998"/>
      <c r="AX57" s="998"/>
      <c r="AY57" s="998"/>
      <c r="AZ57" s="998"/>
      <c r="BA57" s="998"/>
      <c r="BB57" s="998"/>
      <c r="BC57" s="998"/>
      <c r="BD57" s="998"/>
      <c r="BE57" s="998"/>
      <c r="BF57" s="998"/>
      <c r="BG57" s="998"/>
      <c r="BH57" s="998"/>
      <c r="BI57" s="998"/>
      <c r="BJ57" s="998"/>
      <c r="BK57" s="998"/>
      <c r="BL57" s="998"/>
      <c r="BM57" s="998"/>
      <c r="BN57" s="998"/>
      <c r="BO57" s="9"/>
      <c r="BP57" s="9"/>
      <c r="BQ57" s="9"/>
      <c r="BR57" s="9"/>
      <c r="BS57" s="9"/>
      <c r="BT57" s="9"/>
      <c r="BU57" s="9"/>
    </row>
    <row r="58" spans="2:73" ht="15.5" thickBot="1" x14ac:dyDescent="0.9">
      <c r="B58" s="138" t="s">
        <v>1068</v>
      </c>
      <c r="C58" s="214">
        <f ca="1">C52+C51</f>
        <v>78248.951460800658</v>
      </c>
      <c r="D58" s="93"/>
      <c r="E58" s="413" t="s">
        <v>1069</v>
      </c>
      <c r="F58" s="138" t="s">
        <v>1063</v>
      </c>
      <c r="G58" s="214">
        <f ca="1">IFERROR(HLOOKUP(Patients!$D$11,'User Dashboard'!$L$51:$BK$54,4,0),"Cap not reached")</f>
        <v>10</v>
      </c>
      <c r="H58" s="138" t="s">
        <v>1383</v>
      </c>
      <c r="I58" s="214">
        <f ca="1">IFERROR(HLOOKUP(Patients!$D$12,'User Dashboard'!$L$50:$BK$54,5,0),"Cap not reached")</f>
        <v>8</v>
      </c>
      <c r="K58" s="998"/>
      <c r="L58" s="998"/>
      <c r="M58" s="998"/>
      <c r="N58" s="1074"/>
      <c r="O58" s="998"/>
      <c r="P58" s="998"/>
      <c r="Q58" s="998"/>
      <c r="R58" s="998"/>
      <c r="S58" s="998"/>
      <c r="T58" s="998"/>
      <c r="U58" s="998"/>
      <c r="V58" s="998"/>
      <c r="W58" s="998"/>
      <c r="X58" s="998"/>
      <c r="Y58" s="998"/>
      <c r="Z58" s="998"/>
      <c r="AA58" s="998"/>
      <c r="AB58" s="998"/>
      <c r="AC58" s="998"/>
      <c r="AD58" s="998"/>
      <c r="AE58" s="998"/>
      <c r="AF58" s="998"/>
      <c r="AG58" s="998"/>
      <c r="AH58" s="998"/>
      <c r="AI58" s="998"/>
      <c r="AJ58" s="998"/>
      <c r="AK58" s="998"/>
      <c r="AL58" s="998"/>
      <c r="AM58" s="998"/>
      <c r="AN58" s="998"/>
      <c r="AO58" s="998"/>
      <c r="AP58" s="998"/>
      <c r="AQ58" s="998"/>
      <c r="AR58" s="998"/>
      <c r="AS58" s="998"/>
      <c r="AT58" s="998"/>
      <c r="AU58" s="998"/>
      <c r="AV58" s="998"/>
      <c r="AW58" s="998"/>
      <c r="AX58" s="998"/>
      <c r="AY58" s="998"/>
      <c r="AZ58" s="998"/>
      <c r="BA58" s="998"/>
      <c r="BB58" s="998"/>
      <c r="BC58" s="998"/>
      <c r="BD58" s="998"/>
      <c r="BE58" s="998"/>
      <c r="BF58" s="998"/>
      <c r="BG58" s="998"/>
      <c r="BH58" s="998"/>
      <c r="BI58" s="998"/>
      <c r="BJ58" s="998"/>
      <c r="BK58" s="998"/>
      <c r="BL58" s="998"/>
      <c r="BM58" s="998"/>
      <c r="BN58" s="998"/>
      <c r="BO58" s="9"/>
      <c r="BP58" s="9"/>
      <c r="BQ58" s="9"/>
      <c r="BR58" s="9"/>
      <c r="BS58" s="9"/>
      <c r="BT58" s="9"/>
      <c r="BU58" s="9"/>
    </row>
    <row r="59" spans="2:73" x14ac:dyDescent="0.75">
      <c r="B59" s="412" t="s">
        <v>1355</v>
      </c>
      <c r="C59" s="88"/>
      <c r="D59" s="88"/>
      <c r="E59" s="412" t="s">
        <v>1359</v>
      </c>
      <c r="H59" s="132"/>
      <c r="I59" s="132"/>
      <c r="K59" s="998"/>
      <c r="L59" s="998"/>
      <c r="M59" s="998"/>
      <c r="N59" s="1074"/>
      <c r="O59" s="998"/>
      <c r="P59" s="998"/>
      <c r="Q59" s="998"/>
      <c r="R59" s="998"/>
      <c r="S59" s="998"/>
      <c r="T59" s="998"/>
      <c r="U59" s="998"/>
      <c r="V59" s="998"/>
      <c r="W59" s="998"/>
      <c r="X59" s="998"/>
      <c r="Y59" s="998"/>
      <c r="Z59" s="998"/>
      <c r="AA59" s="998"/>
      <c r="AB59" s="998"/>
      <c r="AC59" s="998"/>
      <c r="AD59" s="998"/>
      <c r="AE59" s="998"/>
      <c r="AF59" s="998"/>
      <c r="AG59" s="998"/>
      <c r="AH59" s="998"/>
      <c r="AI59" s="998"/>
      <c r="AJ59" s="998"/>
      <c r="AK59" s="998"/>
      <c r="AL59" s="998"/>
      <c r="AM59" s="998"/>
      <c r="AN59" s="998"/>
      <c r="AO59" s="998"/>
      <c r="AP59" s="998"/>
      <c r="AQ59" s="998"/>
      <c r="AR59" s="998"/>
      <c r="AS59" s="998"/>
      <c r="AT59" s="998"/>
      <c r="AU59" s="998"/>
      <c r="AV59" s="998"/>
      <c r="AW59" s="998"/>
      <c r="AX59" s="998"/>
      <c r="AY59" s="998"/>
      <c r="AZ59" s="998"/>
      <c r="BA59" s="998"/>
      <c r="BB59" s="998"/>
      <c r="BC59" s="998"/>
      <c r="BD59" s="998"/>
      <c r="BE59" s="998"/>
      <c r="BF59" s="998"/>
      <c r="BG59" s="998"/>
      <c r="BH59" s="998"/>
      <c r="BI59" s="998"/>
      <c r="BJ59" s="998"/>
      <c r="BK59" s="998"/>
      <c r="BL59" s="998"/>
      <c r="BM59" s="998"/>
      <c r="BN59" s="998"/>
      <c r="BO59" s="9"/>
      <c r="BP59" s="9"/>
      <c r="BQ59" s="9"/>
      <c r="BR59" s="9"/>
      <c r="BS59" s="9"/>
      <c r="BT59" s="9"/>
      <c r="BU59" s="9"/>
    </row>
    <row r="60" spans="2:73" x14ac:dyDescent="0.75">
      <c r="B60" s="412"/>
      <c r="C60" s="88"/>
      <c r="D60" s="88"/>
      <c r="E60" s="412" t="s">
        <v>1382</v>
      </c>
      <c r="F60" s="88"/>
      <c r="H60" s="132"/>
      <c r="I60" s="132"/>
      <c r="K60" s="998"/>
      <c r="L60" s="998"/>
      <c r="M60" s="998"/>
      <c r="N60" s="1074"/>
      <c r="O60" s="998"/>
      <c r="P60" s="998"/>
      <c r="Q60" s="998"/>
      <c r="R60" s="998"/>
      <c r="S60" s="998"/>
      <c r="T60" s="998"/>
      <c r="U60" s="998"/>
      <c r="V60" s="998"/>
      <c r="W60" s="998"/>
      <c r="X60" s="998"/>
      <c r="Y60" s="998"/>
      <c r="Z60" s="998"/>
      <c r="AA60" s="998"/>
      <c r="AB60" s="998"/>
      <c r="AC60" s="998"/>
      <c r="AD60" s="998"/>
      <c r="AE60" s="998"/>
      <c r="AF60" s="998"/>
      <c r="AG60" s="998"/>
      <c r="AH60" s="998"/>
      <c r="AI60" s="998"/>
      <c r="AJ60" s="998"/>
      <c r="AK60" s="998"/>
      <c r="AL60" s="998"/>
      <c r="AM60" s="998"/>
      <c r="AN60" s="998"/>
      <c r="AO60" s="998"/>
      <c r="AP60" s="998"/>
      <c r="AQ60" s="998"/>
      <c r="AR60" s="998"/>
      <c r="AS60" s="998"/>
      <c r="AT60" s="998"/>
      <c r="AU60" s="998"/>
      <c r="AV60" s="998"/>
      <c r="AW60" s="998"/>
      <c r="AX60" s="998"/>
      <c r="AY60" s="998"/>
      <c r="AZ60" s="998"/>
      <c r="BA60" s="998"/>
      <c r="BB60" s="998"/>
      <c r="BC60" s="998"/>
      <c r="BD60" s="998"/>
      <c r="BE60" s="998"/>
      <c r="BF60" s="998"/>
      <c r="BG60" s="998"/>
      <c r="BH60" s="998"/>
      <c r="BI60" s="998"/>
      <c r="BJ60" s="998"/>
      <c r="BK60" s="998"/>
      <c r="BL60" s="998"/>
      <c r="BM60" s="998"/>
      <c r="BN60" s="998"/>
      <c r="BO60" s="9"/>
      <c r="BP60" s="9"/>
      <c r="BQ60" s="9"/>
      <c r="BR60" s="9"/>
      <c r="BS60" s="9"/>
      <c r="BT60" s="9"/>
      <c r="BU60" s="9"/>
    </row>
    <row r="61" spans="2:73" x14ac:dyDescent="0.75">
      <c r="B61" s="412"/>
      <c r="C61" s="88"/>
      <c r="D61" s="88"/>
      <c r="E61" s="88"/>
      <c r="F61" s="88"/>
      <c r="H61" s="132"/>
      <c r="I61" s="132"/>
      <c r="K61" s="998"/>
      <c r="L61" s="998"/>
      <c r="M61" s="998"/>
      <c r="N61" s="1074"/>
      <c r="O61" s="998"/>
      <c r="P61" s="998"/>
      <c r="Q61" s="998"/>
      <c r="R61" s="998"/>
      <c r="S61" s="998"/>
      <c r="T61" s="998"/>
      <c r="U61" s="998"/>
      <c r="V61" s="998"/>
      <c r="W61" s="998"/>
      <c r="X61" s="998"/>
      <c r="Y61" s="998"/>
      <c r="Z61" s="998"/>
      <c r="AA61" s="998"/>
      <c r="AB61" s="998"/>
      <c r="AC61" s="998"/>
      <c r="AD61" s="998"/>
      <c r="AE61" s="998"/>
      <c r="AF61" s="998"/>
      <c r="AG61" s="998"/>
      <c r="AH61" s="998"/>
      <c r="AI61" s="998"/>
      <c r="AJ61" s="998"/>
      <c r="AK61" s="998"/>
      <c r="AL61" s="998"/>
      <c r="AM61" s="998"/>
      <c r="AN61" s="998"/>
      <c r="AO61" s="998"/>
      <c r="AP61" s="998"/>
      <c r="AQ61" s="998"/>
      <c r="AR61" s="998"/>
      <c r="AS61" s="998"/>
      <c r="AT61" s="998"/>
      <c r="AU61" s="998"/>
      <c r="AV61" s="998"/>
      <c r="AW61" s="998"/>
      <c r="AX61" s="998"/>
      <c r="AY61" s="998"/>
      <c r="AZ61" s="998"/>
      <c r="BA61" s="998"/>
      <c r="BB61" s="998"/>
      <c r="BC61" s="998"/>
      <c r="BD61" s="998"/>
      <c r="BE61" s="998"/>
      <c r="BF61" s="998"/>
      <c r="BG61" s="998"/>
      <c r="BH61" s="998"/>
      <c r="BI61" s="998"/>
      <c r="BJ61" s="998"/>
      <c r="BK61" s="998"/>
      <c r="BL61" s="998"/>
      <c r="BM61" s="998"/>
      <c r="BN61" s="998"/>
      <c r="BO61" s="9"/>
      <c r="BP61" s="9"/>
      <c r="BQ61" s="9"/>
      <c r="BR61" s="9"/>
      <c r="BS61" s="9"/>
      <c r="BT61" s="9"/>
      <c r="BU61" s="9"/>
    </row>
    <row r="62" spans="2:73" x14ac:dyDescent="0.75">
      <c r="B62" s="88"/>
      <c r="C62" s="88"/>
      <c r="D62" s="88"/>
      <c r="E62" s="88"/>
      <c r="F62" s="88"/>
      <c r="H62" s="132"/>
      <c r="I62" s="132"/>
      <c r="K62" s="998"/>
      <c r="L62" s="998"/>
      <c r="M62" s="998"/>
      <c r="N62" s="1074"/>
      <c r="O62" s="998"/>
      <c r="P62" s="998"/>
      <c r="Q62" s="998"/>
      <c r="R62" s="998"/>
      <c r="S62" s="998"/>
      <c r="T62" s="998"/>
      <c r="U62" s="998"/>
      <c r="V62" s="998"/>
      <c r="W62" s="998"/>
      <c r="X62" s="998"/>
      <c r="Y62" s="998"/>
      <c r="Z62" s="998"/>
      <c r="AA62" s="998"/>
      <c r="AB62" s="998"/>
      <c r="AC62" s="998"/>
      <c r="AD62" s="998"/>
      <c r="AE62" s="998"/>
      <c r="AF62" s="998"/>
      <c r="AG62" s="998"/>
      <c r="AH62" s="998"/>
      <c r="AI62" s="998"/>
      <c r="AJ62" s="998"/>
      <c r="AK62" s="998"/>
      <c r="AL62" s="998"/>
      <c r="AM62" s="998"/>
      <c r="AN62" s="998"/>
      <c r="AO62" s="998"/>
      <c r="AP62" s="998"/>
      <c r="AQ62" s="998"/>
      <c r="AR62" s="998"/>
      <c r="AS62" s="998"/>
      <c r="AT62" s="998"/>
      <c r="AU62" s="998"/>
      <c r="AV62" s="998"/>
      <c r="AW62" s="998"/>
      <c r="AX62" s="998"/>
      <c r="AY62" s="998"/>
      <c r="AZ62" s="998"/>
      <c r="BA62" s="998"/>
      <c r="BB62" s="998"/>
      <c r="BC62" s="998"/>
      <c r="BD62" s="998"/>
      <c r="BE62" s="998"/>
      <c r="BF62" s="998"/>
      <c r="BG62" s="998"/>
      <c r="BH62" s="998"/>
      <c r="BI62" s="998"/>
      <c r="BJ62" s="998"/>
      <c r="BK62" s="998"/>
      <c r="BL62" s="998"/>
      <c r="BM62" s="998"/>
      <c r="BN62" s="998"/>
      <c r="BO62" s="9"/>
      <c r="BP62" s="9"/>
      <c r="BQ62" s="9"/>
      <c r="BR62" s="9"/>
      <c r="BS62" s="9"/>
      <c r="BT62" s="9"/>
      <c r="BU62" s="9"/>
    </row>
    <row r="63" spans="2:73" x14ac:dyDescent="0.75">
      <c r="B63" s="88"/>
      <c r="C63" s="88"/>
      <c r="D63" s="88"/>
      <c r="E63" s="88"/>
      <c r="F63" s="88"/>
      <c r="H63" s="132"/>
      <c r="I63" s="132"/>
      <c r="K63" s="998"/>
      <c r="L63" s="998"/>
      <c r="M63" s="998"/>
      <c r="N63" s="1074"/>
      <c r="O63" s="998"/>
      <c r="P63" s="998"/>
      <c r="Q63" s="998"/>
      <c r="R63" s="998"/>
      <c r="S63" s="998"/>
      <c r="T63" s="998"/>
      <c r="U63" s="998"/>
      <c r="V63" s="998"/>
      <c r="W63" s="998"/>
      <c r="X63" s="998"/>
      <c r="Y63" s="998"/>
      <c r="Z63" s="998"/>
      <c r="AA63" s="998"/>
      <c r="AB63" s="998"/>
      <c r="AC63" s="998"/>
      <c r="AD63" s="998"/>
      <c r="AE63" s="998"/>
      <c r="AF63" s="998"/>
      <c r="AG63" s="998"/>
      <c r="AH63" s="998"/>
      <c r="AI63" s="998"/>
      <c r="AJ63" s="998"/>
      <c r="AK63" s="998"/>
      <c r="AL63" s="998"/>
      <c r="AM63" s="998"/>
      <c r="AN63" s="998"/>
      <c r="AO63" s="998"/>
      <c r="AP63" s="998"/>
      <c r="AQ63" s="998"/>
      <c r="AR63" s="998"/>
      <c r="AS63" s="998"/>
      <c r="AT63" s="998"/>
      <c r="AU63" s="998"/>
      <c r="AV63" s="998"/>
      <c r="AW63" s="998"/>
      <c r="AX63" s="998"/>
      <c r="AY63" s="998"/>
      <c r="AZ63" s="998"/>
      <c r="BA63" s="998"/>
      <c r="BB63" s="998"/>
      <c r="BC63" s="998"/>
      <c r="BD63" s="998"/>
      <c r="BE63" s="998"/>
      <c r="BF63" s="998"/>
      <c r="BG63" s="998"/>
      <c r="BH63" s="998"/>
      <c r="BI63" s="998"/>
      <c r="BJ63" s="998"/>
      <c r="BK63" s="998"/>
      <c r="BL63" s="998"/>
      <c r="BM63" s="998"/>
      <c r="BN63" s="998"/>
      <c r="BO63" s="9"/>
      <c r="BP63" s="9"/>
      <c r="BQ63" s="9"/>
      <c r="BR63" s="9"/>
      <c r="BS63" s="9"/>
      <c r="BT63" s="9"/>
      <c r="BU63" s="9"/>
    </row>
    <row r="64" spans="2:73" x14ac:dyDescent="0.75">
      <c r="B64" s="88"/>
      <c r="C64" s="88"/>
      <c r="D64" s="88"/>
      <c r="E64" s="88"/>
      <c r="F64" s="88"/>
      <c r="H64" s="132"/>
      <c r="I64" s="132"/>
      <c r="K64" s="998"/>
      <c r="L64" s="998"/>
      <c r="M64" s="998"/>
      <c r="N64" s="1074"/>
      <c r="O64" s="998"/>
      <c r="P64" s="998"/>
      <c r="Q64" s="998"/>
      <c r="R64" s="998"/>
      <c r="S64" s="998"/>
      <c r="T64" s="998"/>
      <c r="U64" s="998"/>
      <c r="V64" s="998"/>
      <c r="W64" s="998"/>
      <c r="X64" s="998"/>
      <c r="Y64" s="998"/>
      <c r="Z64" s="998"/>
      <c r="AA64" s="998"/>
      <c r="AB64" s="998"/>
      <c r="AC64" s="998"/>
      <c r="AD64" s="998"/>
      <c r="AE64" s="998"/>
      <c r="AF64" s="998"/>
      <c r="AG64" s="998"/>
      <c r="AH64" s="998"/>
      <c r="AI64" s="998"/>
      <c r="AJ64" s="998"/>
      <c r="AK64" s="998"/>
      <c r="AL64" s="998"/>
      <c r="AM64" s="998"/>
      <c r="AN64" s="998"/>
      <c r="AO64" s="998"/>
      <c r="AP64" s="998"/>
      <c r="AQ64" s="998"/>
      <c r="AR64" s="998"/>
      <c r="AS64" s="998"/>
      <c r="AT64" s="998"/>
      <c r="AU64" s="998"/>
      <c r="AV64" s="998"/>
      <c r="AW64" s="998"/>
      <c r="AX64" s="998"/>
      <c r="AY64" s="998"/>
      <c r="AZ64" s="998"/>
      <c r="BA64" s="998"/>
      <c r="BB64" s="998"/>
      <c r="BC64" s="998"/>
      <c r="BD64" s="998"/>
      <c r="BE64" s="998"/>
      <c r="BF64" s="998"/>
      <c r="BG64" s="998"/>
      <c r="BH64" s="998"/>
      <c r="BI64" s="998"/>
      <c r="BJ64" s="998"/>
      <c r="BK64" s="998"/>
      <c r="BL64" s="998"/>
      <c r="BM64" s="998"/>
      <c r="BN64" s="998"/>
      <c r="BO64" s="9"/>
      <c r="BP64" s="9"/>
      <c r="BQ64" s="9"/>
      <c r="BR64" s="9"/>
      <c r="BS64" s="9"/>
      <c r="BT64" s="9"/>
      <c r="BU64" s="9"/>
    </row>
    <row r="65" spans="2:73" x14ac:dyDescent="0.75">
      <c r="B65" s="88"/>
      <c r="C65" s="88"/>
      <c r="D65" s="88"/>
      <c r="E65" s="103" t="s">
        <v>941</v>
      </c>
      <c r="F65" s="321" t="s">
        <v>942</v>
      </c>
      <c r="K65" s="998"/>
      <c r="L65" s="998"/>
      <c r="M65" s="998"/>
      <c r="N65" s="1074"/>
      <c r="O65" s="998"/>
      <c r="P65" s="998"/>
      <c r="Q65" s="998"/>
      <c r="R65" s="998"/>
      <c r="S65" s="998"/>
      <c r="T65" s="998"/>
      <c r="U65" s="998"/>
      <c r="V65" s="998"/>
      <c r="W65" s="998"/>
      <c r="X65" s="998"/>
      <c r="Y65" s="998"/>
      <c r="Z65" s="998"/>
      <c r="AA65" s="998"/>
      <c r="AB65" s="998"/>
      <c r="AC65" s="998"/>
      <c r="AD65" s="998"/>
      <c r="AE65" s="998"/>
      <c r="AF65" s="998"/>
      <c r="AG65" s="998"/>
      <c r="AH65" s="998"/>
      <c r="AI65" s="998"/>
      <c r="AJ65" s="998"/>
      <c r="AK65" s="998"/>
      <c r="AL65" s="998"/>
      <c r="AM65" s="998"/>
      <c r="AN65" s="998"/>
      <c r="AO65" s="998"/>
      <c r="AP65" s="998"/>
      <c r="AQ65" s="998"/>
      <c r="AR65" s="998"/>
      <c r="AS65" s="998"/>
      <c r="AT65" s="998"/>
      <c r="AU65" s="998"/>
      <c r="AV65" s="998"/>
      <c r="AW65" s="998"/>
      <c r="AX65" s="998"/>
      <c r="AY65" s="998"/>
      <c r="AZ65" s="998"/>
      <c r="BA65" s="998"/>
      <c r="BB65" s="998"/>
      <c r="BC65" s="998"/>
      <c r="BD65" s="998"/>
      <c r="BE65" s="998"/>
      <c r="BF65" s="998"/>
      <c r="BG65" s="998"/>
      <c r="BH65" s="998"/>
      <c r="BI65" s="998"/>
      <c r="BJ65" s="998"/>
      <c r="BK65" s="998"/>
      <c r="BL65" s="998"/>
      <c r="BM65" s="998"/>
      <c r="BN65" s="998"/>
      <c r="BO65" s="9"/>
      <c r="BP65" s="9"/>
      <c r="BQ65" s="9"/>
      <c r="BR65" s="9"/>
      <c r="BS65" s="9"/>
      <c r="BT65" s="9"/>
      <c r="BU65" s="9"/>
    </row>
    <row r="66" spans="2:73" s="87" customFormat="1" x14ac:dyDescent="0.75">
      <c r="B66" s="88"/>
      <c r="C66" s="88"/>
      <c r="D66" s="88"/>
      <c r="E66" s="320">
        <f>IF(Mild_testing_strategy="Targeted",Patients!BF78+Patients!BF79,Patients!BF74+Patients!BF75)</f>
        <v>129905.13507693319</v>
      </c>
      <c r="F66" s="320">
        <f>IF(Mild_testing_strategy="Targeted",Patients!BF80,Patients!BF76)</f>
        <v>1623814.1884616646</v>
      </c>
      <c r="G66" s="88"/>
      <c r="K66" s="998"/>
      <c r="L66" s="998"/>
      <c r="M66" s="998"/>
      <c r="N66" s="1074"/>
      <c r="O66" s="998"/>
      <c r="P66" s="998"/>
      <c r="Q66" s="998"/>
      <c r="R66" s="998"/>
      <c r="S66" s="998"/>
      <c r="T66" s="998"/>
      <c r="U66" s="998"/>
      <c r="V66" s="998"/>
      <c r="W66" s="998"/>
      <c r="X66" s="998"/>
      <c r="Y66" s="998"/>
      <c r="Z66" s="998"/>
      <c r="AA66" s="998"/>
      <c r="AB66" s="998"/>
      <c r="AC66" s="998"/>
      <c r="AD66" s="998"/>
      <c r="AE66" s="998"/>
      <c r="AF66" s="998"/>
      <c r="AG66" s="998"/>
      <c r="AH66" s="998"/>
      <c r="AI66" s="998"/>
      <c r="AJ66" s="998"/>
      <c r="AK66" s="998"/>
      <c r="AL66" s="998"/>
      <c r="AM66" s="998"/>
      <c r="AN66" s="998"/>
      <c r="AO66" s="998"/>
      <c r="AP66" s="998"/>
      <c r="AQ66" s="998"/>
      <c r="AR66" s="998"/>
      <c r="AS66" s="998"/>
      <c r="AT66" s="998"/>
      <c r="AU66" s="998"/>
      <c r="AV66" s="998"/>
      <c r="AW66" s="998"/>
      <c r="AX66" s="998"/>
      <c r="AY66" s="998"/>
      <c r="AZ66" s="998"/>
      <c r="BA66" s="998"/>
      <c r="BB66" s="998"/>
      <c r="BC66" s="998"/>
      <c r="BD66" s="998"/>
      <c r="BE66" s="998"/>
      <c r="BF66" s="998"/>
      <c r="BG66" s="998"/>
      <c r="BH66" s="998"/>
      <c r="BI66" s="998"/>
      <c r="BJ66" s="998"/>
      <c r="BK66" s="998"/>
      <c r="BL66" s="998"/>
      <c r="BM66" s="998"/>
      <c r="BN66" s="998"/>
      <c r="BO66" s="998"/>
      <c r="BP66" s="998"/>
      <c r="BQ66" s="998"/>
      <c r="BR66" s="998"/>
      <c r="BS66" s="998"/>
      <c r="BT66" s="998"/>
      <c r="BU66" s="998"/>
    </row>
    <row r="67" spans="2:73" s="87" customFormat="1" x14ac:dyDescent="0.75">
      <c r="B67" s="88"/>
      <c r="C67" s="88"/>
      <c r="D67" s="88"/>
      <c r="E67" s="321" t="s">
        <v>939</v>
      </c>
      <c r="F67" s="321" t="s">
        <v>940</v>
      </c>
      <c r="G67" s="88"/>
      <c r="H67"/>
      <c r="N67" s="109"/>
      <c r="O67" s="103"/>
      <c r="X67" s="118"/>
    </row>
    <row r="68" spans="2:73" s="87" customFormat="1" x14ac:dyDescent="0.75">
      <c r="B68" s="88"/>
      <c r="C68" s="88"/>
      <c r="D68" s="88"/>
      <c r="E68" s="320">
        <f>Patients!BF68</f>
        <v>324762.83769233292</v>
      </c>
      <c r="F68" s="320">
        <f ca="1">Patients!BF69</f>
        <v>206144.9626652505</v>
      </c>
      <c r="G68" s="88"/>
      <c r="H68"/>
      <c r="N68" s="109"/>
      <c r="O68" s="103"/>
      <c r="X68" s="118"/>
    </row>
    <row r="69" spans="2:73" s="87" customFormat="1" x14ac:dyDescent="0.75">
      <c r="B69" s="88"/>
      <c r="C69" s="88"/>
      <c r="D69" s="88"/>
      <c r="E69" s="88"/>
      <c r="F69" s="88"/>
      <c r="G69" s="88"/>
      <c r="H69"/>
      <c r="I69" s="132"/>
      <c r="N69" s="109"/>
      <c r="O69" s="103"/>
      <c r="X69" s="118"/>
    </row>
    <row r="70" spans="2:73" s="87" customFormat="1" x14ac:dyDescent="0.75">
      <c r="B70" s="88"/>
      <c r="C70" s="88"/>
      <c r="D70" s="88"/>
      <c r="E70" s="88"/>
      <c r="F70" s="88"/>
      <c r="G70" s="88"/>
      <c r="H70"/>
      <c r="I70" s="132"/>
      <c r="N70" s="109"/>
      <c r="O70" s="103"/>
      <c r="X70" s="118"/>
    </row>
    <row r="71" spans="2:73" s="87" customFormat="1" x14ac:dyDescent="0.75">
      <c r="B71" s="88"/>
      <c r="C71" s="88"/>
      <c r="D71" s="88"/>
      <c r="E71" s="88"/>
      <c r="F71" s="88"/>
      <c r="G71" s="88"/>
      <c r="H71"/>
      <c r="I71" s="132"/>
      <c r="N71" s="109"/>
      <c r="O71" s="103"/>
      <c r="X71" s="118"/>
    </row>
    <row r="72" spans="2:73" s="87" customFormat="1" x14ac:dyDescent="0.75">
      <c r="B72" s="88"/>
      <c r="C72" s="88"/>
      <c r="D72" s="88"/>
      <c r="E72" s="88"/>
      <c r="F72" s="88"/>
      <c r="G72" s="88"/>
      <c r="H72"/>
      <c r="I72" s="132"/>
      <c r="N72" s="109"/>
      <c r="O72" s="103"/>
      <c r="X72" s="118"/>
    </row>
    <row r="73" spans="2:73" s="87" customFormat="1" x14ac:dyDescent="0.75">
      <c r="B73" s="88"/>
      <c r="C73" s="88"/>
      <c r="D73" s="88"/>
      <c r="E73" s="88"/>
      <c r="F73" s="88"/>
      <c r="G73" s="88"/>
      <c r="H73" s="132"/>
      <c r="I73" s="132"/>
      <c r="N73" s="109"/>
      <c r="O73" s="103"/>
      <c r="X73" s="118"/>
    </row>
    <row r="74" spans="2:73" s="87" customFormat="1" x14ac:dyDescent="0.75">
      <c r="B74" s="88"/>
      <c r="C74" s="88"/>
      <c r="D74" s="88"/>
      <c r="E74" s="88"/>
      <c r="F74" s="88"/>
      <c r="G74" s="88"/>
      <c r="H74" s="132"/>
      <c r="I74" s="132"/>
      <c r="N74" s="109"/>
      <c r="O74" s="103"/>
      <c r="X74" s="118"/>
    </row>
    <row r="75" spans="2:73" s="87" customFormat="1" x14ac:dyDescent="0.75">
      <c r="B75" s="88"/>
      <c r="C75" s="88"/>
      <c r="D75" s="88"/>
      <c r="E75" s="88"/>
      <c r="G75" s="88"/>
      <c r="I75" s="132"/>
      <c r="N75" s="109"/>
      <c r="O75" s="103"/>
      <c r="X75" s="118"/>
    </row>
    <row r="76" spans="2:73" s="87" customFormat="1" x14ac:dyDescent="0.75">
      <c r="B76" s="88"/>
      <c r="C76" s="88"/>
      <c r="D76" s="88"/>
      <c r="E76" s="88"/>
      <c r="F76" s="88"/>
      <c r="G76" s="88"/>
      <c r="H76" s="132"/>
      <c r="I76" s="132"/>
      <c r="N76" s="109"/>
      <c r="O76" s="103"/>
      <c r="X76" s="118"/>
    </row>
    <row r="77" spans="2:73" s="87" customFormat="1" ht="15.5" thickBot="1" x14ac:dyDescent="0.9">
      <c r="B77" s="88"/>
      <c r="C77" s="88"/>
      <c r="D77" s="88"/>
      <c r="E77" s="88"/>
      <c r="F77" s="88"/>
      <c r="G77" s="88"/>
      <c r="H77" s="132"/>
      <c r="I77" s="132"/>
      <c r="N77" s="109"/>
      <c r="O77" s="103"/>
      <c r="X77" s="118"/>
    </row>
    <row r="78" spans="2:73" s="87" customFormat="1" ht="33" customHeight="1" thickBot="1" x14ac:dyDescent="0.9">
      <c r="B78" s="405" t="s">
        <v>1029</v>
      </c>
      <c r="C78" s="317">
        <f ca="1">Total_tests_conducted</f>
        <v>322517.5206073692</v>
      </c>
      <c r="D78" s="88"/>
      <c r="E78" s="405" t="s">
        <v>1062</v>
      </c>
      <c r="F78" s="214">
        <f ca="1">E66+F66+E68+F68</f>
        <v>2284627.1238961811</v>
      </c>
      <c r="G78" s="88"/>
      <c r="H78" s="132"/>
      <c r="I78" s="132"/>
      <c r="K78" s="319"/>
      <c r="L78" s="319"/>
      <c r="M78" s="319"/>
      <c r="N78" s="959"/>
      <c r="O78" s="319"/>
      <c r="P78" s="319"/>
      <c r="Q78" s="319"/>
      <c r="R78" s="319"/>
      <c r="S78" s="319"/>
      <c r="T78" s="319"/>
      <c r="U78" s="319"/>
      <c r="X78" s="118"/>
    </row>
    <row r="79" spans="2:73" s="87" customFormat="1" x14ac:dyDescent="0.75">
      <c r="B79" s="88"/>
      <c r="C79" s="88"/>
      <c r="D79" s="88"/>
      <c r="E79" s="88"/>
      <c r="F79" s="88"/>
      <c r="G79" s="88"/>
      <c r="H79"/>
      <c r="I79"/>
      <c r="K79" s="319"/>
      <c r="L79" s="319"/>
      <c r="M79" s="319"/>
      <c r="N79" s="319"/>
      <c r="O79" s="960"/>
      <c r="P79" s="319"/>
      <c r="Q79" s="319"/>
      <c r="R79" s="319"/>
      <c r="S79" s="319"/>
      <c r="T79" s="319"/>
      <c r="U79" s="319"/>
      <c r="X79" s="118"/>
    </row>
    <row r="80" spans="2:73" s="87" customFormat="1" x14ac:dyDescent="0.75">
      <c r="B80" s="88"/>
      <c r="C80" s="88"/>
      <c r="D80" s="88"/>
      <c r="E80" s="88"/>
      <c r="F80" s="88"/>
      <c r="G80" s="88"/>
      <c r="H80" s="133"/>
      <c r="I80" s="131"/>
      <c r="K80" s="319"/>
      <c r="L80" s="319"/>
      <c r="M80" s="319"/>
      <c r="N80" s="959"/>
      <c r="O80" s="960"/>
      <c r="P80" s="319"/>
      <c r="Q80" s="319"/>
      <c r="R80" s="319"/>
      <c r="S80" s="319"/>
      <c r="T80" s="319"/>
      <c r="U80" s="319"/>
      <c r="X80" s="118"/>
    </row>
    <row r="81" spans="2:66" s="87" customFormat="1" x14ac:dyDescent="0.75">
      <c r="B81" s="88"/>
      <c r="C81" s="88"/>
      <c r="D81" s="88"/>
      <c r="E81" s="88"/>
      <c r="F81" s="88"/>
      <c r="G81" s="88"/>
      <c r="H81" s="133"/>
      <c r="I81" s="131"/>
      <c r="K81" s="319"/>
      <c r="L81" s="319"/>
      <c r="M81" s="319"/>
      <c r="N81" s="961"/>
      <c r="O81" s="960"/>
      <c r="P81" s="319"/>
      <c r="Q81" s="319"/>
      <c r="R81" s="319"/>
      <c r="S81" s="319"/>
      <c r="T81" s="319"/>
      <c r="U81" s="319"/>
      <c r="X81" s="118"/>
    </row>
    <row r="82" spans="2:66" s="87" customFormat="1" x14ac:dyDescent="0.75">
      <c r="B82" s="88"/>
      <c r="C82" s="88"/>
      <c r="D82" s="88"/>
      <c r="E82" s="88"/>
      <c r="F82" s="88"/>
      <c r="G82" s="88"/>
      <c r="H82" s="133"/>
      <c r="I82" s="131"/>
      <c r="K82" s="319"/>
      <c r="L82" s="319"/>
      <c r="M82" s="319"/>
      <c r="N82" s="962"/>
      <c r="O82" s="960"/>
      <c r="P82" s="319"/>
      <c r="Q82" s="319"/>
      <c r="R82" s="319"/>
      <c r="S82" s="319"/>
      <c r="T82" s="319"/>
      <c r="U82" s="319"/>
      <c r="X82" s="118"/>
    </row>
    <row r="83" spans="2:66" s="87" customFormat="1" x14ac:dyDescent="0.75">
      <c r="B83" s="132"/>
      <c r="C83" s="315"/>
      <c r="D83" s="88"/>
      <c r="E83" s="88"/>
      <c r="F83" s="88"/>
      <c r="G83" s="88"/>
      <c r="H83" s="133"/>
      <c r="I83" s="131"/>
      <c r="K83" s="998" t="s">
        <v>937</v>
      </c>
      <c r="L83" s="319"/>
      <c r="M83" s="319"/>
      <c r="N83" s="319"/>
      <c r="O83" s="319"/>
      <c r="P83" s="319"/>
      <c r="Q83" s="319"/>
      <c r="R83" s="319"/>
      <c r="S83" s="319"/>
      <c r="T83" s="319"/>
      <c r="U83" s="319"/>
      <c r="V83" s="118"/>
      <c r="W83" s="118"/>
      <c r="X83" s="118"/>
      <c r="Y83" s="118"/>
      <c r="Z83" s="118"/>
      <c r="AA83" s="118"/>
      <c r="AB83" s="118"/>
      <c r="AC83" s="118"/>
      <c r="AD83" s="118"/>
      <c r="AE83" s="118"/>
      <c r="AF83" s="118"/>
      <c r="AG83" s="118"/>
      <c r="AH83" s="118"/>
      <c r="AI83" s="118"/>
    </row>
    <row r="84" spans="2:66" s="87" customFormat="1" x14ac:dyDescent="0.75">
      <c r="B84" s="893" t="s">
        <v>297</v>
      </c>
      <c r="C84" s="894">
        <f ca="1">H224</f>
        <v>1091151.3457830597</v>
      </c>
      <c r="D84" s="895"/>
      <c r="E84" s="88"/>
      <c r="F84" s="88"/>
      <c r="G84" s="88"/>
      <c r="H84" s="133"/>
      <c r="I84" s="131"/>
      <c r="K84" s="998"/>
      <c r="L84" s="999">
        <f>F114</f>
        <v>1</v>
      </c>
      <c r="M84" s="998">
        <f>IFERROR(IF(L84+1&lt;=MAX('Patient Calcs'!$B$14:$B$65),L84+1,""),"")</f>
        <v>2</v>
      </c>
      <c r="N84" s="998">
        <f>IFERROR(IF(M84+1&lt;=MAX('Patient Calcs'!$B$14:$B$65),M84+1,""),"")</f>
        <v>3</v>
      </c>
      <c r="O84" s="998">
        <f>IFERROR(IF(N84+1&lt;=MAX('Patient Calcs'!$B$14:$B$65),N84+1,""),"")</f>
        <v>4</v>
      </c>
      <c r="P84" s="998">
        <f>IFERROR(IF(O84+1&lt;=MAX('Patient Calcs'!$B$14:$B$65),O84+1,""),"")</f>
        <v>5</v>
      </c>
      <c r="Q84" s="998">
        <f>IFERROR(IF(P84+1&lt;=MAX('Patient Calcs'!$B$14:$B$65),P84+1,""),"")</f>
        <v>6</v>
      </c>
      <c r="R84" s="998">
        <f>IFERROR(IF(Q84+1&lt;=MAX('Patient Calcs'!$B$14:$B$65),Q84+1,""),"")</f>
        <v>7</v>
      </c>
      <c r="S84" s="998">
        <f>IFERROR(IF(R84+1&lt;=MAX('Patient Calcs'!$B$14:$B$65),R84+1,""),"")</f>
        <v>8</v>
      </c>
      <c r="T84" s="998">
        <f>IFERROR(IF(S84+1&lt;=MAX('Patient Calcs'!$B$14:$B$65),S84+1,""),"")</f>
        <v>9</v>
      </c>
      <c r="U84" s="998">
        <f>IFERROR(IF(T84+1&lt;=MAX('Patient Calcs'!$B$14:$B$65),T84+1,""),"")</f>
        <v>10</v>
      </c>
      <c r="V84" s="998">
        <f>IFERROR(IF(U84+1&lt;=MAX('Patient Calcs'!$B$14:$B$65),U84+1,""),"")</f>
        <v>11</v>
      </c>
      <c r="W84" s="998">
        <f>IFERROR(IF(V84+1&lt;=MAX('Patient Calcs'!$B$14:$B$65),V84+1,""),"")</f>
        <v>12</v>
      </c>
      <c r="X84" s="998" t="str">
        <f>IFERROR(IF(W84+1&lt;=MAX('Patient Calcs'!$B$14:$B$65),W84+1,""),"")</f>
        <v/>
      </c>
      <c r="Y84" s="998" t="str">
        <f>IFERROR(IF(X84+1&lt;=MAX('Patient Calcs'!$B$14:$B$65),X84+1,""),"")</f>
        <v/>
      </c>
      <c r="Z84" s="998" t="str">
        <f>IFERROR(IF(Y84+1&lt;=MAX('Patient Calcs'!$B$14:$B$65),Y84+1,""),"")</f>
        <v/>
      </c>
      <c r="AA84" s="998" t="str">
        <f>IFERROR(IF(Z84+1&lt;=MAX('Patient Calcs'!$B$14:$B$65),Z84+1,""),"")</f>
        <v/>
      </c>
      <c r="AB84" s="998" t="str">
        <f>IFERROR(IF(AA84+1&lt;=MAX('Patient Calcs'!$B$14:$B$65),AA84+1,""),"")</f>
        <v/>
      </c>
      <c r="AC84" s="998" t="str">
        <f>IFERROR(IF(AB84+1&lt;=MAX('Patient Calcs'!$B$14:$B$65),AB84+1,""),"")</f>
        <v/>
      </c>
      <c r="AD84" s="998" t="str">
        <f>IFERROR(IF(AC84+1&lt;=MAX('Patient Calcs'!$B$14:$B$65),AC84+1,""),"")</f>
        <v/>
      </c>
      <c r="AE84" s="998" t="str">
        <f>IFERROR(IF(AD84+1&lt;=MAX('Patient Calcs'!$B$14:$B$65),AD84+1,""),"")</f>
        <v/>
      </c>
      <c r="AF84" s="998" t="str">
        <f>IFERROR(IF(AE84+1&lt;=MAX('Patient Calcs'!$B$14:$B$65),AE84+1,""),"")</f>
        <v/>
      </c>
      <c r="AG84" s="998" t="str">
        <f>IFERROR(IF(AF84+1&lt;=MAX('Patient Calcs'!$B$14:$B$65),AF84+1,""),"")</f>
        <v/>
      </c>
      <c r="AH84" s="998" t="str">
        <f>IFERROR(IF(AG84+1&lt;=MAX('Patient Calcs'!$B$14:$B$65),AG84+1,""),"")</f>
        <v/>
      </c>
      <c r="AI84" s="998" t="str">
        <f>IFERROR(IF(AH84+1&lt;=MAX('Patient Calcs'!$B$14:$B$65),AH84+1,""),"")</f>
        <v/>
      </c>
      <c r="AJ84" s="998" t="str">
        <f>IFERROR(IF(AI84+1&lt;=MAX('Patient Calcs'!$B$14:$B$65),AI84+1,""),"")</f>
        <v/>
      </c>
      <c r="AK84" s="998" t="str">
        <f>IFERROR(IF(AJ84+1&lt;=MAX('Patient Calcs'!$B$14:$B$65),AJ84+1,""),"")</f>
        <v/>
      </c>
      <c r="AL84" s="998" t="str">
        <f>IFERROR(IF(AK84+1&lt;=MAX('Patient Calcs'!$B$14:$B$65),AK84+1,""),"")</f>
        <v/>
      </c>
      <c r="AM84" s="998" t="str">
        <f>IFERROR(IF(AL84+1&lt;=MAX('Patient Calcs'!$B$14:$B$65),AL84+1,""),"")</f>
        <v/>
      </c>
      <c r="AN84" s="998" t="str">
        <f>IFERROR(IF(AM84+1&lt;=MAX('Patient Calcs'!$B$14:$B$65),AM84+1,""),"")</f>
        <v/>
      </c>
      <c r="AO84" s="998" t="str">
        <f>IFERROR(IF(AN84+1&lt;=MAX('Patient Calcs'!$B$14:$B$65),AN84+1,""),"")</f>
        <v/>
      </c>
      <c r="AP84" s="998" t="str">
        <f>IFERROR(IF(AO84+1&lt;=MAX('Patient Calcs'!$B$14:$B$65),AO84+1,""),"")</f>
        <v/>
      </c>
      <c r="AQ84" s="998" t="str">
        <f>IFERROR(IF(AP84+1&lt;=MAX('Patient Calcs'!$B$14:$B$65),AP84+1,""),"")</f>
        <v/>
      </c>
      <c r="AR84" s="998" t="str">
        <f>IFERROR(IF(AQ84+1&lt;=MAX('Patient Calcs'!$B$14:$B$65),AQ84+1,""),"")</f>
        <v/>
      </c>
      <c r="AS84" s="998" t="str">
        <f>IFERROR(IF(AR84+1&lt;=MAX('Patient Calcs'!$B$14:$B$65),AR84+1,""),"")</f>
        <v/>
      </c>
      <c r="AT84" s="998" t="str">
        <f>IFERROR(IF(AS84+1&lt;=MAX('Patient Calcs'!$B$14:$B$65),AS84+1,""),"")</f>
        <v/>
      </c>
      <c r="AU84" s="998" t="str">
        <f>IFERROR(IF(AT84+1&lt;=MAX('Patient Calcs'!$B$14:$B$65),AT84+1,""),"")</f>
        <v/>
      </c>
      <c r="AV84" s="998" t="str">
        <f>IFERROR(IF(AU84+1&lt;=MAX('Patient Calcs'!$B$14:$B$65),AU84+1,""),"")</f>
        <v/>
      </c>
      <c r="AW84" s="998" t="str">
        <f>IFERROR(IF(AV84+1&lt;=MAX('Patient Calcs'!$B$14:$B$65),AV84+1,""),"")</f>
        <v/>
      </c>
      <c r="AX84" s="998" t="str">
        <f>IFERROR(IF(AW84+1&lt;=MAX('Patient Calcs'!$B$14:$B$65),AW84+1,""),"")</f>
        <v/>
      </c>
      <c r="AY84" s="998" t="str">
        <f>IFERROR(IF(AX84+1&lt;=MAX('Patient Calcs'!$B$14:$B$65),AX84+1,""),"")</f>
        <v/>
      </c>
      <c r="AZ84" s="998" t="str">
        <f>IFERROR(IF(AY84+1&lt;=MAX('Patient Calcs'!$B$14:$B$65),AY84+1,""),"")</f>
        <v/>
      </c>
      <c r="BA84" s="998" t="str">
        <f>IFERROR(IF(AZ84+1&lt;=MAX('Patient Calcs'!$B$14:$B$65),AZ84+1,""),"")</f>
        <v/>
      </c>
      <c r="BB84" s="998" t="str">
        <f>IFERROR(IF(BA84+1&lt;=MAX('Patient Calcs'!$B$14:$B$65),BA84+1,""),"")</f>
        <v/>
      </c>
      <c r="BC84" s="998" t="str">
        <f>IFERROR(IF(BB84+1&lt;=MAX('Patient Calcs'!$B$14:$B$65),BB84+1,""),"")</f>
        <v/>
      </c>
      <c r="BD84" s="998" t="str">
        <f>IFERROR(IF(BC84+1&lt;=MAX('Patient Calcs'!$B$14:$B$65),BC84+1,""),"")</f>
        <v/>
      </c>
      <c r="BE84" s="998" t="str">
        <f>IFERROR(IF(BD84+1&lt;=MAX('Patient Calcs'!$B$14:$B$65),BD84+1,""),"")</f>
        <v/>
      </c>
      <c r="BF84" s="998" t="str">
        <f>IFERROR(IF(BE84+1&lt;=MAX('Patient Calcs'!$B$14:$B$65),BE84+1,""),"")</f>
        <v/>
      </c>
      <c r="BG84" s="998" t="str">
        <f>IFERROR(IF(BF84+1&lt;=MAX('Patient Calcs'!$B$14:$B$65),BF84+1,""),"")</f>
        <v/>
      </c>
      <c r="BH84" s="998" t="str">
        <f>IFERROR(IF(BG84+1&lt;=MAX('Patient Calcs'!$B$14:$B$65),BG84+1,""),"")</f>
        <v/>
      </c>
      <c r="BI84" s="998" t="str">
        <f>IFERROR(IF(BH84+1&lt;=MAX('Patient Calcs'!$B$14:$B$65),BH84+1,""),"")</f>
        <v/>
      </c>
      <c r="BJ84" s="998" t="str">
        <f>IFERROR(IF(BI84+1&lt;=MAX('Patient Calcs'!$B$14:$B$65),BI84+1,""),"")</f>
        <v/>
      </c>
      <c r="BK84" s="998" t="str">
        <f>IFERROR(IF(BJ84+1&lt;=MAX('Patient Calcs'!$B$14:$B$65),BJ84+1,""),"")</f>
        <v/>
      </c>
    </row>
    <row r="85" spans="2:66" s="87" customFormat="1" x14ac:dyDescent="0.75">
      <c r="B85" s="893" t="s">
        <v>263</v>
      </c>
      <c r="C85" s="896">
        <f ca="1">C84</f>
        <v>1091151.3457830597</v>
      </c>
      <c r="D85" s="894">
        <f ca="1">H225</f>
        <v>10248242.304278849</v>
      </c>
      <c r="E85" s="88"/>
      <c r="F85" s="88"/>
      <c r="G85" s="88"/>
      <c r="H85" s="133"/>
      <c r="I85" s="131"/>
      <c r="K85" s="998" t="s">
        <v>936</v>
      </c>
      <c r="L85" s="999">
        <f t="shared" ref="L85:AQ85" ca="1" si="6">IF(L$84&lt;=$I$12+1,F120,"")</f>
        <v>1.0356400576388092</v>
      </c>
      <c r="M85" s="999">
        <f t="shared" ca="1" si="6"/>
        <v>3.5224279777596768</v>
      </c>
      <c r="N85" s="999">
        <f t="shared" ca="1" si="6"/>
        <v>12.104740743843042</v>
      </c>
      <c r="O85" s="999">
        <f t="shared" ca="1" si="6"/>
        <v>41.596319168333075</v>
      </c>
      <c r="P85" s="999">
        <f t="shared" ca="1" si="6"/>
        <v>142.92438728532983</v>
      </c>
      <c r="Q85" s="999">
        <f t="shared" ca="1" si="6"/>
        <v>490.89992213052517</v>
      </c>
      <c r="R85" s="999">
        <f t="shared" ca="1" si="6"/>
        <v>1683.8900748723863</v>
      </c>
      <c r="S85" s="999">
        <f t="shared" ca="1" si="6"/>
        <v>5421.2228173866051</v>
      </c>
      <c r="T85" s="999">
        <f t="shared" ca="1" si="6"/>
        <v>8370.5634892178605</v>
      </c>
      <c r="U85" s="999">
        <f t="shared" ca="1" si="6"/>
        <v>8370.5634892178605</v>
      </c>
      <c r="V85" s="999">
        <f t="shared" ca="1" si="6"/>
        <v>8370.5634892178605</v>
      </c>
      <c r="W85" s="999">
        <f t="shared" ca="1" si="6"/>
        <v>8370.5634892178605</v>
      </c>
      <c r="X85" s="999" t="str">
        <f t="shared" si="6"/>
        <v/>
      </c>
      <c r="Y85" s="999" t="str">
        <f t="shared" si="6"/>
        <v/>
      </c>
      <c r="Z85" s="999" t="str">
        <f t="shared" si="6"/>
        <v/>
      </c>
      <c r="AA85" s="999" t="str">
        <f t="shared" si="6"/>
        <v/>
      </c>
      <c r="AB85" s="999" t="str">
        <f t="shared" si="6"/>
        <v/>
      </c>
      <c r="AC85" s="999" t="str">
        <f t="shared" si="6"/>
        <v/>
      </c>
      <c r="AD85" s="999" t="str">
        <f t="shared" si="6"/>
        <v/>
      </c>
      <c r="AE85" s="999" t="str">
        <f t="shared" si="6"/>
        <v/>
      </c>
      <c r="AF85" s="999" t="str">
        <f t="shared" si="6"/>
        <v/>
      </c>
      <c r="AG85" s="999" t="str">
        <f t="shared" si="6"/>
        <v/>
      </c>
      <c r="AH85" s="999" t="str">
        <f t="shared" si="6"/>
        <v/>
      </c>
      <c r="AI85" s="999" t="str">
        <f t="shared" si="6"/>
        <v/>
      </c>
      <c r="AJ85" s="999" t="str">
        <f t="shared" si="6"/>
        <v/>
      </c>
      <c r="AK85" s="999" t="str">
        <f t="shared" si="6"/>
        <v/>
      </c>
      <c r="AL85" s="999" t="str">
        <f t="shared" si="6"/>
        <v/>
      </c>
      <c r="AM85" s="999" t="str">
        <f t="shared" si="6"/>
        <v/>
      </c>
      <c r="AN85" s="999" t="str">
        <f t="shared" si="6"/>
        <v/>
      </c>
      <c r="AO85" s="999" t="str">
        <f t="shared" si="6"/>
        <v/>
      </c>
      <c r="AP85" s="999" t="str">
        <f t="shared" si="6"/>
        <v/>
      </c>
      <c r="AQ85" s="999" t="str">
        <f t="shared" si="6"/>
        <v/>
      </c>
      <c r="AR85" s="999" t="str">
        <f t="shared" ref="AR85:BK85" si="7">IF(AR$84&lt;=$I$12+1,AL120,"")</f>
        <v/>
      </c>
      <c r="AS85" s="999" t="str">
        <f t="shared" si="7"/>
        <v/>
      </c>
      <c r="AT85" s="999" t="str">
        <f t="shared" si="7"/>
        <v/>
      </c>
      <c r="AU85" s="999" t="str">
        <f t="shared" si="7"/>
        <v/>
      </c>
      <c r="AV85" s="999" t="str">
        <f t="shared" si="7"/>
        <v/>
      </c>
      <c r="AW85" s="999" t="str">
        <f t="shared" si="7"/>
        <v/>
      </c>
      <c r="AX85" s="999" t="str">
        <f t="shared" si="7"/>
        <v/>
      </c>
      <c r="AY85" s="999" t="str">
        <f t="shared" si="7"/>
        <v/>
      </c>
      <c r="AZ85" s="999" t="str">
        <f t="shared" si="7"/>
        <v/>
      </c>
      <c r="BA85" s="999" t="str">
        <f t="shared" si="7"/>
        <v/>
      </c>
      <c r="BB85" s="999" t="str">
        <f t="shared" si="7"/>
        <v/>
      </c>
      <c r="BC85" s="999" t="str">
        <f t="shared" si="7"/>
        <v/>
      </c>
      <c r="BD85" s="999" t="str">
        <f t="shared" si="7"/>
        <v/>
      </c>
      <c r="BE85" s="999" t="str">
        <f t="shared" si="7"/>
        <v/>
      </c>
      <c r="BF85" s="999" t="str">
        <f t="shared" si="7"/>
        <v/>
      </c>
      <c r="BG85" s="999" t="str">
        <f t="shared" si="7"/>
        <v/>
      </c>
      <c r="BH85" s="999" t="str">
        <f t="shared" si="7"/>
        <v/>
      </c>
      <c r="BI85" s="999" t="str">
        <f t="shared" si="7"/>
        <v/>
      </c>
      <c r="BJ85" s="999" t="str">
        <f t="shared" si="7"/>
        <v/>
      </c>
      <c r="BK85" s="999" t="str">
        <f t="shared" si="7"/>
        <v/>
      </c>
      <c r="BL85" s="318"/>
      <c r="BM85" s="318"/>
      <c r="BN85" s="318"/>
    </row>
    <row r="86" spans="2:66" s="87" customFormat="1" x14ac:dyDescent="0.75">
      <c r="B86" s="893" t="s">
        <v>262</v>
      </c>
      <c r="C86" s="896">
        <f ca="1">SUM(C85:D85)</f>
        <v>11339393.650061909</v>
      </c>
      <c r="D86" s="894">
        <f ca="1">H226</f>
        <v>5211822.4664957812</v>
      </c>
      <c r="E86" s="88"/>
      <c r="F86" s="88"/>
      <c r="G86" s="88"/>
      <c r="H86" s="133"/>
      <c r="I86" s="131"/>
      <c r="K86" s="998" t="s">
        <v>1007</v>
      </c>
      <c r="L86" s="999">
        <f t="shared" ref="L86:AQ86" si="8">IF(L$84&lt;=$I$12+1,F125,"")</f>
        <v>0</v>
      </c>
      <c r="M86" s="999">
        <f t="shared" si="8"/>
        <v>0</v>
      </c>
      <c r="N86" s="999">
        <f t="shared" si="8"/>
        <v>0</v>
      </c>
      <c r="O86" s="999">
        <f t="shared" si="8"/>
        <v>0</v>
      </c>
      <c r="P86" s="999">
        <f t="shared" si="8"/>
        <v>0</v>
      </c>
      <c r="Q86" s="999">
        <f t="shared" si="8"/>
        <v>0</v>
      </c>
      <c r="R86" s="999">
        <f t="shared" si="8"/>
        <v>0</v>
      </c>
      <c r="S86" s="999">
        <f t="shared" si="8"/>
        <v>0</v>
      </c>
      <c r="T86" s="999">
        <f t="shared" si="8"/>
        <v>0</v>
      </c>
      <c r="U86" s="999">
        <f t="shared" si="8"/>
        <v>0</v>
      </c>
      <c r="V86" s="999">
        <f t="shared" si="8"/>
        <v>0</v>
      </c>
      <c r="W86" s="999">
        <f t="shared" si="8"/>
        <v>0</v>
      </c>
      <c r="X86" s="999" t="str">
        <f t="shared" si="8"/>
        <v/>
      </c>
      <c r="Y86" s="999" t="str">
        <f t="shared" si="8"/>
        <v/>
      </c>
      <c r="Z86" s="999" t="str">
        <f t="shared" si="8"/>
        <v/>
      </c>
      <c r="AA86" s="999" t="str">
        <f t="shared" si="8"/>
        <v/>
      </c>
      <c r="AB86" s="999" t="str">
        <f t="shared" si="8"/>
        <v/>
      </c>
      <c r="AC86" s="999" t="str">
        <f t="shared" si="8"/>
        <v/>
      </c>
      <c r="AD86" s="999" t="str">
        <f t="shared" si="8"/>
        <v/>
      </c>
      <c r="AE86" s="999" t="str">
        <f t="shared" si="8"/>
        <v/>
      </c>
      <c r="AF86" s="999" t="str">
        <f t="shared" si="8"/>
        <v/>
      </c>
      <c r="AG86" s="999" t="str">
        <f t="shared" si="8"/>
        <v/>
      </c>
      <c r="AH86" s="999" t="str">
        <f t="shared" si="8"/>
        <v/>
      </c>
      <c r="AI86" s="999" t="str">
        <f t="shared" si="8"/>
        <v/>
      </c>
      <c r="AJ86" s="999" t="str">
        <f t="shared" si="8"/>
        <v/>
      </c>
      <c r="AK86" s="999" t="str">
        <f t="shared" si="8"/>
        <v/>
      </c>
      <c r="AL86" s="999" t="str">
        <f t="shared" si="8"/>
        <v/>
      </c>
      <c r="AM86" s="999" t="str">
        <f t="shared" si="8"/>
        <v/>
      </c>
      <c r="AN86" s="999" t="str">
        <f t="shared" si="8"/>
        <v/>
      </c>
      <c r="AO86" s="999" t="str">
        <f t="shared" si="8"/>
        <v/>
      </c>
      <c r="AP86" s="999" t="str">
        <f t="shared" si="8"/>
        <v/>
      </c>
      <c r="AQ86" s="999" t="str">
        <f t="shared" si="8"/>
        <v/>
      </c>
      <c r="AR86" s="999" t="str">
        <f t="shared" ref="AR86:BK86" si="9">IF(AR$84&lt;=$I$12+1,AL125,"")</f>
        <v/>
      </c>
      <c r="AS86" s="999" t="str">
        <f t="shared" si="9"/>
        <v/>
      </c>
      <c r="AT86" s="999" t="str">
        <f t="shared" si="9"/>
        <v/>
      </c>
      <c r="AU86" s="999" t="str">
        <f t="shared" si="9"/>
        <v/>
      </c>
      <c r="AV86" s="999" t="str">
        <f t="shared" si="9"/>
        <v/>
      </c>
      <c r="AW86" s="999" t="str">
        <f t="shared" si="9"/>
        <v/>
      </c>
      <c r="AX86" s="999" t="str">
        <f t="shared" si="9"/>
        <v/>
      </c>
      <c r="AY86" s="999" t="str">
        <f t="shared" si="9"/>
        <v/>
      </c>
      <c r="AZ86" s="999" t="str">
        <f t="shared" si="9"/>
        <v/>
      </c>
      <c r="BA86" s="999" t="str">
        <f t="shared" si="9"/>
        <v/>
      </c>
      <c r="BB86" s="999" t="str">
        <f t="shared" si="9"/>
        <v/>
      </c>
      <c r="BC86" s="999" t="str">
        <f t="shared" si="9"/>
        <v/>
      </c>
      <c r="BD86" s="999" t="str">
        <f t="shared" si="9"/>
        <v/>
      </c>
      <c r="BE86" s="999" t="str">
        <f t="shared" si="9"/>
        <v/>
      </c>
      <c r="BF86" s="999" t="str">
        <f t="shared" si="9"/>
        <v/>
      </c>
      <c r="BG86" s="999" t="str">
        <f t="shared" si="9"/>
        <v/>
      </c>
      <c r="BH86" s="999" t="str">
        <f t="shared" si="9"/>
        <v/>
      </c>
      <c r="BI86" s="999" t="str">
        <f t="shared" si="9"/>
        <v/>
      </c>
      <c r="BJ86" s="999" t="str">
        <f t="shared" si="9"/>
        <v/>
      </c>
      <c r="BK86" s="999" t="str">
        <f t="shared" si="9"/>
        <v/>
      </c>
    </row>
    <row r="87" spans="2:66" s="87" customFormat="1" x14ac:dyDescent="0.75">
      <c r="B87" s="893" t="s">
        <v>647</v>
      </c>
      <c r="C87" s="896">
        <f ca="1">SUM(C86:D86)</f>
        <v>16551216.116557691</v>
      </c>
      <c r="D87" s="894">
        <f ca="1">H227</f>
        <v>19170993.10789616</v>
      </c>
      <c r="E87" s="88"/>
      <c r="F87" s="88"/>
      <c r="G87" s="88"/>
      <c r="H87" s="133"/>
      <c r="I87" s="131"/>
      <c r="K87" s="998" t="s">
        <v>1529</v>
      </c>
      <c r="L87" s="999">
        <f t="shared" ref="L87:AQ87" ca="1" si="10">IF(L$84&lt;=$I$12+1,F128,"")</f>
        <v>1</v>
      </c>
      <c r="M87" s="999">
        <f t="shared" ca="1" si="10"/>
        <v>1</v>
      </c>
      <c r="N87" s="999">
        <f t="shared" ca="1" si="10"/>
        <v>1</v>
      </c>
      <c r="O87" s="999">
        <f t="shared" ca="1" si="10"/>
        <v>1</v>
      </c>
      <c r="P87" s="999">
        <f t="shared" ca="1" si="10"/>
        <v>3</v>
      </c>
      <c r="Q87" s="999">
        <f t="shared" ca="1" si="10"/>
        <v>10</v>
      </c>
      <c r="R87" s="999">
        <f t="shared" ca="1" si="10"/>
        <v>34</v>
      </c>
      <c r="S87" s="999">
        <f t="shared" ca="1" si="10"/>
        <v>113</v>
      </c>
      <c r="T87" s="999">
        <f t="shared" ca="1" si="10"/>
        <v>380</v>
      </c>
      <c r="U87" s="999">
        <f t="shared" ca="1" si="10"/>
        <v>913.83651078213904</v>
      </c>
      <c r="V87" s="999">
        <f t="shared" ca="1" si="10"/>
        <v>913.83651078213904</v>
      </c>
      <c r="W87" s="999">
        <f t="shared" ca="1" si="10"/>
        <v>913.83651078213904</v>
      </c>
      <c r="X87" s="999" t="str">
        <f t="shared" si="10"/>
        <v/>
      </c>
      <c r="Y87" s="999" t="str">
        <f t="shared" si="10"/>
        <v/>
      </c>
      <c r="Z87" s="999" t="str">
        <f t="shared" si="10"/>
        <v/>
      </c>
      <c r="AA87" s="999" t="str">
        <f t="shared" si="10"/>
        <v/>
      </c>
      <c r="AB87" s="999" t="str">
        <f t="shared" si="10"/>
        <v/>
      </c>
      <c r="AC87" s="999" t="str">
        <f t="shared" si="10"/>
        <v/>
      </c>
      <c r="AD87" s="999" t="str">
        <f t="shared" si="10"/>
        <v/>
      </c>
      <c r="AE87" s="999" t="str">
        <f t="shared" si="10"/>
        <v/>
      </c>
      <c r="AF87" s="999" t="str">
        <f t="shared" si="10"/>
        <v/>
      </c>
      <c r="AG87" s="999" t="str">
        <f t="shared" si="10"/>
        <v/>
      </c>
      <c r="AH87" s="999" t="str">
        <f t="shared" si="10"/>
        <v/>
      </c>
      <c r="AI87" s="999" t="str">
        <f t="shared" si="10"/>
        <v/>
      </c>
      <c r="AJ87" s="999" t="str">
        <f t="shared" si="10"/>
        <v/>
      </c>
      <c r="AK87" s="999" t="str">
        <f t="shared" si="10"/>
        <v/>
      </c>
      <c r="AL87" s="999" t="str">
        <f t="shared" si="10"/>
        <v/>
      </c>
      <c r="AM87" s="999" t="str">
        <f t="shared" si="10"/>
        <v/>
      </c>
      <c r="AN87" s="999" t="str">
        <f t="shared" si="10"/>
        <v/>
      </c>
      <c r="AO87" s="999" t="str">
        <f t="shared" si="10"/>
        <v/>
      </c>
      <c r="AP87" s="999" t="str">
        <f t="shared" si="10"/>
        <v/>
      </c>
      <c r="AQ87" s="999" t="str">
        <f t="shared" si="10"/>
        <v/>
      </c>
      <c r="AR87" s="999" t="str">
        <f t="shared" ref="AR87:BK87" si="11">IF(AR$84&lt;=$I$12+1,AL128,"")</f>
        <v/>
      </c>
      <c r="AS87" s="999" t="str">
        <f t="shared" si="11"/>
        <v/>
      </c>
      <c r="AT87" s="999" t="str">
        <f t="shared" si="11"/>
        <v/>
      </c>
      <c r="AU87" s="999" t="str">
        <f t="shared" si="11"/>
        <v/>
      </c>
      <c r="AV87" s="999" t="str">
        <f t="shared" si="11"/>
        <v/>
      </c>
      <c r="AW87" s="999" t="str">
        <f t="shared" si="11"/>
        <v/>
      </c>
      <c r="AX87" s="999" t="str">
        <f t="shared" si="11"/>
        <v/>
      </c>
      <c r="AY87" s="999" t="str">
        <f t="shared" si="11"/>
        <v/>
      </c>
      <c r="AZ87" s="999" t="str">
        <f t="shared" si="11"/>
        <v/>
      </c>
      <c r="BA87" s="999" t="str">
        <f t="shared" si="11"/>
        <v/>
      </c>
      <c r="BB87" s="999" t="str">
        <f t="shared" si="11"/>
        <v/>
      </c>
      <c r="BC87" s="999" t="str">
        <f t="shared" si="11"/>
        <v/>
      </c>
      <c r="BD87" s="999" t="str">
        <f t="shared" si="11"/>
        <v/>
      </c>
      <c r="BE87" s="999" t="str">
        <f t="shared" si="11"/>
        <v/>
      </c>
      <c r="BF87" s="999" t="str">
        <f t="shared" si="11"/>
        <v/>
      </c>
      <c r="BG87" s="999" t="str">
        <f t="shared" si="11"/>
        <v/>
      </c>
      <c r="BH87" s="999" t="str">
        <f t="shared" si="11"/>
        <v/>
      </c>
      <c r="BI87" s="999" t="str">
        <f t="shared" si="11"/>
        <v/>
      </c>
      <c r="BJ87" s="999" t="str">
        <f t="shared" si="11"/>
        <v/>
      </c>
      <c r="BK87" s="999" t="str">
        <f t="shared" si="11"/>
        <v/>
      </c>
    </row>
    <row r="88" spans="2:66" s="87" customFormat="1" x14ac:dyDescent="0.75">
      <c r="B88" s="895" t="s">
        <v>614</v>
      </c>
      <c r="C88" s="896">
        <f ca="1">SUM(C87:D87)</f>
        <v>35722209.224453852</v>
      </c>
      <c r="D88" s="894">
        <f ca="1">H228</f>
        <v>57437687.74496001</v>
      </c>
      <c r="E88" s="88"/>
      <c r="F88" s="88"/>
      <c r="G88" s="88"/>
      <c r="H88" s="133"/>
      <c r="I88" s="131"/>
      <c r="K88" s="319"/>
      <c r="L88" s="319"/>
      <c r="M88" s="319"/>
      <c r="N88" s="319"/>
      <c r="O88" s="319"/>
      <c r="P88" s="319"/>
      <c r="Q88" s="319"/>
      <c r="R88" s="319"/>
      <c r="S88" s="319"/>
      <c r="T88" s="319"/>
      <c r="U88" s="319"/>
      <c r="X88" s="118"/>
    </row>
    <row r="89" spans="2:66" s="87" customFormat="1" x14ac:dyDescent="0.75">
      <c r="B89" s="897" t="s">
        <v>1030</v>
      </c>
      <c r="C89" s="896">
        <f ca="1">SUM(C88:D88)</f>
        <v>93159896.969413862</v>
      </c>
      <c r="D89" s="894">
        <f ca="1">H229</f>
        <v>761335.37801817025</v>
      </c>
      <c r="E89" s="88"/>
      <c r="F89" s="88"/>
      <c r="G89" s="88"/>
      <c r="H89" s="133"/>
      <c r="I89" s="131"/>
      <c r="K89" s="319"/>
      <c r="L89" s="319"/>
      <c r="M89" s="319"/>
      <c r="N89" s="319"/>
      <c r="O89" s="319"/>
      <c r="P89" s="319"/>
      <c r="Q89" s="319"/>
      <c r="R89" s="319"/>
      <c r="S89" s="319"/>
      <c r="T89" s="319"/>
      <c r="U89" s="319"/>
      <c r="X89" s="118"/>
    </row>
    <row r="90" spans="2:66" s="87" customFormat="1" x14ac:dyDescent="0.75">
      <c r="B90" s="897" t="s">
        <v>259</v>
      </c>
      <c r="C90" s="896">
        <f ca="1">SUM(C89:D89)</f>
        <v>93921232.347432032</v>
      </c>
      <c r="D90" s="895"/>
      <c r="E90" s="88"/>
      <c r="F90" s="88"/>
      <c r="G90" s="88"/>
      <c r="H90" s="133"/>
      <c r="I90" s="131"/>
      <c r="K90" s="319"/>
      <c r="L90" s="319"/>
      <c r="M90" s="957"/>
      <c r="N90" s="319"/>
      <c r="O90" s="319"/>
      <c r="P90" s="319"/>
      <c r="Q90" s="319"/>
      <c r="R90" s="319"/>
      <c r="S90" s="319"/>
      <c r="T90" s="319"/>
      <c r="U90" s="319"/>
      <c r="X90" s="118"/>
    </row>
    <row r="91" spans="2:66" s="87" customFormat="1" x14ac:dyDescent="0.75">
      <c r="B91" s="104"/>
      <c r="C91" s="104"/>
      <c r="D91" s="104"/>
      <c r="E91" s="88"/>
      <c r="F91" s="88"/>
      <c r="G91" s="88"/>
      <c r="H91" s="133"/>
      <c r="I91" s="131"/>
      <c r="K91" s="319"/>
      <c r="L91" s="319"/>
      <c r="M91" s="957"/>
      <c r="N91" s="319"/>
      <c r="O91" s="319"/>
      <c r="P91" s="319"/>
      <c r="Q91" s="319"/>
      <c r="R91" s="319"/>
      <c r="S91" s="319"/>
      <c r="T91" s="319"/>
      <c r="U91" s="319"/>
      <c r="X91" s="118"/>
    </row>
    <row r="92" spans="2:66" s="87" customFormat="1" x14ac:dyDescent="0.75">
      <c r="B92" s="88"/>
      <c r="C92" s="88"/>
      <c r="D92" s="88"/>
      <c r="E92" s="88"/>
      <c r="F92" s="88"/>
      <c r="G92" s="88"/>
      <c r="H92" s="133"/>
      <c r="I92" s="131"/>
      <c r="K92" s="319"/>
      <c r="L92" s="319"/>
      <c r="M92" s="957"/>
      <c r="N92" s="319"/>
      <c r="O92" s="319"/>
      <c r="P92" s="319"/>
      <c r="Q92" s="319"/>
      <c r="R92" s="319"/>
      <c r="S92" s="319"/>
      <c r="T92" s="319"/>
      <c r="U92" s="319"/>
      <c r="X92" s="118"/>
    </row>
    <row r="93" spans="2:66" s="87" customFormat="1" x14ac:dyDescent="0.75">
      <c r="B93" s="88"/>
      <c r="C93" s="88"/>
      <c r="D93" s="88"/>
      <c r="E93" s="88"/>
      <c r="F93" s="88"/>
      <c r="G93" s="88"/>
      <c r="H93" s="133"/>
      <c r="I93" s="131"/>
      <c r="K93" s="319"/>
      <c r="L93" s="319"/>
      <c r="M93" s="957"/>
      <c r="N93" s="319"/>
      <c r="O93" s="319"/>
      <c r="P93" s="319"/>
      <c r="Q93" s="319"/>
      <c r="R93" s="319"/>
      <c r="S93" s="319"/>
      <c r="T93" s="319"/>
      <c r="U93" s="319"/>
      <c r="X93" s="118"/>
    </row>
    <row r="94" spans="2:66" s="87" customFormat="1" ht="15.5" thickBot="1" x14ac:dyDescent="0.9">
      <c r="B94" s="88"/>
      <c r="C94" s="88"/>
      <c r="D94" s="88"/>
      <c r="E94" s="88"/>
      <c r="F94" s="88"/>
      <c r="G94" s="88"/>
      <c r="H94" s="133"/>
      <c r="I94" s="131"/>
      <c r="K94" s="319"/>
      <c r="L94" s="319"/>
      <c r="M94" s="319"/>
      <c r="N94" s="319"/>
      <c r="O94" s="319"/>
      <c r="P94" s="319"/>
      <c r="Q94" s="319"/>
      <c r="R94" s="319"/>
      <c r="S94" s="319"/>
      <c r="T94" s="319"/>
      <c r="U94" s="319"/>
      <c r="X94" s="118"/>
    </row>
    <row r="95" spans="2:66" s="87" customFormat="1" ht="15.5" thickBot="1" x14ac:dyDescent="0.9">
      <c r="B95" s="138" t="s">
        <v>935</v>
      </c>
      <c r="C95" s="316">
        <f ca="1">H231</f>
        <v>93921232.347432032</v>
      </c>
      <c r="D95" s="88"/>
      <c r="F95" s="412" t="s">
        <v>1547</v>
      </c>
      <c r="G95"/>
      <c r="H95"/>
      <c r="I95" s="131"/>
      <c r="K95" s="319"/>
      <c r="L95" s="319"/>
      <c r="M95" s="319"/>
      <c r="N95" s="319"/>
      <c r="O95" s="319"/>
      <c r="P95" s="319"/>
      <c r="Q95" s="319"/>
      <c r="R95" s="319"/>
      <c r="S95" s="319"/>
      <c r="T95" s="319"/>
      <c r="U95" s="319"/>
      <c r="X95" s="118"/>
    </row>
    <row r="96" spans="2:66" s="87" customFormat="1" x14ac:dyDescent="0.75">
      <c r="B96" s="412" t="s">
        <v>1876</v>
      </c>
      <c r="C96" s="88"/>
      <c r="D96" s="88"/>
      <c r="E96" s="88"/>
      <c r="F96" s="88"/>
      <c r="G96" s="88"/>
      <c r="H96" s="133"/>
      <c r="I96" s="131"/>
      <c r="K96" s="319"/>
      <c r="L96" s="319"/>
      <c r="M96" s="319"/>
      <c r="N96" s="319"/>
      <c r="O96" s="319"/>
      <c r="P96" s="319"/>
      <c r="Q96" s="319"/>
      <c r="R96" s="319"/>
      <c r="S96" s="319"/>
      <c r="T96" s="319"/>
      <c r="U96" s="319"/>
      <c r="X96" s="118"/>
    </row>
    <row r="97" spans="1:66" s="997" customFormat="1" ht="15.5" thickBot="1" x14ac:dyDescent="0.9">
      <c r="B97" s="88"/>
      <c r="C97" s="88"/>
      <c r="D97" s="88"/>
      <c r="E97" s="88"/>
      <c r="F97" s="88"/>
      <c r="G97" s="88"/>
      <c r="H97" s="133"/>
      <c r="I97" s="131"/>
      <c r="K97" s="1013"/>
      <c r="L97" s="1013"/>
      <c r="M97" s="1013"/>
      <c r="N97" s="1013"/>
      <c r="O97" s="1013"/>
      <c r="P97" s="1013"/>
      <c r="Q97" s="1013"/>
      <c r="R97" s="1013"/>
      <c r="S97" s="1013"/>
      <c r="T97" s="1013"/>
      <c r="U97" s="1013"/>
      <c r="X97" s="998"/>
    </row>
    <row r="98" spans="1:66" s="87" customFormat="1" x14ac:dyDescent="0.75">
      <c r="B98" s="110" t="s">
        <v>745</v>
      </c>
      <c r="C98" s="111"/>
      <c r="D98" s="111"/>
      <c r="E98" s="111"/>
      <c r="F98" s="112" t="s">
        <v>259</v>
      </c>
      <c r="G98" s="775" t="s">
        <v>1440</v>
      </c>
      <c r="K98" s="963"/>
      <c r="L98" s="963"/>
      <c r="M98" s="319"/>
      <c r="N98" s="319"/>
      <c r="O98" s="319"/>
      <c r="P98" s="319"/>
      <c r="Q98" s="319"/>
      <c r="R98" s="319"/>
      <c r="S98" s="319"/>
      <c r="T98" s="319"/>
      <c r="U98" s="319"/>
      <c r="X98" s="118"/>
    </row>
    <row r="99" spans="1:66" x14ac:dyDescent="0.75">
      <c r="B99" s="113" t="s">
        <v>1059</v>
      </c>
      <c r="C99" s="114"/>
      <c r="D99" s="114"/>
      <c r="E99" s="114"/>
      <c r="F99" s="300">
        <f>Total_new_cases_for_period</f>
        <v>1623814.1884616646</v>
      </c>
      <c r="G99" s="115"/>
      <c r="K99" s="963"/>
      <c r="L99" s="963"/>
      <c r="M99" s="319"/>
      <c r="N99" s="319"/>
      <c r="O99" s="319"/>
      <c r="P99" s="319"/>
      <c r="Q99" s="319"/>
      <c r="R99" s="319"/>
      <c r="S99" s="319"/>
      <c r="T99" s="319"/>
      <c r="U99" s="319"/>
    </row>
    <row r="100" spans="1:66" x14ac:dyDescent="0.75">
      <c r="B100" s="134" t="s">
        <v>602</v>
      </c>
      <c r="C100" s="114"/>
      <c r="D100" s="114"/>
      <c r="E100" s="114"/>
      <c r="F100" s="300">
        <f>Total_mild_cases_for_period</f>
        <v>649525.67538466584</v>
      </c>
      <c r="G100" s="115"/>
      <c r="K100" s="963"/>
      <c r="L100" s="963"/>
      <c r="M100" s="319"/>
      <c r="N100" s="319"/>
      <c r="O100" s="319"/>
      <c r="P100" s="319"/>
      <c r="Q100" s="319"/>
      <c r="R100" s="319"/>
      <c r="S100" s="319"/>
      <c r="T100" s="319"/>
      <c r="U100" s="319"/>
    </row>
    <row r="101" spans="1:66" x14ac:dyDescent="0.75">
      <c r="B101" s="134" t="s">
        <v>1004</v>
      </c>
      <c r="C101" s="114"/>
      <c r="D101" s="114"/>
      <c r="E101" s="114"/>
      <c r="F101" s="300">
        <f>Patients!BF35</f>
        <v>649525.67538466584</v>
      </c>
      <c r="G101" s="115"/>
      <c r="K101" s="94"/>
      <c r="L101" s="94"/>
    </row>
    <row r="102" spans="1:66" x14ac:dyDescent="0.75">
      <c r="B102" s="135" t="s">
        <v>650</v>
      </c>
      <c r="C102" s="114"/>
      <c r="D102" s="114"/>
      <c r="E102" s="114"/>
      <c r="F102" s="300">
        <f>Total_severe_cases_for_period</f>
        <v>243572.12826924969</v>
      </c>
      <c r="G102" s="115"/>
      <c r="J102" s="116"/>
      <c r="K102" s="94"/>
      <c r="L102" s="94"/>
    </row>
    <row r="103" spans="1:66" x14ac:dyDescent="0.75">
      <c r="B103" s="135" t="s">
        <v>651</v>
      </c>
      <c r="C103" s="114"/>
      <c r="D103" s="114"/>
      <c r="E103" s="114"/>
      <c r="F103" s="300">
        <f>Total_critical_cases_for_period</f>
        <v>81190.70942308323</v>
      </c>
      <c r="G103" s="115"/>
      <c r="J103" s="116"/>
      <c r="K103" s="94"/>
      <c r="L103" s="94"/>
    </row>
    <row r="104" spans="1:66" x14ac:dyDescent="0.75">
      <c r="B104" s="113" t="s">
        <v>1060</v>
      </c>
      <c r="C104" s="114"/>
      <c r="D104" s="114"/>
      <c r="E104" s="114"/>
      <c r="F104" s="300">
        <f ca="1">Max_total_capped_beds</f>
        <v>22060.799999999999</v>
      </c>
      <c r="G104" s="92"/>
      <c r="I104" s="116"/>
      <c r="K104" s="94"/>
      <c r="L104" s="94"/>
    </row>
    <row r="105" spans="1:66" x14ac:dyDescent="0.75">
      <c r="B105" s="136" t="s">
        <v>599</v>
      </c>
      <c r="C105" s="137"/>
      <c r="D105" s="137"/>
      <c r="E105" s="137"/>
      <c r="F105" s="301">
        <f ca="1">Max_severe_capped_beds</f>
        <v>21185.721600000001</v>
      </c>
      <c r="G105" s="87"/>
      <c r="I105" s="116"/>
      <c r="K105" s="94"/>
      <c r="L105" s="94"/>
    </row>
    <row r="106" spans="1:66" x14ac:dyDescent="0.75">
      <c r="B106" s="136" t="s">
        <v>1404</v>
      </c>
      <c r="C106" s="137"/>
      <c r="D106" s="137"/>
      <c r="E106" s="137"/>
      <c r="F106" s="301">
        <f ca="1">Max_critical_capped_beds</f>
        <v>875.0784000000001</v>
      </c>
      <c r="G106" s="87"/>
      <c r="I106" s="116"/>
      <c r="K106" s="94"/>
      <c r="L106" s="94"/>
    </row>
    <row r="107" spans="1:66" s="132" customFormat="1" x14ac:dyDescent="0.75">
      <c r="A107" s="87"/>
      <c r="B107" s="404" t="s">
        <v>1403</v>
      </c>
      <c r="C107" s="137"/>
      <c r="D107" s="137"/>
      <c r="E107" s="137"/>
      <c r="F107" s="301">
        <f ca="1">C58</f>
        <v>78248.951460800658</v>
      </c>
      <c r="G107" s="87"/>
      <c r="H107" s="87"/>
      <c r="I107" s="116"/>
      <c r="J107" s="87"/>
      <c r="K107" s="94"/>
      <c r="L107" s="94"/>
      <c r="M107" s="87"/>
      <c r="N107" s="87"/>
      <c r="O107" s="87"/>
      <c r="P107" s="87"/>
      <c r="Q107" s="87"/>
      <c r="R107" s="87"/>
      <c r="S107" s="87"/>
      <c r="T107" s="87"/>
      <c r="U107" s="87"/>
      <c r="V107" s="87"/>
      <c r="W107" s="87"/>
      <c r="X107" s="118"/>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row>
    <row r="108" spans="1:66" s="132" customFormat="1" x14ac:dyDescent="0.75">
      <c r="A108" s="87"/>
      <c r="B108" s="136" t="s">
        <v>599</v>
      </c>
      <c r="C108" s="137"/>
      <c r="D108" s="137"/>
      <c r="E108" s="137"/>
      <c r="F108" s="301">
        <f ca="1">C51</f>
        <v>75523.102586447159</v>
      </c>
      <c r="G108" s="87"/>
      <c r="H108" s="87"/>
      <c r="I108" s="116"/>
      <c r="J108" s="87"/>
      <c r="K108" s="94"/>
      <c r="L108" s="94"/>
      <c r="M108" s="87"/>
      <c r="N108" s="87"/>
      <c r="O108" s="87"/>
      <c r="P108" s="87"/>
      <c r="Q108" s="87"/>
      <c r="R108" s="87"/>
      <c r="S108" s="87"/>
      <c r="T108" s="87"/>
      <c r="U108" s="87"/>
      <c r="V108" s="87"/>
      <c r="W108" s="87"/>
      <c r="X108" s="118"/>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row>
    <row r="109" spans="1:66" s="132" customFormat="1" x14ac:dyDescent="0.75">
      <c r="A109" s="87"/>
      <c r="B109" s="136" t="s">
        <v>1404</v>
      </c>
      <c r="C109" s="137"/>
      <c r="D109" s="137"/>
      <c r="E109" s="137"/>
      <c r="F109" s="301">
        <f ca="1">C52</f>
        <v>2725.8488743535049</v>
      </c>
      <c r="G109" s="87"/>
      <c r="H109" s="87"/>
      <c r="I109" s="116"/>
      <c r="J109" s="87"/>
      <c r="K109" s="94"/>
      <c r="L109" s="94"/>
      <c r="M109" s="87"/>
      <c r="N109" s="87"/>
      <c r="O109" s="87"/>
      <c r="P109" s="87"/>
      <c r="Q109" s="87"/>
      <c r="R109" s="87"/>
      <c r="S109" s="87"/>
      <c r="T109" s="87"/>
      <c r="U109" s="87"/>
      <c r="V109" s="87"/>
      <c r="W109" s="87"/>
      <c r="X109" s="118"/>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row>
    <row r="110" spans="1:66" x14ac:dyDescent="0.75">
      <c r="B110" s="404" t="str">
        <f>"Total number of tests based on testing algorithm and "&amp;Mild_testing_strategy&amp;" strategy and capped by testing capacity "</f>
        <v xml:space="preserve">Total number of tests based on testing algorithm and Targeted strategy and capped by testing capacity </v>
      </c>
      <c r="C110" s="137"/>
      <c r="D110" s="137"/>
      <c r="E110" s="403"/>
      <c r="F110" s="301">
        <f ca="1">C78</f>
        <v>322517.5206073692</v>
      </c>
      <c r="G110" s="87"/>
      <c r="K110" s="94"/>
      <c r="L110" s="94"/>
    </row>
    <row r="111" spans="1:66" ht="15.5" thickBot="1" x14ac:dyDescent="0.9">
      <c r="A111" s="117"/>
      <c r="B111" s="397" t="s">
        <v>1025</v>
      </c>
      <c r="C111" s="398"/>
      <c r="D111" s="398"/>
      <c r="E111" s="398"/>
      <c r="F111" s="215">
        <f ca="1">'Back Calculations'!C80</f>
        <v>342877.77792000002</v>
      </c>
    </row>
    <row r="113" spans="1:66" s="89" customFormat="1" ht="17.25" x14ac:dyDescent="0.85">
      <c r="B113" s="90" t="s">
        <v>746</v>
      </c>
      <c r="C113" s="91"/>
      <c r="D113" s="781" t="s">
        <v>1440</v>
      </c>
      <c r="H113" s="781"/>
      <c r="X113" s="765"/>
    </row>
    <row r="114" spans="1:66" s="118" customFormat="1" x14ac:dyDescent="0.75">
      <c r="B114" s="119"/>
      <c r="F114" s="999">
        <f>'Back Calculations'!$C$123</f>
        <v>1</v>
      </c>
      <c r="G114" s="1000">
        <f t="shared" ref="G114:AL114" si="12">IFERROR(IF(F114+1&lt;=WeekSuppliedUntil,F114+1,""),"")</f>
        <v>2</v>
      </c>
      <c r="H114" s="1000">
        <f t="shared" si="12"/>
        <v>3</v>
      </c>
      <c r="I114" s="1000">
        <f t="shared" si="12"/>
        <v>4</v>
      </c>
      <c r="J114" s="1000">
        <f t="shared" si="12"/>
        <v>5</v>
      </c>
      <c r="K114" s="1000">
        <f t="shared" si="12"/>
        <v>6</v>
      </c>
      <c r="L114" s="1000">
        <f t="shared" si="12"/>
        <v>7</v>
      </c>
      <c r="M114" s="1000">
        <f t="shared" si="12"/>
        <v>8</v>
      </c>
      <c r="N114" s="121">
        <f t="shared" si="12"/>
        <v>9</v>
      </c>
      <c r="O114" s="121">
        <f t="shared" si="12"/>
        <v>10</v>
      </c>
      <c r="P114" s="121">
        <f t="shared" si="12"/>
        <v>11</v>
      </c>
      <c r="Q114" s="121">
        <f t="shared" si="12"/>
        <v>12</v>
      </c>
      <c r="R114" s="121" t="str">
        <f t="shared" si="12"/>
        <v/>
      </c>
      <c r="S114" s="121" t="str">
        <f t="shared" si="12"/>
        <v/>
      </c>
      <c r="T114" s="121" t="str">
        <f t="shared" si="12"/>
        <v/>
      </c>
      <c r="U114" s="1000" t="str">
        <f t="shared" si="12"/>
        <v/>
      </c>
      <c r="V114" s="121" t="str">
        <f t="shared" si="12"/>
        <v/>
      </c>
      <c r="W114" s="121" t="str">
        <f t="shared" si="12"/>
        <v/>
      </c>
      <c r="X114" s="121" t="str">
        <f t="shared" si="12"/>
        <v/>
      </c>
      <c r="Y114" s="121" t="str">
        <f t="shared" si="12"/>
        <v/>
      </c>
      <c r="Z114" s="121" t="str">
        <f t="shared" si="12"/>
        <v/>
      </c>
      <c r="AA114" s="121" t="str">
        <f t="shared" si="12"/>
        <v/>
      </c>
      <c r="AB114" s="121" t="str">
        <f t="shared" si="12"/>
        <v/>
      </c>
      <c r="AC114" s="121" t="str">
        <f t="shared" si="12"/>
        <v/>
      </c>
      <c r="AD114" s="121" t="str">
        <f t="shared" si="12"/>
        <v/>
      </c>
      <c r="AE114" s="121" t="str">
        <f t="shared" si="12"/>
        <v/>
      </c>
      <c r="AF114" s="121" t="str">
        <f t="shared" si="12"/>
        <v/>
      </c>
      <c r="AG114" s="121" t="str">
        <f t="shared" si="12"/>
        <v/>
      </c>
      <c r="AH114" s="121" t="str">
        <f t="shared" si="12"/>
        <v/>
      </c>
      <c r="AI114" s="121" t="str">
        <f t="shared" si="12"/>
        <v/>
      </c>
      <c r="AJ114" s="121" t="str">
        <f t="shared" si="12"/>
        <v/>
      </c>
      <c r="AK114" s="121" t="str">
        <f t="shared" si="12"/>
        <v/>
      </c>
      <c r="AL114" s="121" t="str">
        <f t="shared" si="12"/>
        <v/>
      </c>
      <c r="AM114" s="121" t="str">
        <f t="shared" ref="AM114:BD114" si="13">IFERROR(IF(AL114+1&lt;=WeekSuppliedUntil,AL114+1,""),"")</f>
        <v/>
      </c>
      <c r="AN114" s="121" t="str">
        <f t="shared" si="13"/>
        <v/>
      </c>
      <c r="AO114" s="121" t="str">
        <f t="shared" si="13"/>
        <v/>
      </c>
      <c r="AP114" s="121" t="str">
        <f t="shared" si="13"/>
        <v/>
      </c>
      <c r="AQ114" s="121" t="str">
        <f t="shared" si="13"/>
        <v/>
      </c>
      <c r="AR114" s="121" t="str">
        <f t="shared" si="13"/>
        <v/>
      </c>
      <c r="AS114" s="121" t="str">
        <f t="shared" si="13"/>
        <v/>
      </c>
      <c r="AT114" s="121" t="str">
        <f t="shared" si="13"/>
        <v/>
      </c>
      <c r="AU114" s="121" t="str">
        <f t="shared" si="13"/>
        <v/>
      </c>
      <c r="AV114" s="121" t="str">
        <f t="shared" si="13"/>
        <v/>
      </c>
      <c r="AW114" s="121" t="str">
        <f t="shared" si="13"/>
        <v/>
      </c>
      <c r="AX114" s="121" t="str">
        <f t="shared" si="13"/>
        <v/>
      </c>
      <c r="AY114" s="121" t="str">
        <f t="shared" si="13"/>
        <v/>
      </c>
      <c r="AZ114" s="121" t="str">
        <f t="shared" si="13"/>
        <v/>
      </c>
      <c r="BA114" s="593" t="str">
        <f t="shared" si="13"/>
        <v/>
      </c>
      <c r="BB114" s="121" t="str">
        <f t="shared" si="13"/>
        <v/>
      </c>
      <c r="BC114" s="121" t="str">
        <f t="shared" si="13"/>
        <v/>
      </c>
      <c r="BD114" s="593" t="str">
        <f t="shared" si="13"/>
        <v/>
      </c>
    </row>
    <row r="115" spans="1:66" s="118" customFormat="1" x14ac:dyDescent="0.75">
      <c r="B115" s="968" t="s">
        <v>1603</v>
      </c>
      <c r="F115" s="120"/>
      <c r="G115" s="121"/>
      <c r="H115" s="121"/>
      <c r="I115" s="121"/>
      <c r="J115" s="121"/>
      <c r="K115" s="121"/>
      <c r="L115" s="121"/>
      <c r="M115" s="121"/>
      <c r="N115" s="121"/>
      <c r="O115" s="121"/>
      <c r="P115" s="121"/>
      <c r="Q115" s="121"/>
      <c r="R115" s="121"/>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row>
    <row r="116" spans="1:66" s="118" customFormat="1" x14ac:dyDescent="0.75">
      <c r="B116" s="969" t="s">
        <v>1623</v>
      </c>
      <c r="F116" s="120"/>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row>
    <row r="117" spans="1:66" s="118" customFormat="1" ht="28.4" customHeight="1" x14ac:dyDescent="0.75">
      <c r="B117" s="1451" t="s">
        <v>1610</v>
      </c>
      <c r="C117" s="1451"/>
      <c r="D117" s="1451"/>
      <c r="E117" s="1451"/>
      <c r="F117" s="1451"/>
      <c r="G117" s="729">
        <f ca="1">SUM('HCW &amp; Staff'!$BH$28+'HCW &amp; Staff'!$BH$44)</f>
        <v>41303.706400683703</v>
      </c>
      <c r="H117" s="730" t="str">
        <f ca="1">CONCATENATE("   This is ",ROUNDUP(G117/SUM('HCW &amp; Staff'!$D$9:$D$10),0)," times as many HCWs as currently operational in country")</f>
        <v xml:space="preserve">   This is 5 times as many HCWs as currently operational in country</v>
      </c>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row>
    <row r="118" spans="1:66" s="118" customFormat="1" ht="15.5" thickBot="1" x14ac:dyDescent="0.9">
      <c r="F118" s="957"/>
      <c r="G118" s="121">
        <v>1</v>
      </c>
      <c r="H118" s="121">
        <v>2</v>
      </c>
      <c r="I118" s="121">
        <v>3</v>
      </c>
      <c r="J118" s="121">
        <v>4</v>
      </c>
      <c r="K118" s="121">
        <v>5</v>
      </c>
      <c r="L118" s="121">
        <v>6</v>
      </c>
      <c r="M118" s="121">
        <v>7</v>
      </c>
      <c r="N118" s="121">
        <v>8</v>
      </c>
      <c r="O118" s="121">
        <v>9</v>
      </c>
      <c r="P118" s="121">
        <v>10</v>
      </c>
      <c r="Q118" s="121">
        <v>11</v>
      </c>
      <c r="R118" s="121">
        <v>12</v>
      </c>
      <c r="S118" s="121">
        <v>13</v>
      </c>
      <c r="T118" s="121">
        <v>14</v>
      </c>
      <c r="U118" s="121">
        <v>15</v>
      </c>
      <c r="V118" s="121">
        <v>16</v>
      </c>
      <c r="W118" s="121">
        <v>17</v>
      </c>
      <c r="X118" s="121">
        <v>18</v>
      </c>
      <c r="Y118" s="121">
        <v>19</v>
      </c>
      <c r="Z118" s="121">
        <v>20</v>
      </c>
      <c r="AA118" s="121">
        <v>21</v>
      </c>
      <c r="AB118" s="121">
        <v>22</v>
      </c>
      <c r="AC118" s="121">
        <v>23</v>
      </c>
      <c r="AD118" s="121">
        <v>24</v>
      </c>
      <c r="AE118" s="121">
        <v>25</v>
      </c>
      <c r="AF118" s="121">
        <v>26</v>
      </c>
      <c r="AG118" s="121">
        <v>27</v>
      </c>
      <c r="AH118" s="121">
        <v>28</v>
      </c>
      <c r="AI118" s="121">
        <v>29</v>
      </c>
      <c r="AJ118" s="121">
        <v>30</v>
      </c>
      <c r="AK118" s="121">
        <v>31</v>
      </c>
      <c r="AL118" s="121">
        <v>32</v>
      </c>
      <c r="AM118" s="121">
        <v>33</v>
      </c>
      <c r="AN118" s="121">
        <v>34</v>
      </c>
      <c r="AO118" s="121">
        <v>35</v>
      </c>
      <c r="AP118" s="121">
        <v>36</v>
      </c>
      <c r="AQ118" s="121">
        <v>37</v>
      </c>
      <c r="AR118" s="121">
        <v>38</v>
      </c>
      <c r="AS118" s="121">
        <v>39</v>
      </c>
      <c r="AT118" s="121">
        <v>40</v>
      </c>
      <c r="AU118" s="121">
        <v>41</v>
      </c>
      <c r="AV118" s="121">
        <v>42</v>
      </c>
      <c r="AW118" s="121">
        <v>43</v>
      </c>
      <c r="AX118" s="121">
        <v>44</v>
      </c>
      <c r="AY118" s="121">
        <v>45</v>
      </c>
      <c r="AZ118" s="121">
        <v>46</v>
      </c>
      <c r="BA118" s="121">
        <v>47</v>
      </c>
      <c r="BB118" s="121">
        <v>48</v>
      </c>
      <c r="BC118" s="121">
        <v>49</v>
      </c>
      <c r="BD118" s="121">
        <v>50</v>
      </c>
      <c r="BE118" s="121">
        <v>51</v>
      </c>
      <c r="BF118" s="121">
        <v>52</v>
      </c>
      <c r="BG118" s="121">
        <v>53</v>
      </c>
      <c r="BH118" s="121">
        <v>54</v>
      </c>
      <c r="BI118" s="121">
        <v>55</v>
      </c>
      <c r="BJ118" s="121">
        <v>56</v>
      </c>
      <c r="BK118" s="121">
        <v>57</v>
      </c>
      <c r="BL118" s="121">
        <v>58</v>
      </c>
      <c r="BM118" s="121">
        <v>59</v>
      </c>
      <c r="BN118" s="121">
        <v>60</v>
      </c>
    </row>
    <row r="119" spans="1:66" ht="31.5" customHeight="1" thickBot="1" x14ac:dyDescent="0.9">
      <c r="B119" s="975" t="s">
        <v>743</v>
      </c>
      <c r="C119" s="263" t="s">
        <v>744</v>
      </c>
      <c r="D119" s="264"/>
      <c r="E119" s="265"/>
      <c r="F119" s="266" t="str">
        <f>CONCATENATE("First week of forecast")</f>
        <v>First week of forecast</v>
      </c>
      <c r="G119" s="266" t="str">
        <f>CONCATENATE("Week ",G$118+1," of forecast")</f>
        <v>Week 2 of forecast</v>
      </c>
      <c r="H119" s="266" t="str">
        <f t="shared" ref="H119:BN119" si="14">CONCATENATE("Week ",H$118+1," of forecast")</f>
        <v>Week 3 of forecast</v>
      </c>
      <c r="I119" s="266" t="str">
        <f t="shared" si="14"/>
        <v>Week 4 of forecast</v>
      </c>
      <c r="J119" s="266" t="str">
        <f t="shared" si="14"/>
        <v>Week 5 of forecast</v>
      </c>
      <c r="K119" s="266" t="str">
        <f t="shared" si="14"/>
        <v>Week 6 of forecast</v>
      </c>
      <c r="L119" s="266" t="str">
        <f t="shared" si="14"/>
        <v>Week 7 of forecast</v>
      </c>
      <c r="M119" s="266" t="str">
        <f t="shared" si="14"/>
        <v>Week 8 of forecast</v>
      </c>
      <c r="N119" s="266" t="str">
        <f t="shared" si="14"/>
        <v>Week 9 of forecast</v>
      </c>
      <c r="O119" s="266" t="str">
        <f t="shared" si="14"/>
        <v>Week 10 of forecast</v>
      </c>
      <c r="P119" s="266" t="str">
        <f t="shared" si="14"/>
        <v>Week 11 of forecast</v>
      </c>
      <c r="Q119" s="266" t="str">
        <f t="shared" si="14"/>
        <v>Week 12 of forecast</v>
      </c>
      <c r="R119" s="266" t="str">
        <f t="shared" si="14"/>
        <v>Week 13 of forecast</v>
      </c>
      <c r="S119" s="266" t="str">
        <f t="shared" si="14"/>
        <v>Week 14 of forecast</v>
      </c>
      <c r="T119" s="266" t="str">
        <f t="shared" si="14"/>
        <v>Week 15 of forecast</v>
      </c>
      <c r="U119" s="266" t="str">
        <f t="shared" si="14"/>
        <v>Week 16 of forecast</v>
      </c>
      <c r="V119" s="266" t="str">
        <f t="shared" si="14"/>
        <v>Week 17 of forecast</v>
      </c>
      <c r="W119" s="266" t="str">
        <f t="shared" si="14"/>
        <v>Week 18 of forecast</v>
      </c>
      <c r="X119" s="266" t="str">
        <f t="shared" si="14"/>
        <v>Week 19 of forecast</v>
      </c>
      <c r="Y119" s="266" t="str">
        <f t="shared" si="14"/>
        <v>Week 20 of forecast</v>
      </c>
      <c r="Z119" s="266" t="str">
        <f t="shared" si="14"/>
        <v>Week 21 of forecast</v>
      </c>
      <c r="AA119" s="266" t="str">
        <f t="shared" si="14"/>
        <v>Week 22 of forecast</v>
      </c>
      <c r="AB119" s="266" t="str">
        <f t="shared" si="14"/>
        <v>Week 23 of forecast</v>
      </c>
      <c r="AC119" s="266" t="str">
        <f t="shared" si="14"/>
        <v>Week 24 of forecast</v>
      </c>
      <c r="AD119" s="266" t="str">
        <f t="shared" si="14"/>
        <v>Week 25 of forecast</v>
      </c>
      <c r="AE119" s="266" t="str">
        <f t="shared" si="14"/>
        <v>Week 26 of forecast</v>
      </c>
      <c r="AF119" s="266" t="str">
        <f t="shared" si="14"/>
        <v>Week 27 of forecast</v>
      </c>
      <c r="AG119" s="266" t="str">
        <f t="shared" si="14"/>
        <v>Week 28 of forecast</v>
      </c>
      <c r="AH119" s="266" t="str">
        <f t="shared" si="14"/>
        <v>Week 29 of forecast</v>
      </c>
      <c r="AI119" s="266" t="str">
        <f t="shared" si="14"/>
        <v>Week 30 of forecast</v>
      </c>
      <c r="AJ119" s="266" t="str">
        <f t="shared" si="14"/>
        <v>Week 31 of forecast</v>
      </c>
      <c r="AK119" s="266" t="str">
        <f t="shared" si="14"/>
        <v>Week 32 of forecast</v>
      </c>
      <c r="AL119" s="266" t="str">
        <f t="shared" si="14"/>
        <v>Week 33 of forecast</v>
      </c>
      <c r="AM119" s="266" t="str">
        <f t="shared" si="14"/>
        <v>Week 34 of forecast</v>
      </c>
      <c r="AN119" s="266" t="str">
        <f t="shared" si="14"/>
        <v>Week 35 of forecast</v>
      </c>
      <c r="AO119" s="266" t="str">
        <f t="shared" si="14"/>
        <v>Week 36 of forecast</v>
      </c>
      <c r="AP119" s="266" t="str">
        <f t="shared" si="14"/>
        <v>Week 37 of forecast</v>
      </c>
      <c r="AQ119" s="266" t="str">
        <f t="shared" si="14"/>
        <v>Week 38 of forecast</v>
      </c>
      <c r="AR119" s="266" t="str">
        <f t="shared" si="14"/>
        <v>Week 39 of forecast</v>
      </c>
      <c r="AS119" s="266" t="str">
        <f t="shared" si="14"/>
        <v>Week 40 of forecast</v>
      </c>
      <c r="AT119" s="266" t="str">
        <f t="shared" si="14"/>
        <v>Week 41 of forecast</v>
      </c>
      <c r="AU119" s="266" t="str">
        <f t="shared" si="14"/>
        <v>Week 42 of forecast</v>
      </c>
      <c r="AV119" s="266" t="str">
        <f t="shared" si="14"/>
        <v>Week 43 of forecast</v>
      </c>
      <c r="AW119" s="266" t="str">
        <f t="shared" si="14"/>
        <v>Week 44 of forecast</v>
      </c>
      <c r="AX119" s="266" t="str">
        <f t="shared" si="14"/>
        <v>Week 45 of forecast</v>
      </c>
      <c r="AY119" s="266" t="str">
        <f t="shared" si="14"/>
        <v>Week 46 of forecast</v>
      </c>
      <c r="AZ119" s="266" t="str">
        <f t="shared" si="14"/>
        <v>Week 47 of forecast</v>
      </c>
      <c r="BA119" s="266" t="str">
        <f t="shared" si="14"/>
        <v>Week 48 of forecast</v>
      </c>
      <c r="BB119" s="266" t="str">
        <f t="shared" si="14"/>
        <v>Week 49 of forecast</v>
      </c>
      <c r="BC119" s="266" t="str">
        <f t="shared" si="14"/>
        <v>Week 50 of forecast</v>
      </c>
      <c r="BD119" s="266" t="str">
        <f t="shared" si="14"/>
        <v>Week 51 of forecast</v>
      </c>
      <c r="BE119" s="266" t="str">
        <f t="shared" si="14"/>
        <v>Week 52 of forecast</v>
      </c>
      <c r="BF119" s="266" t="str">
        <f t="shared" si="14"/>
        <v>Week 53 of forecast</v>
      </c>
      <c r="BG119" s="266" t="str">
        <f t="shared" si="14"/>
        <v>Week 54 of forecast</v>
      </c>
      <c r="BH119" s="266" t="str">
        <f t="shared" si="14"/>
        <v>Week 55 of forecast</v>
      </c>
      <c r="BI119" s="266" t="str">
        <f t="shared" si="14"/>
        <v>Week 56 of forecast</v>
      </c>
      <c r="BJ119" s="266" t="str">
        <f t="shared" si="14"/>
        <v>Week 57 of forecast</v>
      </c>
      <c r="BK119" s="266" t="str">
        <f t="shared" si="14"/>
        <v>Week 58 of forecast</v>
      </c>
      <c r="BL119" s="266" t="str">
        <f t="shared" si="14"/>
        <v>Week 59 of forecast</v>
      </c>
      <c r="BM119" s="266" t="str">
        <f t="shared" si="14"/>
        <v>Week 60 of forecast</v>
      </c>
      <c r="BN119" s="267" t="str">
        <f t="shared" si="14"/>
        <v>Week 61 of forecast</v>
      </c>
    </row>
    <row r="120" spans="1:66" s="144" customFormat="1" x14ac:dyDescent="0.75">
      <c r="B120" s="1472" t="s">
        <v>710</v>
      </c>
      <c r="C120" s="1442" t="s">
        <v>1531</v>
      </c>
      <c r="D120" s="1443"/>
      <c r="E120" s="1444"/>
      <c r="F120" s="262">
        <f ca="1">IF(ISNUMBER(F$114),INDEX('HCW &amp; Staff'!$D$22:$BD$25,1,MATCH(F$114,'HCW &amp; Staff'!$D$15:$BD$15,0)),"")</f>
        <v>1.0356400576388092</v>
      </c>
      <c r="G120" s="262">
        <f ca="1">IF(ISNUMBER(G$114),INDEX('HCW &amp; Staff'!$D$22:$BD$25,1,MATCH(G$114,'HCW &amp; Staff'!$D$15:$BD$15,0)),"")</f>
        <v>3.5224279777596768</v>
      </c>
      <c r="H120" s="262">
        <f ca="1">IF(ISNUMBER(H$114),INDEX('HCW &amp; Staff'!$D$22:$BD$25,1,MATCH(H$114,'HCW &amp; Staff'!$D$15:$BD$15,0)),"")</f>
        <v>12.104740743843042</v>
      </c>
      <c r="I120" s="262">
        <f ca="1">IF(ISNUMBER(I$114),INDEX('HCW &amp; Staff'!$D$22:$BD$25,1,MATCH(I$114,'HCW &amp; Staff'!$D$15:$BD$15,0)),"")</f>
        <v>41.596319168333075</v>
      </c>
      <c r="J120" s="262">
        <f ca="1">IF(ISNUMBER(J$114),INDEX('HCW &amp; Staff'!$D$22:$BD$25,1,MATCH(J$114,'HCW &amp; Staff'!$D$15:$BD$15,0)),"")</f>
        <v>142.92438728532983</v>
      </c>
      <c r="K120" s="262">
        <f ca="1">IF(ISNUMBER(K$114),INDEX('HCW &amp; Staff'!$D$22:$BD$25,1,MATCH(K$114,'HCW &amp; Staff'!$D$15:$BD$15,0)),"")</f>
        <v>490.89992213052517</v>
      </c>
      <c r="L120" s="262">
        <f ca="1">IF(ISNUMBER(L$114),INDEX('HCW &amp; Staff'!$D$22:$BD$25,1,MATCH(L$114,'HCW &amp; Staff'!$D$15:$BD$15,0)),"")</f>
        <v>1683.8900748723863</v>
      </c>
      <c r="M120" s="262">
        <f ca="1">IF(ISNUMBER(M$114),INDEX('HCW &amp; Staff'!$D$22:$BD$25,1,MATCH(M$114,'HCW &amp; Staff'!$D$15:$BD$15,0)),"")</f>
        <v>5421.2228173866051</v>
      </c>
      <c r="N120" s="262">
        <f ca="1">IF(ISNUMBER(N$114),INDEX('HCW &amp; Staff'!$D$22:$BD$25,1,MATCH(N$114,'HCW &amp; Staff'!$D$15:$BD$15,0)),"")</f>
        <v>8370.5634892178605</v>
      </c>
      <c r="O120" s="262">
        <f ca="1">IF(ISNUMBER(O$114),INDEX('HCW &amp; Staff'!$D$22:$BD$25,1,MATCH(O$114,'HCW &amp; Staff'!$D$15:$BD$15,0)),"")</f>
        <v>8370.5634892178605</v>
      </c>
      <c r="P120" s="262">
        <f ca="1">IF(ISNUMBER(P$114),INDEX('HCW &amp; Staff'!$D$22:$BD$25,1,MATCH(P$114,'HCW &amp; Staff'!$D$15:$BD$15,0)),"")</f>
        <v>8370.5634892178605</v>
      </c>
      <c r="Q120" s="262">
        <f ca="1">IF(ISNUMBER(Q$114),INDEX('HCW &amp; Staff'!$D$22:$BD$25,1,MATCH(Q$114,'HCW &amp; Staff'!$D$15:$BD$15,0)),"")</f>
        <v>8370.5634892178605</v>
      </c>
      <c r="R120" s="262" t="str">
        <f>IF(ISNUMBER(R$114),INDEX('HCW &amp; Staff'!$D$22:$BD$25,1,MATCH(R$114,'HCW &amp; Staff'!$D$15:$BD$15,0)),"")</f>
        <v/>
      </c>
      <c r="S120" s="262" t="str">
        <f>IF(ISNUMBER(S$114),INDEX('HCW &amp; Staff'!$D$22:$BD$25,1,MATCH(S$114,'HCW &amp; Staff'!$D$15:$BD$15,0)),"")</f>
        <v/>
      </c>
      <c r="T120" s="262" t="str">
        <f>IF(ISNUMBER(T$114),INDEX('HCW &amp; Staff'!$D$22:$BD$25,1,MATCH(T$114,'HCW &amp; Staff'!$D$15:$BD$15,0)),"")</f>
        <v/>
      </c>
      <c r="U120" s="262" t="str">
        <f>IF(ISNUMBER(U$114),INDEX('HCW &amp; Staff'!$D$22:$BD$25,1,MATCH(U$114,'HCW &amp; Staff'!$D$15:$BD$15,0)),"")</f>
        <v/>
      </c>
      <c r="V120" s="262" t="str">
        <f>IF(ISNUMBER(V$114),INDEX('HCW &amp; Staff'!$D$22:$BD$25,1,MATCH(V$114,'HCW &amp; Staff'!$D$15:$BD$15,0)),"")</f>
        <v/>
      </c>
      <c r="W120" s="262" t="str">
        <f>IF(ISNUMBER(W$114),INDEX('HCW &amp; Staff'!$D$22:$BD$25,1,MATCH(W$114,'HCW &amp; Staff'!$D$15:$BD$15,0)),"")</f>
        <v/>
      </c>
      <c r="X120" s="946" t="str">
        <f>IF(ISNUMBER(X$114),INDEX('HCW &amp; Staff'!$D$22:$BD$25,1,MATCH(X$114,'HCW &amp; Staff'!$D$15:$BD$15,0)),"")</f>
        <v/>
      </c>
      <c r="Y120" s="262" t="str">
        <f>IF(ISNUMBER(Y$114),INDEX('HCW &amp; Staff'!$D$22:$BD$25,1,MATCH(Y$114,'HCW &amp; Staff'!$D$15:$BD$15,0)),"")</f>
        <v/>
      </c>
      <c r="Z120" s="262" t="str">
        <f>IF(ISNUMBER(Z$114),INDEX('HCW &amp; Staff'!$D$22:$BD$25,1,MATCH(Z$114,'HCW &amp; Staff'!$D$15:$BD$15,0)),"")</f>
        <v/>
      </c>
      <c r="AA120" s="262" t="str">
        <f>IF(ISNUMBER(AA$114),INDEX('HCW &amp; Staff'!$D$22:$BD$25,1,MATCH(AA$114,'HCW &amp; Staff'!$D$15:$BD$15,0)),"")</f>
        <v/>
      </c>
      <c r="AB120" s="262" t="str">
        <f>IF(ISNUMBER(AB$114),INDEX('HCW &amp; Staff'!$D$22:$BD$25,1,MATCH(AB$114,'HCW &amp; Staff'!$D$15:$BD$15,0)),"")</f>
        <v/>
      </c>
      <c r="AC120" s="262" t="str">
        <f>IF(ISNUMBER(AC$114),INDEX('HCW &amp; Staff'!$D$22:$BD$25,1,MATCH(AC$114,'HCW &amp; Staff'!$D$15:$BD$15,0)),"")</f>
        <v/>
      </c>
      <c r="AD120" s="262" t="str">
        <f>IF(ISNUMBER(AD$114),INDEX('HCW &amp; Staff'!$D$22:$BD$25,1,MATCH(AD$114,'HCW &amp; Staff'!$D$15:$BD$15,0)),"")</f>
        <v/>
      </c>
      <c r="AE120" s="262" t="str">
        <f>IF(ISNUMBER(AE$114),INDEX('HCW &amp; Staff'!$D$22:$BD$25,1,MATCH(AE$114,'HCW &amp; Staff'!$D$15:$BD$15,0)),"")</f>
        <v/>
      </c>
      <c r="AF120" s="262" t="str">
        <f>IF(ISNUMBER(AF$114),INDEX('HCW &amp; Staff'!$D$22:$BD$25,1,MATCH(AF$114,'HCW &amp; Staff'!$D$15:$BD$15,0)),"")</f>
        <v/>
      </c>
      <c r="AG120" s="262" t="str">
        <f>IF(ISNUMBER(AG$114),INDEX('HCW &amp; Staff'!$D$22:$BD$25,1,MATCH(AG$114,'HCW &amp; Staff'!$D$15:$BD$15,0)),"")</f>
        <v/>
      </c>
      <c r="AH120" s="262" t="str">
        <f>IF(ISNUMBER(AH$114),INDEX('HCW &amp; Staff'!$D$22:$BD$25,1,MATCH(AH$114,'HCW &amp; Staff'!$D$15:$BD$15,0)),"")</f>
        <v/>
      </c>
      <c r="AI120" s="262" t="str">
        <f>IF(ISNUMBER(AI$114),INDEX('HCW &amp; Staff'!$D$22:$BD$25,1,MATCH(AI$114,'HCW &amp; Staff'!$D$15:$BD$15,0)),"")</f>
        <v/>
      </c>
      <c r="AJ120" s="262" t="str">
        <f>IF(ISNUMBER(AJ$114),INDEX('HCW &amp; Staff'!$D$22:$BD$25,1,MATCH(AJ$114,'HCW &amp; Staff'!$D$15:$BD$15,0)),"")</f>
        <v/>
      </c>
      <c r="AK120" s="262" t="str">
        <f>IF(ISNUMBER(AK$114),INDEX('HCW &amp; Staff'!$D$22:$BD$25,1,MATCH(AK$114,'HCW &amp; Staff'!$D$15:$BD$15,0)),"")</f>
        <v/>
      </c>
      <c r="AL120" s="262" t="str">
        <f>IF(ISNUMBER(AL$114),INDEX('HCW &amp; Staff'!$D$22:$BD$25,1,MATCH(AL$114,'HCW &amp; Staff'!$D$15:$BD$15,0)),"")</f>
        <v/>
      </c>
      <c r="AM120" s="262" t="str">
        <f>IF(ISNUMBER(AM$114),INDEX('HCW &amp; Staff'!$D$22:$BD$25,1,MATCH(AM$114,'HCW &amp; Staff'!$D$15:$BD$15,0)),"")</f>
        <v/>
      </c>
      <c r="AN120" s="262" t="str">
        <f>IF(ISNUMBER(AN$114),INDEX('HCW &amp; Staff'!$D$22:$BD$25,1,MATCH(AN$114,'HCW &amp; Staff'!$D$15:$BD$15,0)),"")</f>
        <v/>
      </c>
      <c r="AO120" s="262" t="str">
        <f>IF(ISNUMBER(AO$114),INDEX('HCW &amp; Staff'!$D$22:$BD$25,1,MATCH(AO$114,'HCW &amp; Staff'!$D$15:$BD$15,0)),"")</f>
        <v/>
      </c>
      <c r="AP120" s="262" t="str">
        <f>IF(ISNUMBER(AP$114),INDEX('HCW &amp; Staff'!$D$22:$BD$25,1,MATCH(AP$114,'HCW &amp; Staff'!$D$15:$BD$15,0)),"")</f>
        <v/>
      </c>
      <c r="AQ120" s="262" t="str">
        <f>IF(ISNUMBER(AQ$114),INDEX('HCW &amp; Staff'!$D$22:$BD$25,1,MATCH(AQ$114,'HCW &amp; Staff'!$D$15:$BD$15,0)),"")</f>
        <v/>
      </c>
      <c r="AR120" s="262" t="str">
        <f>IF(ISNUMBER(AR$114),INDEX('HCW &amp; Staff'!$D$22:$BD$25,1,MATCH(AR$114,'HCW &amp; Staff'!$D$15:$BD$15,0)),"")</f>
        <v/>
      </c>
      <c r="AS120" s="262" t="str">
        <f>IF(ISNUMBER(AS$114),INDEX('HCW &amp; Staff'!$D$22:$BD$25,1,MATCH(AS$114,'HCW &amp; Staff'!$D$15:$BD$15,0)),"")</f>
        <v/>
      </c>
      <c r="AT120" s="262" t="str">
        <f>IF(ISNUMBER(AT$114),INDEX('HCW &amp; Staff'!$D$22:$BD$25,1,MATCH(AT$114,'HCW &amp; Staff'!$D$15:$BD$15,0)),"")</f>
        <v/>
      </c>
      <c r="AU120" s="262" t="str">
        <f>IF(ISNUMBER(AU$114),INDEX('HCW &amp; Staff'!$D$22:$BD$25,1,MATCH(AU$114,'HCW &amp; Staff'!$D$15:$BD$15,0)),"")</f>
        <v/>
      </c>
      <c r="AV120" s="262" t="str">
        <f>IF(ISNUMBER(AV$114),INDEX('HCW &amp; Staff'!$D$22:$BD$25,1,MATCH(AV$114,'HCW &amp; Staff'!$D$15:$BD$15,0)),"")</f>
        <v/>
      </c>
      <c r="AW120" s="262" t="str">
        <f>IF(ISNUMBER(AW$114),INDEX('HCW &amp; Staff'!$D$22:$BD$25,1,MATCH(AW$114,'HCW &amp; Staff'!$D$15:$BD$15,0)),"")</f>
        <v/>
      </c>
      <c r="AX120" s="262" t="str">
        <f>IF(ISNUMBER(AX$114),INDEX('HCW &amp; Staff'!$D$22:$BD$25,1,MATCH(AX$114,'HCW &amp; Staff'!$D$15:$BD$15,0)),"")</f>
        <v/>
      </c>
      <c r="AY120" s="262" t="str">
        <f>IF(ISNUMBER(AY$114),INDEX('HCW &amp; Staff'!$D$22:$BD$25,1,MATCH(AY$114,'HCW &amp; Staff'!$D$15:$BD$15,0)),"")</f>
        <v/>
      </c>
      <c r="AZ120" s="262" t="str">
        <f>IF(ISNUMBER(AZ$114),INDEX('HCW &amp; Staff'!$D$22:$BD$25,1,MATCH(AZ$114,'HCW &amp; Staff'!$D$15:$BD$15,0)),"")</f>
        <v/>
      </c>
      <c r="BA120" s="262" t="str">
        <f>IF(ISNUMBER(BA$114),INDEX('HCW &amp; Staff'!$D$22:$BD$25,1,MATCH(BA$114,'HCW &amp; Staff'!$D$15:$BD$15,0)),"")</f>
        <v/>
      </c>
      <c r="BB120" s="262" t="str">
        <f>IF(ISNUMBER(BB$114),INDEX('HCW &amp; Staff'!$D$22:$BD$25,1,MATCH(BB$114,'HCW &amp; Staff'!$D$15:$BD$15,0)),"")</f>
        <v/>
      </c>
      <c r="BC120" s="262" t="str">
        <f>IF(ISNUMBER(BC$114),INDEX('HCW &amp; Staff'!$D$22:$BD$25,1,MATCH(BC$114,'HCW &amp; Staff'!$D$15:$BD$15,0)),"")</f>
        <v/>
      </c>
      <c r="BD120" s="262" t="str">
        <f>IF(ISNUMBER(BD$114),INDEX('HCW &amp; Staff'!$D$22:$BD$25,1,MATCH(BD$114,'HCW &amp; Staff'!$D$15:$BD$15,0)),"")</f>
        <v/>
      </c>
      <c r="BE120" s="722"/>
      <c r="BF120" s="722"/>
      <c r="BG120" s="722"/>
      <c r="BH120" s="722"/>
      <c r="BI120" s="722"/>
      <c r="BJ120" s="722"/>
      <c r="BK120" s="722"/>
      <c r="BL120" s="722"/>
      <c r="BM120" s="722"/>
      <c r="BN120" s="723"/>
    </row>
    <row r="121" spans="1:66" x14ac:dyDescent="0.75">
      <c r="B121" s="1473"/>
      <c r="C121" s="1445" t="s">
        <v>1532</v>
      </c>
      <c r="D121" s="1446"/>
      <c r="E121" s="1447"/>
      <c r="F121" s="262">
        <f ca="1">IF(ISNUMBER(F$114),INDEX('HCW &amp; Staff'!$D$22:$BD$25,2,MATCH(F$114,'HCW &amp; Staff'!$D$15:$BD$15,0)),"")</f>
        <v>0.27474577318427462</v>
      </c>
      <c r="G121" s="262">
        <f ca="1">IF(ISNUMBER(G$114),INDEX('HCW &amp; Staff'!$D$22:$BD$25,2,MATCH(G$114,'HCW &amp; Staff'!$D$15:$BD$15,0)),"")</f>
        <v>0.93446771501090831</v>
      </c>
      <c r="H121" s="262">
        <f ca="1">IF(ISNUMBER(H$114),INDEX('HCW &amp; Staff'!$D$22:$BD$25,2,MATCH(H$114,'HCW &amp; Staff'!$D$15:$BD$15,0)),"")</f>
        <v>3.2112762830406387</v>
      </c>
      <c r="I121" s="262">
        <f ca="1">IF(ISNUMBER(I$114),INDEX('HCW &amp; Staff'!$D$22:$BD$25,2,MATCH(I$114,'HCW &amp; Staff'!$D$15:$BD$15,0)),"")</f>
        <v>11.035120539446456</v>
      </c>
      <c r="J121" s="262">
        <f ca="1">IF(ISNUMBER(J$114),INDEX('HCW &amp; Staff'!$D$22:$BD$25,2,MATCH(J$114,'HCW &amp; Staff'!$D$15:$BD$15,0)),"")</f>
        <v>37.916524184208178</v>
      </c>
      <c r="K121" s="262">
        <f ca="1">IF(ISNUMBER(K$114),INDEX('HCW &amp; Staff'!$D$22:$BD$25,2,MATCH(K$114,'HCW &amp; Staff'!$D$15:$BD$15,0)),"")</f>
        <v>130.23123011420796</v>
      </c>
      <c r="L121" s="262">
        <f ca="1">IF(ISNUMBER(L$114),INDEX('HCW &amp; Staff'!$D$22:$BD$25,2,MATCH(L$114,'HCW &amp; Staff'!$D$15:$BD$15,0)),"")</f>
        <v>446.72053496359763</v>
      </c>
      <c r="M121" s="262">
        <f ca="1">IF(ISNUMBER(M$114),INDEX('HCW &amp; Staff'!$D$22:$BD$25,2,MATCH(M$114,'HCW &amp; Staff'!$D$15:$BD$15,0)),"")</f>
        <v>1438.2005056495984</v>
      </c>
      <c r="N121" s="262">
        <f ca="1">IF(ISNUMBER(N$114),INDEX('HCW &amp; Staff'!$D$22:$BD$25,2,MATCH(N$114,'HCW &amp; Staff'!$D$15:$BD$15,0)),"")</f>
        <v>3953.9595073527089</v>
      </c>
      <c r="O121" s="262">
        <f ca="1">IF(ISNUMBER(O$114),INDEX('HCW &amp; Staff'!$D$22:$BD$25,2,MATCH(O$114,'HCW &amp; Staff'!$D$15:$BD$15,0)),"")</f>
        <v>9381.4004588578955</v>
      </c>
      <c r="P121" s="262">
        <f ca="1">IF(ISNUMBER(P$114),INDEX('HCW &amp; Staff'!$D$22:$BD$25,2,MATCH(P$114,'HCW &amp; Staff'!$D$15:$BD$15,0)),"")</f>
        <v>9381.4004588578955</v>
      </c>
      <c r="Q121" s="262">
        <f ca="1">IF(ISNUMBER(Q$114),INDEX('HCW &amp; Staff'!$D$22:$BD$25,2,MATCH(Q$114,'HCW &amp; Staff'!$D$15:$BD$15,0)),"")</f>
        <v>9381.4004588578955</v>
      </c>
      <c r="R121" s="262" t="str">
        <f>IF(ISNUMBER(R$114),INDEX('HCW &amp; Staff'!$D$22:$BD$25,2,MATCH(R$114,'HCW &amp; Staff'!$D$15:$BD$15,0)),"")</f>
        <v/>
      </c>
      <c r="S121" s="262" t="str">
        <f>IF(ISNUMBER(S$114),INDEX('HCW &amp; Staff'!$D$22:$BD$25,2,MATCH(S$114,'HCW &amp; Staff'!$D$15:$BD$15,0)),"")</f>
        <v/>
      </c>
      <c r="T121" s="262" t="str">
        <f>IF(ISNUMBER(T$114),INDEX('HCW &amp; Staff'!$D$22:$BD$25,2,MATCH(T$114,'HCW &amp; Staff'!$D$15:$BD$15,0)),"")</f>
        <v/>
      </c>
      <c r="U121" s="262" t="str">
        <f>IF(ISNUMBER(U$114),INDEX('HCW &amp; Staff'!$D$22:$BD$25,2,MATCH(U$114,'HCW &amp; Staff'!$D$15:$BD$15,0)),"")</f>
        <v/>
      </c>
      <c r="V121" s="262" t="str">
        <f>IF(ISNUMBER(V$114),INDEX('HCW &amp; Staff'!$D$22:$BD$25,2,MATCH(V$114,'HCW &amp; Staff'!$D$15:$BD$15,0)),"")</f>
        <v/>
      </c>
      <c r="W121" s="262" t="str">
        <f>IF(ISNUMBER(W$114),INDEX('HCW &amp; Staff'!$D$22:$BD$25,2,MATCH(W$114,'HCW &amp; Staff'!$D$15:$BD$15,0)),"")</f>
        <v/>
      </c>
      <c r="X121" s="946" t="str">
        <f>IF(ISNUMBER(X$114),INDEX('HCW &amp; Staff'!$D$22:$BD$25,2,MATCH(X$114,'HCW &amp; Staff'!$D$15:$BD$15,0)),"")</f>
        <v/>
      </c>
      <c r="Y121" s="262" t="str">
        <f>IF(ISNUMBER(Y$114),INDEX('HCW &amp; Staff'!$D$22:$BD$25,2,MATCH(Y$114,'HCW &amp; Staff'!$D$15:$BD$15,0)),"")</f>
        <v/>
      </c>
      <c r="Z121" s="262" t="str">
        <f>IF(ISNUMBER(Z$114),INDEX('HCW &amp; Staff'!$D$22:$BD$25,2,MATCH(Z$114,'HCW &amp; Staff'!$D$15:$BD$15,0)),"")</f>
        <v/>
      </c>
      <c r="AA121" s="262" t="str">
        <f>IF(ISNUMBER(AA$114),INDEX('HCW &amp; Staff'!$D$22:$BD$25,2,MATCH(AA$114,'HCW &amp; Staff'!$D$15:$BD$15,0)),"")</f>
        <v/>
      </c>
      <c r="AB121" s="262" t="str">
        <f>IF(ISNUMBER(AB$114),INDEX('HCW &amp; Staff'!$D$22:$BD$25,2,MATCH(AB$114,'HCW &amp; Staff'!$D$15:$BD$15,0)),"")</f>
        <v/>
      </c>
      <c r="AC121" s="262" t="str">
        <f>IF(ISNUMBER(AC$114),INDEX('HCW &amp; Staff'!$D$22:$BD$25,2,MATCH(AC$114,'HCW &amp; Staff'!$D$15:$BD$15,0)),"")</f>
        <v/>
      </c>
      <c r="AD121" s="262" t="str">
        <f>IF(ISNUMBER(AD$114),INDEX('HCW &amp; Staff'!$D$22:$BD$25,2,MATCH(AD$114,'HCW &amp; Staff'!$D$15:$BD$15,0)),"")</f>
        <v/>
      </c>
      <c r="AE121" s="262" t="str">
        <f>IF(ISNUMBER(AE$114),INDEX('HCW &amp; Staff'!$D$22:$BD$25,2,MATCH(AE$114,'HCW &amp; Staff'!$D$15:$BD$15,0)),"")</f>
        <v/>
      </c>
      <c r="AF121" s="262" t="str">
        <f>IF(ISNUMBER(AF$114),INDEX('HCW &amp; Staff'!$D$22:$BD$25,2,MATCH(AF$114,'HCW &amp; Staff'!$D$15:$BD$15,0)),"")</f>
        <v/>
      </c>
      <c r="AG121" s="262" t="str">
        <f>IF(ISNUMBER(AG$114),INDEX('HCW &amp; Staff'!$D$22:$BD$25,2,MATCH(AG$114,'HCW &amp; Staff'!$D$15:$BD$15,0)),"")</f>
        <v/>
      </c>
      <c r="AH121" s="262" t="str">
        <f>IF(ISNUMBER(AH$114),INDEX('HCW &amp; Staff'!$D$22:$BD$25,2,MATCH(AH$114,'HCW &amp; Staff'!$D$15:$BD$15,0)),"")</f>
        <v/>
      </c>
      <c r="AI121" s="262" t="str">
        <f>IF(ISNUMBER(AI$114),INDEX('HCW &amp; Staff'!$D$22:$BD$25,2,MATCH(AI$114,'HCW &amp; Staff'!$D$15:$BD$15,0)),"")</f>
        <v/>
      </c>
      <c r="AJ121" s="262" t="str">
        <f>IF(ISNUMBER(AJ$114),INDEX('HCW &amp; Staff'!$D$22:$BD$25,2,MATCH(AJ$114,'HCW &amp; Staff'!$D$15:$BD$15,0)),"")</f>
        <v/>
      </c>
      <c r="AK121" s="262" t="str">
        <f>IF(ISNUMBER(AK$114),INDEX('HCW &amp; Staff'!$D$22:$BD$25,2,MATCH(AK$114,'HCW &amp; Staff'!$D$15:$BD$15,0)),"")</f>
        <v/>
      </c>
      <c r="AL121" s="262" t="str">
        <f>IF(ISNUMBER(AL$114),INDEX('HCW &amp; Staff'!$D$22:$BD$25,2,MATCH(AL$114,'HCW &amp; Staff'!$D$15:$BD$15,0)),"")</f>
        <v/>
      </c>
      <c r="AM121" s="262" t="str">
        <f>IF(ISNUMBER(AM$114),INDEX('HCW &amp; Staff'!$D$22:$BD$25,2,MATCH(AM$114,'HCW &amp; Staff'!$D$15:$BD$15,0)),"")</f>
        <v/>
      </c>
      <c r="AN121" s="262" t="str">
        <f>IF(ISNUMBER(AN$114),INDEX('HCW &amp; Staff'!$D$22:$BD$25,2,MATCH(AN$114,'HCW &amp; Staff'!$D$15:$BD$15,0)),"")</f>
        <v/>
      </c>
      <c r="AO121" s="262" t="str">
        <f>IF(ISNUMBER(AO$114),INDEX('HCW &amp; Staff'!$D$22:$BD$25,2,MATCH(AO$114,'HCW &amp; Staff'!$D$15:$BD$15,0)),"")</f>
        <v/>
      </c>
      <c r="AP121" s="262" t="str">
        <f>IF(ISNUMBER(AP$114),INDEX('HCW &amp; Staff'!$D$22:$BD$25,2,MATCH(AP$114,'HCW &amp; Staff'!$D$15:$BD$15,0)),"")</f>
        <v/>
      </c>
      <c r="AQ121" s="262" t="str">
        <f>IF(ISNUMBER(AQ$114),INDEX('HCW &amp; Staff'!$D$22:$BD$25,2,MATCH(AQ$114,'HCW &amp; Staff'!$D$15:$BD$15,0)),"")</f>
        <v/>
      </c>
      <c r="AR121" s="262" t="str">
        <f>IF(ISNUMBER(AR$114),INDEX('HCW &amp; Staff'!$D$22:$BD$25,2,MATCH(AR$114,'HCW &amp; Staff'!$D$15:$BD$15,0)),"")</f>
        <v/>
      </c>
      <c r="AS121" s="262" t="str">
        <f>IF(ISNUMBER(AS$114),INDEX('HCW &amp; Staff'!$D$22:$BD$25,2,MATCH(AS$114,'HCW &amp; Staff'!$D$15:$BD$15,0)),"")</f>
        <v/>
      </c>
      <c r="AT121" s="262" t="str">
        <f>IF(ISNUMBER(AT$114),INDEX('HCW &amp; Staff'!$D$22:$BD$25,2,MATCH(AT$114,'HCW &amp; Staff'!$D$15:$BD$15,0)),"")</f>
        <v/>
      </c>
      <c r="AU121" s="262" t="str">
        <f>IF(ISNUMBER(AU$114),INDEX('HCW &amp; Staff'!$D$22:$BD$25,2,MATCH(AU$114,'HCW &amp; Staff'!$D$15:$BD$15,0)),"")</f>
        <v/>
      </c>
      <c r="AV121" s="262" t="str">
        <f>IF(ISNUMBER(AV$114),INDEX('HCW &amp; Staff'!$D$22:$BD$25,2,MATCH(AV$114,'HCW &amp; Staff'!$D$15:$BD$15,0)),"")</f>
        <v/>
      </c>
      <c r="AW121" s="262" t="str">
        <f>IF(ISNUMBER(AW$114),INDEX('HCW &amp; Staff'!$D$22:$BD$25,2,MATCH(AW$114,'HCW &amp; Staff'!$D$15:$BD$15,0)),"")</f>
        <v/>
      </c>
      <c r="AX121" s="262" t="str">
        <f>IF(ISNUMBER(AX$114),INDEX('HCW &amp; Staff'!$D$22:$BD$25,2,MATCH(AX$114,'HCW &amp; Staff'!$D$15:$BD$15,0)),"")</f>
        <v/>
      </c>
      <c r="AY121" s="262" t="str">
        <f>IF(ISNUMBER(AY$114),INDEX('HCW &amp; Staff'!$D$22:$BD$25,2,MATCH(AY$114,'HCW &amp; Staff'!$D$15:$BD$15,0)),"")</f>
        <v/>
      </c>
      <c r="AZ121" s="262" t="str">
        <f>IF(ISNUMBER(AZ$114),INDEX('HCW &amp; Staff'!$D$22:$BD$25,2,MATCH(AZ$114,'HCW &amp; Staff'!$D$15:$BD$15,0)),"")</f>
        <v/>
      </c>
      <c r="BA121" s="262" t="str">
        <f>IF(ISNUMBER(BA$114),INDEX('HCW &amp; Staff'!$D$22:$BD$25,2,MATCH(BA$114,'HCW &amp; Staff'!$D$15:$BD$15,0)),"")</f>
        <v/>
      </c>
      <c r="BB121" s="262" t="str">
        <f>IF(ISNUMBER(BB$114),INDEX('HCW &amp; Staff'!$D$22:$BD$25,2,MATCH(BB$114,'HCW &amp; Staff'!$D$15:$BD$15,0)),"")</f>
        <v/>
      </c>
      <c r="BC121" s="262" t="str">
        <f>IF(ISNUMBER(BC$114),INDEX('HCW &amp; Staff'!$D$22:$BD$25,2,MATCH(BC$114,'HCW &amp; Staff'!$D$15:$BD$15,0)),"")</f>
        <v/>
      </c>
      <c r="BD121" s="262" t="str">
        <f>IF(ISNUMBER(BD$114),INDEX('HCW &amp; Staff'!$D$22:$BD$25,2,MATCH(BD$114,'HCW &amp; Staff'!$D$15:$BD$15,0)),"")</f>
        <v/>
      </c>
      <c r="BE121" s="96"/>
      <c r="BF121" s="96"/>
      <c r="BG121" s="96"/>
      <c r="BH121" s="96"/>
      <c r="BI121" s="96"/>
      <c r="BJ121" s="96"/>
      <c r="BK121" s="96"/>
      <c r="BL121" s="96"/>
      <c r="BM121" s="96"/>
      <c r="BN121" s="724"/>
    </row>
    <row r="122" spans="1:66" x14ac:dyDescent="0.75">
      <c r="B122" s="1473"/>
      <c r="C122" s="122" t="s">
        <v>1605</v>
      </c>
      <c r="D122" s="96"/>
      <c r="E122" s="96"/>
      <c r="F122" s="262">
        <f ca="1">IF(ISNUMBER(F$114),INDEX('HCW &amp; Staff'!$D$22:$BD$25,3,MATCH(F$114,'HCW &amp; Staff'!$D$15:$BD$15,0)),"")</f>
        <v>0</v>
      </c>
      <c r="G122" s="262">
        <f ca="1">IF(ISNUMBER(G$114),INDEX('HCW &amp; Staff'!$D$22:$BD$25,3,MATCH(G$114,'HCW &amp; Staff'!$D$15:$BD$15,0)),"")</f>
        <v>0</v>
      </c>
      <c r="H122" s="262">
        <f ca="1">IF(ISNUMBER(H$114),INDEX('HCW &amp; Staff'!$D$22:$BD$25,3,MATCH(H$114,'HCW &amp; Staff'!$D$15:$BD$15,0)),"")</f>
        <v>0</v>
      </c>
      <c r="I122" s="262">
        <f ca="1">IF(ISNUMBER(I$114),INDEX('HCW &amp; Staff'!$D$22:$BD$25,3,MATCH(I$114,'HCW &amp; Staff'!$D$15:$BD$15,0)),"")</f>
        <v>0</v>
      </c>
      <c r="J122" s="262">
        <f ca="1">IF(ISNUMBER(J$114),INDEX('HCW &amp; Staff'!$D$22:$BD$25,3,MATCH(J$114,'HCW &amp; Staff'!$D$15:$BD$15,0)),"")</f>
        <v>0</v>
      </c>
      <c r="K122" s="262">
        <f ca="1">IF(ISNUMBER(K$114),INDEX('HCW &amp; Staff'!$D$22:$BD$25,3,MATCH(K$114,'HCW &amp; Staff'!$D$15:$BD$15,0)),"")</f>
        <v>0</v>
      </c>
      <c r="L122" s="262">
        <f ca="1">IF(ISNUMBER(L$114),INDEX('HCW &amp; Staff'!$D$22:$BD$25,3,MATCH(L$114,'HCW &amp; Staff'!$D$15:$BD$15,0)),"")</f>
        <v>0</v>
      </c>
      <c r="M122" s="262">
        <f ca="1">IF(ISNUMBER(M$114),INDEX('HCW &amp; Staff'!$D$22:$BD$25,3,MATCH(M$114,'HCW &amp; Staff'!$D$15:$BD$15,0)),"")</f>
        <v>0</v>
      </c>
      <c r="N122" s="262">
        <f ca="1">IF(ISNUMBER(N$114),INDEX('HCW &amp; Staff'!$D$22:$BD$25,3,MATCH(N$114,'HCW &amp; Staff'!$D$15:$BD$15,0)),"")</f>
        <v>0</v>
      </c>
      <c r="O122" s="262">
        <f ca="1">IF(ISNUMBER(O$114),INDEX('HCW &amp; Staff'!$D$22:$BD$25,3,MATCH(O$114,'HCW &amp; Staff'!$D$15:$BD$15,0)),"")</f>
        <v>0</v>
      </c>
      <c r="P122" s="262">
        <f ca="1">IF(ISNUMBER(P$114),INDEX('HCW &amp; Staff'!$D$22:$BD$25,3,MATCH(P$114,'HCW &amp; Staff'!$D$15:$BD$15,0)),"")</f>
        <v>0</v>
      </c>
      <c r="Q122" s="262">
        <f ca="1">IF(ISNUMBER(Q$114),INDEX('HCW &amp; Staff'!$D$22:$BD$25,3,MATCH(Q$114,'HCW &amp; Staff'!$D$15:$BD$15,0)),"")</f>
        <v>0</v>
      </c>
      <c r="R122" s="262" t="str">
        <f>IF(ISNUMBER(R$114),INDEX('HCW &amp; Staff'!$D$22:$BD$25,3,MATCH(R$114,'HCW &amp; Staff'!$D$15:$BD$15,0)),"")</f>
        <v/>
      </c>
      <c r="S122" s="262" t="str">
        <f>IF(ISNUMBER(S$114),INDEX('HCW &amp; Staff'!$D$22:$BD$25,3,MATCH(S$114,'HCW &amp; Staff'!$D$15:$BD$15,0)),"")</f>
        <v/>
      </c>
      <c r="T122" s="262" t="str">
        <f>IF(ISNUMBER(T$114),INDEX('HCW &amp; Staff'!$D$22:$BD$25,3,MATCH(T$114,'HCW &amp; Staff'!$D$15:$BD$15,0)),"")</f>
        <v/>
      </c>
      <c r="U122" s="262" t="str">
        <f>IF(ISNUMBER(U$114),INDEX('HCW &amp; Staff'!$D$22:$BD$25,3,MATCH(U$114,'HCW &amp; Staff'!$D$15:$BD$15,0)),"")</f>
        <v/>
      </c>
      <c r="V122" s="262" t="str">
        <f>IF(ISNUMBER(V$114),INDEX('HCW &amp; Staff'!$D$22:$BD$25,3,MATCH(V$114,'HCW &amp; Staff'!$D$15:$BD$15,0)),"")</f>
        <v/>
      </c>
      <c r="W122" s="262" t="str">
        <f>IF(ISNUMBER(W$114),INDEX('HCW &amp; Staff'!$D$22:$BD$25,3,MATCH(W$114,'HCW &amp; Staff'!$D$15:$BD$15,0)),"")</f>
        <v/>
      </c>
      <c r="X122" s="946" t="str">
        <f>IF(ISNUMBER(X$114),INDEX('HCW &amp; Staff'!$D$22:$BD$25,3,MATCH(X$114,'HCW &amp; Staff'!$D$15:$BD$15,0)),"")</f>
        <v/>
      </c>
      <c r="Y122" s="262" t="str">
        <f>IF(ISNUMBER(Y$114),INDEX('HCW &amp; Staff'!$D$22:$BD$25,3,MATCH(Y$114,'HCW &amp; Staff'!$D$15:$BD$15,0)),"")</f>
        <v/>
      </c>
      <c r="Z122" s="262" t="str">
        <f>IF(ISNUMBER(Z$114),INDEX('HCW &amp; Staff'!$D$22:$BD$25,3,MATCH(Z$114,'HCW &amp; Staff'!$D$15:$BD$15,0)),"")</f>
        <v/>
      </c>
      <c r="AA122" s="262" t="str">
        <f>IF(ISNUMBER(AA$114),INDEX('HCW &amp; Staff'!$D$22:$BD$25,3,MATCH(AA$114,'HCW &amp; Staff'!$D$15:$BD$15,0)),"")</f>
        <v/>
      </c>
      <c r="AB122" s="262" t="str">
        <f>IF(ISNUMBER(AB$114),INDEX('HCW &amp; Staff'!$D$22:$BD$25,3,MATCH(AB$114,'HCW &amp; Staff'!$D$15:$BD$15,0)),"")</f>
        <v/>
      </c>
      <c r="AC122" s="262" t="str">
        <f>IF(ISNUMBER(AC$114),INDEX('HCW &amp; Staff'!$D$22:$BD$25,3,MATCH(AC$114,'HCW &amp; Staff'!$D$15:$BD$15,0)),"")</f>
        <v/>
      </c>
      <c r="AD122" s="262" t="str">
        <f>IF(ISNUMBER(AD$114),INDEX('HCW &amp; Staff'!$D$22:$BD$25,3,MATCH(AD$114,'HCW &amp; Staff'!$D$15:$BD$15,0)),"")</f>
        <v/>
      </c>
      <c r="AE122" s="262" t="str">
        <f>IF(ISNUMBER(AE$114),INDEX('HCW &amp; Staff'!$D$22:$BD$25,3,MATCH(AE$114,'HCW &amp; Staff'!$D$15:$BD$15,0)),"")</f>
        <v/>
      </c>
      <c r="AF122" s="262" t="str">
        <f>IF(ISNUMBER(AF$114),INDEX('HCW &amp; Staff'!$D$22:$BD$25,3,MATCH(AF$114,'HCW &amp; Staff'!$D$15:$BD$15,0)),"")</f>
        <v/>
      </c>
      <c r="AG122" s="262" t="str">
        <f>IF(ISNUMBER(AG$114),INDEX('HCW &amp; Staff'!$D$22:$BD$25,3,MATCH(AG$114,'HCW &amp; Staff'!$D$15:$BD$15,0)),"")</f>
        <v/>
      </c>
      <c r="AH122" s="262" t="str">
        <f>IF(ISNUMBER(AH$114),INDEX('HCW &amp; Staff'!$D$22:$BD$25,3,MATCH(AH$114,'HCW &amp; Staff'!$D$15:$BD$15,0)),"")</f>
        <v/>
      </c>
      <c r="AI122" s="262" t="str">
        <f>IF(ISNUMBER(AI$114),INDEX('HCW &amp; Staff'!$D$22:$BD$25,3,MATCH(AI$114,'HCW &amp; Staff'!$D$15:$BD$15,0)),"")</f>
        <v/>
      </c>
      <c r="AJ122" s="262" t="str">
        <f>IF(ISNUMBER(AJ$114),INDEX('HCW &amp; Staff'!$D$22:$BD$25,3,MATCH(AJ$114,'HCW &amp; Staff'!$D$15:$BD$15,0)),"")</f>
        <v/>
      </c>
      <c r="AK122" s="262" t="str">
        <f>IF(ISNUMBER(AK$114),INDEX('HCW &amp; Staff'!$D$22:$BD$25,3,MATCH(AK$114,'HCW &amp; Staff'!$D$15:$BD$15,0)),"")</f>
        <v/>
      </c>
      <c r="AL122" s="262" t="str">
        <f>IF(ISNUMBER(AL$114),INDEX('HCW &amp; Staff'!$D$22:$BD$25,3,MATCH(AL$114,'HCW &amp; Staff'!$D$15:$BD$15,0)),"")</f>
        <v/>
      </c>
      <c r="AM122" s="262" t="str">
        <f>IF(ISNUMBER(AM$114),INDEX('HCW &amp; Staff'!$D$22:$BD$25,3,MATCH(AM$114,'HCW &amp; Staff'!$D$15:$BD$15,0)),"")</f>
        <v/>
      </c>
      <c r="AN122" s="262" t="str">
        <f>IF(ISNUMBER(AN$114),INDEX('HCW &amp; Staff'!$D$22:$BD$25,3,MATCH(AN$114,'HCW &amp; Staff'!$D$15:$BD$15,0)),"")</f>
        <v/>
      </c>
      <c r="AO122" s="262" t="str">
        <f>IF(ISNUMBER(AO$114),INDEX('HCW &amp; Staff'!$D$22:$BD$25,3,MATCH(AO$114,'HCW &amp; Staff'!$D$15:$BD$15,0)),"")</f>
        <v/>
      </c>
      <c r="AP122" s="262" t="str">
        <f>IF(ISNUMBER(AP$114),INDEX('HCW &amp; Staff'!$D$22:$BD$25,3,MATCH(AP$114,'HCW &amp; Staff'!$D$15:$BD$15,0)),"")</f>
        <v/>
      </c>
      <c r="AQ122" s="262" t="str">
        <f>IF(ISNUMBER(AQ$114),INDEX('HCW &amp; Staff'!$D$22:$BD$25,3,MATCH(AQ$114,'HCW &amp; Staff'!$D$15:$BD$15,0)),"")</f>
        <v/>
      </c>
      <c r="AR122" s="262" t="str">
        <f>IF(ISNUMBER(AR$114),INDEX('HCW &amp; Staff'!$D$22:$BD$25,3,MATCH(AR$114,'HCW &amp; Staff'!$D$15:$BD$15,0)),"")</f>
        <v/>
      </c>
      <c r="AS122" s="262" t="str">
        <f>IF(ISNUMBER(AS$114),INDEX('HCW &amp; Staff'!$D$22:$BD$25,3,MATCH(AS$114,'HCW &amp; Staff'!$D$15:$BD$15,0)),"")</f>
        <v/>
      </c>
      <c r="AT122" s="262" t="str">
        <f>IF(ISNUMBER(AT$114),INDEX('HCW &amp; Staff'!$D$22:$BD$25,3,MATCH(AT$114,'HCW &amp; Staff'!$D$15:$BD$15,0)),"")</f>
        <v/>
      </c>
      <c r="AU122" s="262" t="str">
        <f>IF(ISNUMBER(AU$114),INDEX('HCW &amp; Staff'!$D$22:$BD$25,3,MATCH(AU$114,'HCW &amp; Staff'!$D$15:$BD$15,0)),"")</f>
        <v/>
      </c>
      <c r="AV122" s="262" t="str">
        <f>IF(ISNUMBER(AV$114),INDEX('HCW &amp; Staff'!$D$22:$BD$25,3,MATCH(AV$114,'HCW &amp; Staff'!$D$15:$BD$15,0)),"")</f>
        <v/>
      </c>
      <c r="AW122" s="262" t="str">
        <f>IF(ISNUMBER(AW$114),INDEX('HCW &amp; Staff'!$D$22:$BD$25,3,MATCH(AW$114,'HCW &amp; Staff'!$D$15:$BD$15,0)),"")</f>
        <v/>
      </c>
      <c r="AX122" s="262" t="str">
        <f>IF(ISNUMBER(AX$114),INDEX('HCW &amp; Staff'!$D$22:$BD$25,3,MATCH(AX$114,'HCW &amp; Staff'!$D$15:$BD$15,0)),"")</f>
        <v/>
      </c>
      <c r="AY122" s="262" t="str">
        <f>IF(ISNUMBER(AY$114),INDEX('HCW &amp; Staff'!$D$22:$BD$25,3,MATCH(AY$114,'HCW &amp; Staff'!$D$15:$BD$15,0)),"")</f>
        <v/>
      </c>
      <c r="AZ122" s="262" t="str">
        <f>IF(ISNUMBER(AZ$114),INDEX('HCW &amp; Staff'!$D$22:$BD$25,3,MATCH(AZ$114,'HCW &amp; Staff'!$D$15:$BD$15,0)),"")</f>
        <v/>
      </c>
      <c r="BA122" s="262" t="str">
        <f>IF(ISNUMBER(BA$114),INDEX('HCW &amp; Staff'!$D$22:$BD$25,3,MATCH(BA$114,'HCW &amp; Staff'!$D$15:$BD$15,0)),"")</f>
        <v/>
      </c>
      <c r="BB122" s="262" t="str">
        <f>IF(ISNUMBER(BB$114),INDEX('HCW &amp; Staff'!$D$22:$BD$25,3,MATCH(BB$114,'HCW &amp; Staff'!$D$15:$BD$15,0)),"")</f>
        <v/>
      </c>
      <c r="BC122" s="262" t="str">
        <f>IF(ISNUMBER(BC$114),INDEX('HCW &amp; Staff'!$D$22:$BD$25,3,MATCH(BC$114,'HCW &amp; Staff'!$D$15:$BD$15,0)),"")</f>
        <v/>
      </c>
      <c r="BD122" s="262" t="str">
        <f>IF(ISNUMBER(BD$114),INDEX('HCW &amp; Staff'!$D$22:$BD$25,3,MATCH(BD$114,'HCW &amp; Staff'!$D$15:$BD$15,0)),"")</f>
        <v/>
      </c>
      <c r="BE122" s="96"/>
      <c r="BF122" s="96"/>
      <c r="BG122" s="96"/>
      <c r="BH122" s="96"/>
      <c r="BI122" s="96"/>
      <c r="BJ122" s="96"/>
      <c r="BK122" s="96"/>
      <c r="BL122" s="96"/>
      <c r="BM122" s="96"/>
      <c r="BN122" s="724"/>
    </row>
    <row r="123" spans="1:66" x14ac:dyDescent="0.75">
      <c r="B123" s="1473"/>
      <c r="C123" s="122" t="s">
        <v>1321</v>
      </c>
      <c r="D123" s="96"/>
      <c r="E123" s="714"/>
      <c r="F123" s="262">
        <f ca="1">IF(ISNUMBER(F$114),INDEX('HCW &amp; Staff'!$D$22:$BD$25,4,MATCH(F$114,'HCW &amp; Staff'!$D$15:$BD$15,0)),"")</f>
        <v>3.8764648708759203E-2</v>
      </c>
      <c r="G123" s="262">
        <f ca="1">IF(ISNUMBER(G$114),INDEX('HCW &amp; Staff'!$D$22:$BD$25,4,MATCH(G$114,'HCW &amp; Staff'!$D$15:$BD$15,0)),"")</f>
        <v>0.13184666057729949</v>
      </c>
      <c r="H123" s="262">
        <f ca="1">IF(ISNUMBER(H$114),INDEX('HCW &amp; Staff'!$D$22:$BD$25,4,MATCH(H$114,'HCW &amp; Staff'!$D$15:$BD$15,0)),"")</f>
        <v>0.45308794226780602</v>
      </c>
      <c r="I123" s="262">
        <f ca="1">IF(ISNUMBER(I$114),INDEX('HCW &amp; Staff'!$D$22:$BD$25,4,MATCH(I$114,'HCW &amp; Staff'!$D$15:$BD$15,0)),"")</f>
        <v>1.5569759862458159</v>
      </c>
      <c r="J123" s="262">
        <f ca="1">IF(ISNUMBER(J$114),INDEX('HCW &amp; Staff'!$D$22:$BD$25,4,MATCH(J$114,'HCW &amp; Staff'!$D$15:$BD$15,0)),"")</f>
        <v>5.3497483263270427</v>
      </c>
      <c r="K123" s="262">
        <f ca="1">IF(ISNUMBER(K$114),INDEX('HCW &amp; Staff'!$D$22:$BD$25,4,MATCH(K$114,'HCW &amp; Staff'!$D$15:$BD$15,0)),"")</f>
        <v>18.37468808992692</v>
      </c>
      <c r="L123" s="262">
        <f ca="1">IF(ISNUMBER(L$114),INDEX('HCW &amp; Staff'!$D$22:$BD$25,4,MATCH(L$114,'HCW &amp; Staff'!$D$15:$BD$15,0)),"")</f>
        <v>63.029048302185124</v>
      </c>
      <c r="M123" s="262">
        <f ca="1">IF(ISNUMBER(M$114),INDEX('HCW &amp; Staff'!$D$22:$BD$25,4,MATCH(M$114,'HCW &amp; Staff'!$D$15:$BD$15,0)),"")</f>
        <v>202.91972731050379</v>
      </c>
      <c r="N123" s="262">
        <f ca="1">IF(ISNUMBER(N$114),INDEX('HCW &amp; Staff'!$D$22:$BD$25,4,MATCH(N$114,'HCW &amp; Staff'!$D$15:$BD$15,0)),"")</f>
        <v>557.87519325505366</v>
      </c>
      <c r="O123" s="262">
        <f ca="1">IF(ISNUMBER(O$114),INDEX('HCW &amp; Staff'!$D$22:$BD$25,4,MATCH(O$114,'HCW &amp; Staff'!$D$15:$BD$15,0)),"")</f>
        <v>1323.6479999999999</v>
      </c>
      <c r="P123" s="262">
        <f ca="1">IF(ISNUMBER(P$114),INDEX('HCW &amp; Staff'!$D$22:$BD$25,4,MATCH(P$114,'HCW &amp; Staff'!$D$15:$BD$15,0)),"")</f>
        <v>1323.6479999999999</v>
      </c>
      <c r="Q123" s="262">
        <f ca="1">IF(ISNUMBER(Q$114),INDEX('HCW &amp; Staff'!$D$22:$BD$25,4,MATCH(Q$114,'HCW &amp; Staff'!$D$15:$BD$15,0)),"")</f>
        <v>1323.6479999999999</v>
      </c>
      <c r="R123" s="262" t="str">
        <f>IF(ISNUMBER(R$114),INDEX('HCW &amp; Staff'!$D$22:$BD$25,4,MATCH(R$114,'HCW &amp; Staff'!$D$15:$BD$15,0)),"")</f>
        <v/>
      </c>
      <c r="S123" s="262" t="str">
        <f>IF(ISNUMBER(S$114),INDEX('HCW &amp; Staff'!$D$22:$BD$25,4,MATCH(S$114,'HCW &amp; Staff'!$D$15:$BD$15,0)),"")</f>
        <v/>
      </c>
      <c r="T123" s="262" t="str">
        <f>IF(ISNUMBER(T$114),INDEX('HCW &amp; Staff'!$D$22:$BD$25,4,MATCH(T$114,'HCW &amp; Staff'!$D$15:$BD$15,0)),"")</f>
        <v/>
      </c>
      <c r="U123" s="262" t="str">
        <f>IF(ISNUMBER(U$114),INDEX('HCW &amp; Staff'!$D$22:$BD$25,4,MATCH(U$114,'HCW &amp; Staff'!$D$15:$BD$15,0)),"")</f>
        <v/>
      </c>
      <c r="V123" s="262" t="str">
        <f>IF(ISNUMBER(V$114),INDEX('HCW &amp; Staff'!$D$22:$BD$25,4,MATCH(V$114,'HCW &amp; Staff'!$D$15:$BD$15,0)),"")</f>
        <v/>
      </c>
      <c r="W123" s="262" t="str">
        <f>IF(ISNUMBER(W$114),INDEX('HCW &amp; Staff'!$D$22:$BD$25,4,MATCH(W$114,'HCW &amp; Staff'!$D$15:$BD$15,0)),"")</f>
        <v/>
      </c>
      <c r="X123" s="946" t="str">
        <f>IF(ISNUMBER(X$114),INDEX('HCW &amp; Staff'!$D$22:$BD$25,4,MATCH(X$114,'HCW &amp; Staff'!$D$15:$BD$15,0)),"")</f>
        <v/>
      </c>
      <c r="Y123" s="262" t="str">
        <f>IF(ISNUMBER(Y$114),INDEX('HCW &amp; Staff'!$D$22:$BD$25,4,MATCH(Y$114,'HCW &amp; Staff'!$D$15:$BD$15,0)),"")</f>
        <v/>
      </c>
      <c r="Z123" s="262" t="str">
        <f>IF(ISNUMBER(Z$114),INDEX('HCW &amp; Staff'!$D$22:$BD$25,4,MATCH(Z$114,'HCW &amp; Staff'!$D$15:$BD$15,0)),"")</f>
        <v/>
      </c>
      <c r="AA123" s="262" t="str">
        <f>IF(ISNUMBER(AA$114),INDEX('HCW &amp; Staff'!$D$22:$BD$25,4,MATCH(AA$114,'HCW &amp; Staff'!$D$15:$BD$15,0)),"")</f>
        <v/>
      </c>
      <c r="AB123" s="262" t="str">
        <f>IF(ISNUMBER(AB$114),INDEX('HCW &amp; Staff'!$D$22:$BD$25,4,MATCH(AB$114,'HCW &amp; Staff'!$D$15:$BD$15,0)),"")</f>
        <v/>
      </c>
      <c r="AC123" s="262" t="str">
        <f>IF(ISNUMBER(AC$114),INDEX('HCW &amp; Staff'!$D$22:$BD$25,4,MATCH(AC$114,'HCW &amp; Staff'!$D$15:$BD$15,0)),"")</f>
        <v/>
      </c>
      <c r="AD123" s="262" t="str">
        <f>IF(ISNUMBER(AD$114),INDEX('HCW &amp; Staff'!$D$22:$BD$25,4,MATCH(AD$114,'HCW &amp; Staff'!$D$15:$BD$15,0)),"")</f>
        <v/>
      </c>
      <c r="AE123" s="262" t="str">
        <f>IF(ISNUMBER(AE$114),INDEX('HCW &amp; Staff'!$D$22:$BD$25,4,MATCH(AE$114,'HCW &amp; Staff'!$D$15:$BD$15,0)),"")</f>
        <v/>
      </c>
      <c r="AF123" s="262" t="str">
        <f>IF(ISNUMBER(AF$114),INDEX('HCW &amp; Staff'!$D$22:$BD$25,4,MATCH(AF$114,'HCW &amp; Staff'!$D$15:$BD$15,0)),"")</f>
        <v/>
      </c>
      <c r="AG123" s="262" t="str">
        <f>IF(ISNUMBER(AG$114),INDEX('HCW &amp; Staff'!$D$22:$BD$25,4,MATCH(AG$114,'HCW &amp; Staff'!$D$15:$BD$15,0)),"")</f>
        <v/>
      </c>
      <c r="AH123" s="262" t="str">
        <f>IF(ISNUMBER(AH$114),INDEX('HCW &amp; Staff'!$D$22:$BD$25,4,MATCH(AH$114,'HCW &amp; Staff'!$D$15:$BD$15,0)),"")</f>
        <v/>
      </c>
      <c r="AI123" s="262" t="str">
        <f>IF(ISNUMBER(AI$114),INDEX('HCW &amp; Staff'!$D$22:$BD$25,4,MATCH(AI$114,'HCW &amp; Staff'!$D$15:$BD$15,0)),"")</f>
        <v/>
      </c>
      <c r="AJ123" s="262" t="str">
        <f>IF(ISNUMBER(AJ$114),INDEX('HCW &amp; Staff'!$D$22:$BD$25,4,MATCH(AJ$114,'HCW &amp; Staff'!$D$15:$BD$15,0)),"")</f>
        <v/>
      </c>
      <c r="AK123" s="262" t="str">
        <f>IF(ISNUMBER(AK$114),INDEX('HCW &amp; Staff'!$D$22:$BD$25,4,MATCH(AK$114,'HCW &amp; Staff'!$D$15:$BD$15,0)),"")</f>
        <v/>
      </c>
      <c r="AL123" s="262" t="str">
        <f>IF(ISNUMBER(AL$114),INDEX('HCW &amp; Staff'!$D$22:$BD$25,4,MATCH(AL$114,'HCW &amp; Staff'!$D$15:$BD$15,0)),"")</f>
        <v/>
      </c>
      <c r="AM123" s="262" t="str">
        <f>IF(ISNUMBER(AM$114),INDEX('HCW &amp; Staff'!$D$22:$BD$25,4,MATCH(AM$114,'HCW &amp; Staff'!$D$15:$BD$15,0)),"")</f>
        <v/>
      </c>
      <c r="AN123" s="262" t="str">
        <f>IF(ISNUMBER(AN$114),INDEX('HCW &amp; Staff'!$D$22:$BD$25,4,MATCH(AN$114,'HCW &amp; Staff'!$D$15:$BD$15,0)),"")</f>
        <v/>
      </c>
      <c r="AO123" s="262" t="str">
        <f>IF(ISNUMBER(AO$114),INDEX('HCW &amp; Staff'!$D$22:$BD$25,4,MATCH(AO$114,'HCW &amp; Staff'!$D$15:$BD$15,0)),"")</f>
        <v/>
      </c>
      <c r="AP123" s="262" t="str">
        <f>IF(ISNUMBER(AP$114),INDEX('HCW &amp; Staff'!$D$22:$BD$25,4,MATCH(AP$114,'HCW &amp; Staff'!$D$15:$BD$15,0)),"")</f>
        <v/>
      </c>
      <c r="AQ123" s="262" t="str">
        <f>IF(ISNUMBER(AQ$114),INDEX('HCW &amp; Staff'!$D$22:$BD$25,4,MATCH(AQ$114,'HCW &amp; Staff'!$D$15:$BD$15,0)),"")</f>
        <v/>
      </c>
      <c r="AR123" s="262" t="str">
        <f>IF(ISNUMBER(AR$114),INDEX('HCW &amp; Staff'!$D$22:$BD$25,4,MATCH(AR$114,'HCW &amp; Staff'!$D$15:$BD$15,0)),"")</f>
        <v/>
      </c>
      <c r="AS123" s="262" t="str">
        <f>IF(ISNUMBER(AS$114),INDEX('HCW &amp; Staff'!$D$22:$BD$25,4,MATCH(AS$114,'HCW &amp; Staff'!$D$15:$BD$15,0)),"")</f>
        <v/>
      </c>
      <c r="AT123" s="262" t="str">
        <f>IF(ISNUMBER(AT$114),INDEX('HCW &amp; Staff'!$D$22:$BD$25,4,MATCH(AT$114,'HCW &amp; Staff'!$D$15:$BD$15,0)),"")</f>
        <v/>
      </c>
      <c r="AU123" s="262" t="str">
        <f>IF(ISNUMBER(AU$114),INDEX('HCW &amp; Staff'!$D$22:$BD$25,4,MATCH(AU$114,'HCW &amp; Staff'!$D$15:$BD$15,0)),"")</f>
        <v/>
      </c>
      <c r="AV123" s="262" t="str">
        <f>IF(ISNUMBER(AV$114),INDEX('HCW &amp; Staff'!$D$22:$BD$25,4,MATCH(AV$114,'HCW &amp; Staff'!$D$15:$BD$15,0)),"")</f>
        <v/>
      </c>
      <c r="AW123" s="262" t="str">
        <f>IF(ISNUMBER(AW$114),INDEX('HCW &amp; Staff'!$D$22:$BD$25,4,MATCH(AW$114,'HCW &amp; Staff'!$D$15:$BD$15,0)),"")</f>
        <v/>
      </c>
      <c r="AX123" s="262" t="str">
        <f>IF(ISNUMBER(AX$114),INDEX('HCW &amp; Staff'!$D$22:$BD$25,4,MATCH(AX$114,'HCW &amp; Staff'!$D$15:$BD$15,0)),"")</f>
        <v/>
      </c>
      <c r="AY123" s="262" t="str">
        <f>IF(ISNUMBER(AY$114),INDEX('HCW &amp; Staff'!$D$22:$BD$25,4,MATCH(AY$114,'HCW &amp; Staff'!$D$15:$BD$15,0)),"")</f>
        <v/>
      </c>
      <c r="AZ123" s="262" t="str">
        <f>IF(ISNUMBER(AZ$114),INDEX('HCW &amp; Staff'!$D$22:$BD$25,4,MATCH(AZ$114,'HCW &amp; Staff'!$D$15:$BD$15,0)),"")</f>
        <v/>
      </c>
      <c r="BA123" s="262" t="str">
        <f>IF(ISNUMBER(BA$114),INDEX('HCW &amp; Staff'!$D$22:$BD$25,4,MATCH(BA$114,'HCW &amp; Staff'!$D$15:$BD$15,0)),"")</f>
        <v/>
      </c>
      <c r="BB123" s="262" t="str">
        <f>IF(ISNUMBER(BB$114),INDEX('HCW &amp; Staff'!$D$22:$BD$25,4,MATCH(BB$114,'HCW &amp; Staff'!$D$15:$BD$15,0)),"")</f>
        <v/>
      </c>
      <c r="BC123" s="262" t="str">
        <f>IF(ISNUMBER(BC$114),INDEX('HCW &amp; Staff'!$D$22:$BD$25,4,MATCH(BC$114,'HCW &amp; Staff'!$D$15:$BD$15,0)),"")</f>
        <v/>
      </c>
      <c r="BD123" s="262" t="str">
        <f>IF(ISNUMBER(BD$114),INDEX('HCW &amp; Staff'!$D$22:$BD$25,4,MATCH(BD$114,'HCW &amp; Staff'!$D$15:$BD$15,0)),"")</f>
        <v/>
      </c>
      <c r="BE123" s="96"/>
      <c r="BF123" s="96"/>
      <c r="BG123" s="96"/>
      <c r="BH123" s="96"/>
      <c r="BI123" s="96"/>
      <c r="BJ123" s="96"/>
      <c r="BK123" s="96"/>
      <c r="BL123" s="96"/>
      <c r="BM123" s="96"/>
      <c r="BN123" s="724"/>
    </row>
    <row r="124" spans="1:66" s="804" customFormat="1" x14ac:dyDescent="0.75">
      <c r="A124" s="87"/>
      <c r="B124" s="1474"/>
      <c r="C124" s="122" t="s">
        <v>1619</v>
      </c>
      <c r="D124" s="96"/>
      <c r="E124" s="714"/>
      <c r="F124" s="262">
        <f ca="1">IF(ISNUMBER(F$114),INDEX('HCW &amp; Staff'!$D$22:$BD$26,5,MATCH(F$114,'HCW &amp; Staff'!$D$15:$BD$15,0)),"")</f>
        <v>1.2921549569586402E-2</v>
      </c>
      <c r="G124" s="262">
        <f ca="1">IF(ISNUMBER(G$114),INDEX('HCW &amp; Staff'!$D$22:$BD$26,5,MATCH(G$114,'HCW &amp; Staff'!$D$15:$BD$15,0)),"")</f>
        <v>4.3948886859099832E-2</v>
      </c>
      <c r="H124" s="262">
        <f ca="1">IF(ISNUMBER(H$114),INDEX('HCW &amp; Staff'!$D$22:$BD$26,5,MATCH(H$114,'HCW &amp; Staff'!$D$15:$BD$15,0)),"")</f>
        <v>0.15102931408926867</v>
      </c>
      <c r="I124" s="262">
        <f ca="1">IF(ISNUMBER(I$114),INDEX('HCW &amp; Staff'!$D$22:$BD$26,5,MATCH(I$114,'HCW &amp; Staff'!$D$15:$BD$15,0)),"")</f>
        <v>0.51899199541527197</v>
      </c>
      <c r="J124" s="262">
        <f ca="1">IF(ISNUMBER(J$114),INDEX('HCW &amp; Staff'!$D$22:$BD$26,5,MATCH(J$114,'HCW &amp; Staff'!$D$15:$BD$15,0)),"")</f>
        <v>1.7832494421090144</v>
      </c>
      <c r="K124" s="262">
        <f ca="1">IF(ISNUMBER(K$114),INDEX('HCW &amp; Staff'!$D$22:$BD$26,5,MATCH(K$114,'HCW &amp; Staff'!$D$15:$BD$15,0)),"")</f>
        <v>6.1248960299756403</v>
      </c>
      <c r="L124" s="262">
        <f ca="1">IF(ISNUMBER(L$114),INDEX('HCW &amp; Staff'!$D$22:$BD$26,5,MATCH(L$114,'HCW &amp; Staff'!$D$15:$BD$15,0)),"")</f>
        <v>21.009682767395045</v>
      </c>
      <c r="M124" s="262">
        <f ca="1">IF(ISNUMBER(M$114),INDEX('HCW &amp; Staff'!$D$22:$BD$26,5,MATCH(M$114,'HCW &amp; Staff'!$D$15:$BD$15,0)),"")</f>
        <v>67.639909103501267</v>
      </c>
      <c r="N124" s="262">
        <f ca="1">IF(ISNUMBER(N$114),INDEX('HCW &amp; Staff'!$D$22:$BD$26,5,MATCH(N$114,'HCW &amp; Staff'!$D$15:$BD$15,0)),"")</f>
        <v>185.95839775168457</v>
      </c>
      <c r="O124" s="262">
        <f ca="1">IF(ISNUMBER(O$114),INDEX('HCW &amp; Staff'!$D$22:$BD$26,5,MATCH(O$114,'HCW &amp; Staff'!$D$15:$BD$15,0)),"")</f>
        <v>441.21600000000001</v>
      </c>
      <c r="P124" s="262">
        <f ca="1">IF(ISNUMBER(P$114),INDEX('HCW &amp; Staff'!$D$22:$BD$26,5,MATCH(P$114,'HCW &amp; Staff'!$D$15:$BD$15,0)),"")</f>
        <v>441.21600000000001</v>
      </c>
      <c r="Q124" s="262">
        <f ca="1">IF(ISNUMBER(Q$114),INDEX('HCW &amp; Staff'!$D$22:$BD$26,5,MATCH(Q$114,'HCW &amp; Staff'!$D$15:$BD$15,0)),"")</f>
        <v>441.21600000000001</v>
      </c>
      <c r="R124" s="262" t="str">
        <f>IF(ISNUMBER(R$114),INDEX('HCW &amp; Staff'!$D$22:$BD$26,5,MATCH(R$114,'HCW &amp; Staff'!$D$15:$BD$15,0)),"")</f>
        <v/>
      </c>
      <c r="S124" s="262" t="str">
        <f>IF(ISNUMBER(S$114),INDEX('HCW &amp; Staff'!$D$22:$BD$26,5,MATCH(S$114,'HCW &amp; Staff'!$D$15:$BD$15,0)),"")</f>
        <v/>
      </c>
      <c r="T124" s="262" t="str">
        <f>IF(ISNUMBER(T$114),INDEX('HCW &amp; Staff'!$D$22:$BD$26,5,MATCH(T$114,'HCW &amp; Staff'!$D$15:$BD$15,0)),"")</f>
        <v/>
      </c>
      <c r="U124" s="262" t="str">
        <f>IF(ISNUMBER(U$114),INDEX('HCW &amp; Staff'!$D$22:$BD$26,5,MATCH(U$114,'HCW &amp; Staff'!$D$15:$BD$15,0)),"")</f>
        <v/>
      </c>
      <c r="V124" s="262" t="str">
        <f>IF(ISNUMBER(V$114),INDEX('HCW &amp; Staff'!$D$22:$BD$26,5,MATCH(V$114,'HCW &amp; Staff'!$D$15:$BD$15,0)),"")</f>
        <v/>
      </c>
      <c r="W124" s="262" t="str">
        <f>IF(ISNUMBER(W$114),INDEX('HCW &amp; Staff'!$D$22:$BD$26,5,MATCH(W$114,'HCW &amp; Staff'!$D$15:$BD$15,0)),"")</f>
        <v/>
      </c>
      <c r="X124" s="262" t="str">
        <f>IF(ISNUMBER(X$114),INDEX('HCW &amp; Staff'!$D$22:$BD$26,5,MATCH(X$114,'HCW &amp; Staff'!$D$15:$BD$15,0)),"")</f>
        <v/>
      </c>
      <c r="Y124" s="262" t="str">
        <f>IF(ISNUMBER(Y$114),INDEX('HCW &amp; Staff'!$D$22:$BD$26,5,MATCH(Y$114,'HCW &amp; Staff'!$D$15:$BD$15,0)),"")</f>
        <v/>
      </c>
      <c r="Z124" s="262" t="str">
        <f>IF(ISNUMBER(Z$114),INDEX('HCW &amp; Staff'!$D$22:$BD$26,5,MATCH(Z$114,'HCW &amp; Staff'!$D$15:$BD$15,0)),"")</f>
        <v/>
      </c>
      <c r="AA124" s="262" t="str">
        <f>IF(ISNUMBER(AA$114),INDEX('HCW &amp; Staff'!$D$22:$BD$26,5,MATCH(AA$114,'HCW &amp; Staff'!$D$15:$BD$15,0)),"")</f>
        <v/>
      </c>
      <c r="AB124" s="262" t="str">
        <f>IF(ISNUMBER(AB$114),INDEX('HCW &amp; Staff'!$D$22:$BD$26,5,MATCH(AB$114,'HCW &amp; Staff'!$D$15:$BD$15,0)),"")</f>
        <v/>
      </c>
      <c r="AC124" s="262" t="str">
        <f>IF(ISNUMBER(AC$114),INDEX('HCW &amp; Staff'!$D$22:$BD$26,5,MATCH(AC$114,'HCW &amp; Staff'!$D$15:$BD$15,0)),"")</f>
        <v/>
      </c>
      <c r="AD124" s="262" t="str">
        <f>IF(ISNUMBER(AD$114),INDEX('HCW &amp; Staff'!$D$22:$BD$26,5,MATCH(AD$114,'HCW &amp; Staff'!$D$15:$BD$15,0)),"")</f>
        <v/>
      </c>
      <c r="AE124" s="262" t="str">
        <f>IF(ISNUMBER(AE$114),INDEX('HCW &amp; Staff'!$D$22:$BD$26,5,MATCH(AE$114,'HCW &amp; Staff'!$D$15:$BD$15,0)),"")</f>
        <v/>
      </c>
      <c r="AF124" s="262" t="str">
        <f>IF(ISNUMBER(AF$114),INDEX('HCW &amp; Staff'!$D$22:$BD$26,5,MATCH(AF$114,'HCW &amp; Staff'!$D$15:$BD$15,0)),"")</f>
        <v/>
      </c>
      <c r="AG124" s="262" t="str">
        <f>IF(ISNUMBER(AG$114),INDEX('HCW &amp; Staff'!$D$22:$BD$26,5,MATCH(AG$114,'HCW &amp; Staff'!$D$15:$BD$15,0)),"")</f>
        <v/>
      </c>
      <c r="AH124" s="262" t="str">
        <f>IF(ISNUMBER(AH$114),INDEX('HCW &amp; Staff'!$D$22:$BD$26,5,MATCH(AH$114,'HCW &amp; Staff'!$D$15:$BD$15,0)),"")</f>
        <v/>
      </c>
      <c r="AI124" s="262" t="str">
        <f>IF(ISNUMBER(AI$114),INDEX('HCW &amp; Staff'!$D$22:$BD$26,5,MATCH(AI$114,'HCW &amp; Staff'!$D$15:$BD$15,0)),"")</f>
        <v/>
      </c>
      <c r="AJ124" s="262" t="str">
        <f>IF(ISNUMBER(AJ$114),INDEX('HCW &amp; Staff'!$D$22:$BD$26,5,MATCH(AJ$114,'HCW &amp; Staff'!$D$15:$BD$15,0)),"")</f>
        <v/>
      </c>
      <c r="AK124" s="262" t="str">
        <f>IF(ISNUMBER(AK$114),INDEX('HCW &amp; Staff'!$D$22:$BD$26,5,MATCH(AK$114,'HCW &amp; Staff'!$D$15:$BD$15,0)),"")</f>
        <v/>
      </c>
      <c r="AL124" s="262" t="str">
        <f>IF(ISNUMBER(AL$114),INDEX('HCW &amp; Staff'!$D$22:$BD$26,5,MATCH(AL$114,'HCW &amp; Staff'!$D$15:$BD$15,0)),"")</f>
        <v/>
      </c>
      <c r="AM124" s="262" t="str">
        <f>IF(ISNUMBER(AM$114),INDEX('HCW &amp; Staff'!$D$22:$BD$26,5,MATCH(AM$114,'HCW &amp; Staff'!$D$15:$BD$15,0)),"")</f>
        <v/>
      </c>
      <c r="AN124" s="262" t="str">
        <f>IF(ISNUMBER(AN$114),INDEX('HCW &amp; Staff'!$D$22:$BD$26,5,MATCH(AN$114,'HCW &amp; Staff'!$D$15:$BD$15,0)),"")</f>
        <v/>
      </c>
      <c r="AO124" s="262" t="str">
        <f>IF(ISNUMBER(AO$114),INDEX('HCW &amp; Staff'!$D$22:$BD$26,5,MATCH(AO$114,'HCW &amp; Staff'!$D$15:$BD$15,0)),"")</f>
        <v/>
      </c>
      <c r="AP124" s="262" t="str">
        <f>IF(ISNUMBER(AP$114),INDEX('HCW &amp; Staff'!$D$22:$BD$26,5,MATCH(AP$114,'HCW &amp; Staff'!$D$15:$BD$15,0)),"")</f>
        <v/>
      </c>
      <c r="AQ124" s="262" t="str">
        <f>IF(ISNUMBER(AQ$114),INDEX('HCW &amp; Staff'!$D$22:$BD$26,5,MATCH(AQ$114,'HCW &amp; Staff'!$D$15:$BD$15,0)),"")</f>
        <v/>
      </c>
      <c r="AR124" s="262" t="str">
        <f>IF(ISNUMBER(AR$114),INDEX('HCW &amp; Staff'!$D$22:$BD$26,5,MATCH(AR$114,'HCW &amp; Staff'!$D$15:$BD$15,0)),"")</f>
        <v/>
      </c>
      <c r="AS124" s="262" t="str">
        <f>IF(ISNUMBER(AS$114),INDEX('HCW &amp; Staff'!$D$22:$BD$26,5,MATCH(AS$114,'HCW &amp; Staff'!$D$15:$BD$15,0)),"")</f>
        <v/>
      </c>
      <c r="AT124" s="262" t="str">
        <f>IF(ISNUMBER(AT$114),INDEX('HCW &amp; Staff'!$D$22:$BD$26,5,MATCH(AT$114,'HCW &amp; Staff'!$D$15:$BD$15,0)),"")</f>
        <v/>
      </c>
      <c r="AU124" s="262" t="str">
        <f>IF(ISNUMBER(AU$114),INDEX('HCW &amp; Staff'!$D$22:$BD$26,5,MATCH(AU$114,'HCW &amp; Staff'!$D$15:$BD$15,0)),"")</f>
        <v/>
      </c>
      <c r="AV124" s="262" t="str">
        <f>IF(ISNUMBER(AV$114),INDEX('HCW &amp; Staff'!$D$22:$BD$26,5,MATCH(AV$114,'HCW &amp; Staff'!$D$15:$BD$15,0)),"")</f>
        <v/>
      </c>
      <c r="AW124" s="262" t="str">
        <f>IF(ISNUMBER(AW$114),INDEX('HCW &amp; Staff'!$D$22:$BD$26,5,MATCH(AW$114,'HCW &amp; Staff'!$D$15:$BD$15,0)),"")</f>
        <v/>
      </c>
      <c r="AX124" s="262" t="str">
        <f>IF(ISNUMBER(AX$114),INDEX('HCW &amp; Staff'!$D$22:$BD$26,5,MATCH(AX$114,'HCW &amp; Staff'!$D$15:$BD$15,0)),"")</f>
        <v/>
      </c>
      <c r="AY124" s="262" t="str">
        <f>IF(ISNUMBER(AY$114),INDEX('HCW &amp; Staff'!$D$22:$BD$26,5,MATCH(AY$114,'HCW &amp; Staff'!$D$15:$BD$15,0)),"")</f>
        <v/>
      </c>
      <c r="AZ124" s="262" t="str">
        <f>IF(ISNUMBER(AZ$114),INDEX('HCW &amp; Staff'!$D$22:$BD$26,5,MATCH(AZ$114,'HCW &amp; Staff'!$D$15:$BD$15,0)),"")</f>
        <v/>
      </c>
      <c r="BA124" s="262" t="str">
        <f>IF(ISNUMBER(BA$114),INDEX('HCW &amp; Staff'!$D$22:$BD$26,5,MATCH(BA$114,'HCW &amp; Staff'!$D$15:$BD$15,0)),"")</f>
        <v/>
      </c>
      <c r="BB124" s="262" t="str">
        <f>IF(ISNUMBER(BB$114),INDEX('HCW &amp; Staff'!$D$22:$BD$26,5,MATCH(BB$114,'HCW &amp; Staff'!$D$15:$BD$15,0)),"")</f>
        <v/>
      </c>
      <c r="BC124" s="262" t="str">
        <f>IF(ISNUMBER(BC$114),INDEX('HCW &amp; Staff'!$D$22:$BD$26,5,MATCH(BC$114,'HCW &amp; Staff'!$D$15:$BD$15,0)),"")</f>
        <v/>
      </c>
      <c r="BD124" s="262" t="str">
        <f>IF(ISNUMBER(BD$114),INDEX('HCW &amp; Staff'!$D$22:$BD$26,5,MATCH(BD$114,'HCW &amp; Staff'!$D$15:$BD$15,0)),"")</f>
        <v/>
      </c>
      <c r="BE124" s="96"/>
      <c r="BF124" s="96"/>
      <c r="BG124" s="96"/>
      <c r="BH124" s="96"/>
      <c r="BI124" s="96"/>
      <c r="BJ124" s="96"/>
      <c r="BK124" s="96"/>
      <c r="BL124" s="96"/>
      <c r="BM124" s="96"/>
      <c r="BN124" s="724"/>
    </row>
    <row r="125" spans="1:66" hidden="1" x14ac:dyDescent="0.75">
      <c r="A125" s="713" t="s">
        <v>1401</v>
      </c>
      <c r="B125" s="1456" t="s">
        <v>1008</v>
      </c>
      <c r="C125" s="1453" t="s">
        <v>1319</v>
      </c>
      <c r="D125" s="1454"/>
      <c r="E125" s="1455"/>
      <c r="F125" s="380">
        <f>IF(ISNUMBER(F$114),INDEX('HCW &amp; Staff'!$D$32:$BD$34,1,MATCH(F$114,'HCW &amp; Staff'!$D$15:$BD$15,0)),"")</f>
        <v>0</v>
      </c>
      <c r="G125" s="380">
        <f>IF(ISNUMBER(G$114),INDEX('HCW &amp; Staff'!$D$32:$BD$34,1,MATCH(G$114,'HCW &amp; Staff'!$D$15:$BD$15,0)),"")</f>
        <v>0</v>
      </c>
      <c r="H125" s="380">
        <f>IF(ISNUMBER(H$114),INDEX('HCW &amp; Staff'!$D$32:$BD$34,1,MATCH(H$114,'HCW &amp; Staff'!$D$15:$BD$15,0)),"")</f>
        <v>0</v>
      </c>
      <c r="I125" s="380">
        <f>IF(ISNUMBER(I$114),INDEX('HCW &amp; Staff'!$D$32:$BD$34,1,MATCH(I$114,'HCW &amp; Staff'!$D$15:$BD$15,0)),"")</f>
        <v>0</v>
      </c>
      <c r="J125" s="380">
        <f>IF(ISNUMBER(J$114),INDEX('HCW &amp; Staff'!$D$32:$BD$34,1,MATCH(J$114,'HCW &amp; Staff'!$D$15:$BD$15,0)),"")</f>
        <v>0</v>
      </c>
      <c r="K125" s="380">
        <f>IF(ISNUMBER(K$114),INDEX('HCW &amp; Staff'!$D$32:$BD$34,1,MATCH(K$114,'HCW &amp; Staff'!$D$15:$BD$15,0)),"")</f>
        <v>0</v>
      </c>
      <c r="L125" s="380">
        <f>IF(ISNUMBER(L$114),INDEX('HCW &amp; Staff'!$D$32:$BD$34,1,MATCH(L$114,'HCW &amp; Staff'!$D$15:$BD$15,0)),"")</f>
        <v>0</v>
      </c>
      <c r="M125" s="380">
        <f>IF(ISNUMBER(M$114),INDEX('HCW &amp; Staff'!$D$32:$BD$34,1,MATCH(M$114,'HCW &amp; Staff'!$D$15:$BD$15,0)),"")</f>
        <v>0</v>
      </c>
      <c r="N125" s="380">
        <f>IF(ISNUMBER(N$114),INDEX('HCW &amp; Staff'!$D$32:$BD$34,1,MATCH(N$114,'HCW &amp; Staff'!$D$15:$BD$15,0)),"")</f>
        <v>0</v>
      </c>
      <c r="O125" s="380">
        <f>IF(ISNUMBER(O$114),INDEX('HCW &amp; Staff'!$D$32:$BD$34,1,MATCH(O$114,'HCW &amp; Staff'!$D$15:$BD$15,0)),"")</f>
        <v>0</v>
      </c>
      <c r="P125" s="380">
        <f>IF(ISNUMBER(P$114),INDEX('HCW &amp; Staff'!$D$32:$BD$34,1,MATCH(P$114,'HCW &amp; Staff'!$D$15:$BD$15,0)),"")</f>
        <v>0</v>
      </c>
      <c r="Q125" s="380">
        <f>IF(ISNUMBER(Q$114),INDEX('HCW &amp; Staff'!$D$32:$BD$34,1,MATCH(Q$114,'HCW &amp; Staff'!$D$15:$BD$15,0)),"")</f>
        <v>0</v>
      </c>
      <c r="R125" s="380" t="str">
        <f>IF(ISNUMBER(R$114),INDEX('HCW &amp; Staff'!$D$32:$BD$34,1,MATCH(R$114,'HCW &amp; Staff'!$D$15:$BD$15,0)),"")</f>
        <v/>
      </c>
      <c r="S125" s="380" t="str">
        <f>IF(ISNUMBER(S$114),INDEX('HCW &amp; Staff'!$D$32:$BD$34,1,MATCH(S$114,'HCW &amp; Staff'!$D$15:$BD$15,0)),"")</f>
        <v/>
      </c>
      <c r="T125" s="380" t="str">
        <f>IF(ISNUMBER(T$114),INDEX('HCW &amp; Staff'!$D$32:$BD$34,1,MATCH(T$114,'HCW &amp; Staff'!$D$15:$BD$15,0)),"")</f>
        <v/>
      </c>
      <c r="U125" s="380" t="str">
        <f>IF(ISNUMBER(U$114),INDEX('HCW &amp; Staff'!$D$32:$BD$34,1,MATCH(U$114,'HCW &amp; Staff'!$D$15:$BD$15,0)),"")</f>
        <v/>
      </c>
      <c r="V125" s="380" t="str">
        <f>IF(ISNUMBER(V$114),INDEX('HCW &amp; Staff'!$D$32:$BD$34,1,MATCH(V$114,'HCW &amp; Staff'!$D$15:$BD$15,0)),"")</f>
        <v/>
      </c>
      <c r="W125" s="380" t="str">
        <f>IF(ISNUMBER(W$114),INDEX('HCW &amp; Staff'!$D$32:$BD$34,1,MATCH(W$114,'HCW &amp; Staff'!$D$15:$BD$15,0)),"")</f>
        <v/>
      </c>
      <c r="X125" s="947" t="str">
        <f>IF(ISNUMBER(X$114),INDEX('HCW &amp; Staff'!$D$32:$BD$34,1,MATCH(X$114,'HCW &amp; Staff'!$D$15:$BD$15,0)),"")</f>
        <v/>
      </c>
      <c r="Y125" s="380" t="str">
        <f>IF(ISNUMBER(Y$114),INDEX('HCW &amp; Staff'!$D$32:$BD$34,1,MATCH(Y$114,'HCW &amp; Staff'!$D$15:$BD$15,0)),"")</f>
        <v/>
      </c>
      <c r="Z125" s="380" t="str">
        <f>IF(ISNUMBER(Z$114),INDEX('HCW &amp; Staff'!$D$32:$BD$34,1,MATCH(Z$114,'HCW &amp; Staff'!$D$15:$BD$15,0)),"")</f>
        <v/>
      </c>
      <c r="AA125" s="380" t="str">
        <f>IF(ISNUMBER(AA$114),INDEX('HCW &amp; Staff'!$D$32:$BD$34,1,MATCH(AA$114,'HCW &amp; Staff'!$D$15:$BD$15,0)),"")</f>
        <v/>
      </c>
      <c r="AB125" s="380" t="str">
        <f>IF(ISNUMBER(AB$114),INDEX('HCW &amp; Staff'!$D$32:$BD$34,1,MATCH(AB$114,'HCW &amp; Staff'!$D$15:$BD$15,0)),"")</f>
        <v/>
      </c>
      <c r="AC125" s="380" t="str">
        <f>IF(ISNUMBER(AC$114),INDEX('HCW &amp; Staff'!$D$32:$BD$34,1,MATCH(AC$114,'HCW &amp; Staff'!$D$15:$BD$15,0)),"")</f>
        <v/>
      </c>
      <c r="AD125" s="380" t="str">
        <f>IF(ISNUMBER(AD$114),INDEX('HCW &amp; Staff'!$D$32:$BD$34,1,MATCH(AD$114,'HCW &amp; Staff'!$D$15:$BD$15,0)),"")</f>
        <v/>
      </c>
      <c r="AE125" s="380" t="str">
        <f>IF(ISNUMBER(AE$114),INDEX('HCW &amp; Staff'!$D$32:$BD$34,1,MATCH(AE$114,'HCW &amp; Staff'!$D$15:$BD$15,0)),"")</f>
        <v/>
      </c>
      <c r="AF125" s="380" t="str">
        <f>IF(ISNUMBER(AF$114),INDEX('HCW &amp; Staff'!$D$32:$BD$34,1,MATCH(AF$114,'HCW &amp; Staff'!$D$15:$BD$15,0)),"")</f>
        <v/>
      </c>
      <c r="AG125" s="380" t="str">
        <f>IF(ISNUMBER(AG$114),INDEX('HCW &amp; Staff'!$D$32:$BD$34,1,MATCH(AG$114,'HCW &amp; Staff'!$D$15:$BD$15,0)),"")</f>
        <v/>
      </c>
      <c r="AH125" s="380" t="str">
        <f>IF(ISNUMBER(AH$114),INDEX('HCW &amp; Staff'!$D$32:$BD$34,1,MATCH(AH$114,'HCW &amp; Staff'!$D$15:$BD$15,0)),"")</f>
        <v/>
      </c>
      <c r="AI125" s="380" t="str">
        <f>IF(ISNUMBER(AI$114),INDEX('HCW &amp; Staff'!$D$32:$BD$34,1,MATCH(AI$114,'HCW &amp; Staff'!$D$15:$BD$15,0)),"")</f>
        <v/>
      </c>
      <c r="AJ125" s="380" t="str">
        <f>IF(ISNUMBER(AJ$114),INDEX('HCW &amp; Staff'!$D$32:$BD$34,1,MATCH(AJ$114,'HCW &amp; Staff'!$D$15:$BD$15,0)),"")</f>
        <v/>
      </c>
      <c r="AK125" s="380" t="str">
        <f>IF(ISNUMBER(AK$114),INDEX('HCW &amp; Staff'!$D$32:$BD$34,1,MATCH(AK$114,'HCW &amp; Staff'!$D$15:$BD$15,0)),"")</f>
        <v/>
      </c>
      <c r="AL125" s="380" t="str">
        <f>IF(ISNUMBER(AL$114),INDEX('HCW &amp; Staff'!$D$32:$BD$34,1,MATCH(AL$114,'HCW &amp; Staff'!$D$15:$BD$15,0)),"")</f>
        <v/>
      </c>
      <c r="AM125" s="380" t="str">
        <f>IF(ISNUMBER(AM$114),INDEX('HCW &amp; Staff'!$D$32:$BD$34,1,MATCH(AM$114,'HCW &amp; Staff'!$D$15:$BD$15,0)),"")</f>
        <v/>
      </c>
      <c r="AN125" s="380" t="str">
        <f>IF(ISNUMBER(AN$114),INDEX('HCW &amp; Staff'!$D$32:$BD$34,1,MATCH(AN$114,'HCW &amp; Staff'!$D$15:$BD$15,0)),"")</f>
        <v/>
      </c>
      <c r="AO125" s="380" t="str">
        <f>IF(ISNUMBER(AO$114),INDEX('HCW &amp; Staff'!$D$32:$BD$34,1,MATCH(AO$114,'HCW &amp; Staff'!$D$15:$BD$15,0)),"")</f>
        <v/>
      </c>
      <c r="AP125" s="380" t="str">
        <f>IF(ISNUMBER(AP$114),INDEX('HCW &amp; Staff'!$D$32:$BD$34,1,MATCH(AP$114,'HCW &amp; Staff'!$D$15:$BD$15,0)),"")</f>
        <v/>
      </c>
      <c r="AQ125" s="380" t="str">
        <f>IF(ISNUMBER(AQ$114),INDEX('HCW &amp; Staff'!$D$32:$BD$34,1,MATCH(AQ$114,'HCW &amp; Staff'!$D$15:$BD$15,0)),"")</f>
        <v/>
      </c>
      <c r="AR125" s="380" t="str">
        <f>IF(ISNUMBER(AR$114),INDEX('HCW &amp; Staff'!$D$32:$BD$34,1,MATCH(AR$114,'HCW &amp; Staff'!$D$15:$BD$15,0)),"")</f>
        <v/>
      </c>
      <c r="AS125" s="380" t="str">
        <f>IF(ISNUMBER(AS$114),INDEX('HCW &amp; Staff'!$D$32:$BD$34,1,MATCH(AS$114,'HCW &amp; Staff'!$D$15:$BD$15,0)),"")</f>
        <v/>
      </c>
      <c r="AT125" s="380" t="str">
        <f>IF(ISNUMBER(AT$114),INDEX('HCW &amp; Staff'!$D$32:$BD$34,1,MATCH(AT$114,'HCW &amp; Staff'!$D$15:$BD$15,0)),"")</f>
        <v/>
      </c>
      <c r="AU125" s="380" t="str">
        <f>IF(ISNUMBER(AU$114),INDEX('HCW &amp; Staff'!$D$32:$BD$34,1,MATCH(AU$114,'HCW &amp; Staff'!$D$15:$BD$15,0)),"")</f>
        <v/>
      </c>
      <c r="AV125" s="380" t="str">
        <f>IF(ISNUMBER(AV$114),INDEX('HCW &amp; Staff'!$D$32:$BD$34,1,MATCH(AV$114,'HCW &amp; Staff'!$D$15:$BD$15,0)),"")</f>
        <v/>
      </c>
      <c r="AW125" s="380" t="str">
        <f>IF(ISNUMBER(AW$114),INDEX('HCW &amp; Staff'!$D$32:$BD$34,1,MATCH(AW$114,'HCW &amp; Staff'!$D$15:$BD$15,0)),"")</f>
        <v/>
      </c>
      <c r="AX125" s="380" t="str">
        <f>IF(ISNUMBER(AX$114),INDEX('HCW &amp; Staff'!$D$32:$BD$34,1,MATCH(AX$114,'HCW &amp; Staff'!$D$15:$BD$15,0)),"")</f>
        <v/>
      </c>
      <c r="AY125" s="380" t="str">
        <f>IF(ISNUMBER(AY$114),INDEX('HCW &amp; Staff'!$D$32:$BD$34,1,MATCH(AY$114,'HCW &amp; Staff'!$D$15:$BD$15,0)),"")</f>
        <v/>
      </c>
      <c r="AZ125" s="380" t="str">
        <f>IF(ISNUMBER(AZ$114),INDEX('HCW &amp; Staff'!$D$32:$BD$34,1,MATCH(AZ$114,'HCW &amp; Staff'!$D$15:$BD$15,0)),"")</f>
        <v/>
      </c>
      <c r="BA125" s="380" t="str">
        <f>IF(ISNUMBER(BA$114),INDEX('HCW &amp; Staff'!$D$32:$BD$34,1,MATCH(BA$114,'HCW &amp; Staff'!$D$15:$BD$15,0)),"")</f>
        <v/>
      </c>
      <c r="BB125" s="380" t="str">
        <f>IF(ISNUMBER(BB$114),INDEX('HCW &amp; Staff'!$D$32:$BD$34,1,MATCH(BB$114,'HCW &amp; Staff'!$D$15:$BD$15,0)),"")</f>
        <v/>
      </c>
      <c r="BC125" s="380" t="str">
        <f>IF(ISNUMBER(BC$114),INDEX('HCW &amp; Staff'!$D$32:$BD$34,1,MATCH(BC$114,'HCW &amp; Staff'!$D$15:$BD$15,0)),"")</f>
        <v/>
      </c>
      <c r="BD125" s="380" t="str">
        <f>IF(ISNUMBER(BD$114),INDEX('HCW &amp; Staff'!$D$32:$BD$34,1,MATCH(BD$114,'HCW &amp; Staff'!$D$15:$BD$15,0)),"")</f>
        <v/>
      </c>
      <c r="BE125" s="96"/>
      <c r="BF125" s="96"/>
      <c r="BG125" s="96"/>
      <c r="BH125" s="96"/>
      <c r="BI125" s="96"/>
      <c r="BJ125" s="96"/>
      <c r="BK125" s="96"/>
      <c r="BL125" s="96"/>
      <c r="BM125" s="96"/>
      <c r="BN125" s="724"/>
    </row>
    <row r="126" spans="1:66" ht="14.9" hidden="1" customHeight="1" x14ac:dyDescent="0.75">
      <c r="A126" s="713" t="s">
        <v>1401</v>
      </c>
      <c r="B126" s="1457"/>
      <c r="C126" s="1445" t="s">
        <v>1320</v>
      </c>
      <c r="D126" s="1446"/>
      <c r="E126" s="1447"/>
      <c r="F126" s="241">
        <f>IF(ISNUMBER(F$114),INDEX('HCW &amp; Staff'!$D$32:$BD$34,2,MATCH(F$114,'HCW &amp; Staff'!$D$15:$BD$15,0)),"")</f>
        <v>0</v>
      </c>
      <c r="G126" s="241">
        <f>IF(ISNUMBER(G$114),INDEX('HCW &amp; Staff'!$D$32:$BD$34,2,MATCH(G$114,'HCW &amp; Staff'!$D$15:$BD$15,0)),"")</f>
        <v>0</v>
      </c>
      <c r="H126" s="241">
        <f>IF(ISNUMBER(H$114),INDEX('HCW &amp; Staff'!$D$32:$BD$34,2,MATCH(H$114,'HCW &amp; Staff'!$D$15:$BD$15,0)),"")</f>
        <v>0</v>
      </c>
      <c r="I126" s="241">
        <f>IF(ISNUMBER(I$114),INDEX('HCW &amp; Staff'!$D$32:$BD$34,2,MATCH(I$114,'HCW &amp; Staff'!$D$15:$BD$15,0)),"")</f>
        <v>0</v>
      </c>
      <c r="J126" s="241">
        <f>IF(ISNUMBER(J$114),INDEX('HCW &amp; Staff'!$D$32:$BD$34,2,MATCH(J$114,'HCW &amp; Staff'!$D$15:$BD$15,0)),"")</f>
        <v>0</v>
      </c>
      <c r="K126" s="241">
        <f>IF(ISNUMBER(K$114),INDEX('HCW &amp; Staff'!$D$32:$BD$34,2,MATCH(K$114,'HCW &amp; Staff'!$D$15:$BD$15,0)),"")</f>
        <v>0</v>
      </c>
      <c r="L126" s="241">
        <f>IF(ISNUMBER(L$114),INDEX('HCW &amp; Staff'!$D$32:$BD$34,2,MATCH(L$114,'HCW &amp; Staff'!$D$15:$BD$15,0)),"")</f>
        <v>0</v>
      </c>
      <c r="M126" s="241">
        <f>IF(ISNUMBER(M$114),INDEX('HCW &amp; Staff'!$D$32:$BD$34,2,MATCH(M$114,'HCW &amp; Staff'!$D$15:$BD$15,0)),"")</f>
        <v>0</v>
      </c>
      <c r="N126" s="241">
        <f>IF(ISNUMBER(N$114),INDEX('HCW &amp; Staff'!$D$32:$BD$34,2,MATCH(N$114,'HCW &amp; Staff'!$D$15:$BD$15,0)),"")</f>
        <v>0</v>
      </c>
      <c r="O126" s="241">
        <f>IF(ISNUMBER(O$114),INDEX('HCW &amp; Staff'!$D$32:$BD$34,2,MATCH(O$114,'HCW &amp; Staff'!$D$15:$BD$15,0)),"")</f>
        <v>0</v>
      </c>
      <c r="P126" s="241">
        <f>IF(ISNUMBER(P$114),INDEX('HCW &amp; Staff'!$D$32:$BD$34,2,MATCH(P$114,'HCW &amp; Staff'!$D$15:$BD$15,0)),"")</f>
        <v>0</v>
      </c>
      <c r="Q126" s="241">
        <f>IF(ISNUMBER(Q$114),INDEX('HCW &amp; Staff'!$D$32:$BD$34,2,MATCH(Q$114,'HCW &amp; Staff'!$D$15:$BD$15,0)),"")</f>
        <v>0</v>
      </c>
      <c r="R126" s="241" t="str">
        <f>IF(ISNUMBER(R$114),INDEX('HCW &amp; Staff'!$D$32:$BD$34,2,MATCH(R$114,'HCW &amp; Staff'!$D$15:$BD$15,0)),"")</f>
        <v/>
      </c>
      <c r="S126" s="241" t="str">
        <f>IF(ISNUMBER(S$114),INDEX('HCW &amp; Staff'!$D$32:$BD$34,2,MATCH(S$114,'HCW &amp; Staff'!$D$15:$BD$15,0)),"")</f>
        <v/>
      </c>
      <c r="T126" s="241" t="str">
        <f>IF(ISNUMBER(T$114),INDEX('HCW &amp; Staff'!$D$32:$BD$34,2,MATCH(T$114,'HCW &amp; Staff'!$D$15:$BD$15,0)),"")</f>
        <v/>
      </c>
      <c r="U126" s="241" t="str">
        <f>IF(ISNUMBER(U$114),INDEX('HCW &amp; Staff'!$D$32:$BD$34,2,MATCH(U$114,'HCW &amp; Staff'!$D$15:$BD$15,0)),"")</f>
        <v/>
      </c>
      <c r="V126" s="241" t="str">
        <f>IF(ISNUMBER(V$114),INDEX('HCW &amp; Staff'!$D$32:$BD$34,2,MATCH(V$114,'HCW &amp; Staff'!$D$15:$BD$15,0)),"")</f>
        <v/>
      </c>
      <c r="W126" s="241" t="str">
        <f>IF(ISNUMBER(W$114),INDEX('HCW &amp; Staff'!$D$32:$BD$34,2,MATCH(W$114,'HCW &amp; Staff'!$D$15:$BD$15,0)),"")</f>
        <v/>
      </c>
      <c r="X126" s="948" t="str">
        <f>IF(ISNUMBER(X$114),INDEX('HCW &amp; Staff'!$D$32:$BD$34,2,MATCH(X$114,'HCW &amp; Staff'!$D$15:$BD$15,0)),"")</f>
        <v/>
      </c>
      <c r="Y126" s="241" t="str">
        <f>IF(ISNUMBER(Y$114),INDEX('HCW &amp; Staff'!$D$32:$BD$34,2,MATCH(Y$114,'HCW &amp; Staff'!$D$15:$BD$15,0)),"")</f>
        <v/>
      </c>
      <c r="Z126" s="241" t="str">
        <f>IF(ISNUMBER(Z$114),INDEX('HCW &amp; Staff'!$D$32:$BD$34,2,MATCH(Z$114,'HCW &amp; Staff'!$D$15:$BD$15,0)),"")</f>
        <v/>
      </c>
      <c r="AA126" s="241" t="str">
        <f>IF(ISNUMBER(AA$114),INDEX('HCW &amp; Staff'!$D$32:$BD$34,2,MATCH(AA$114,'HCW &amp; Staff'!$D$15:$BD$15,0)),"")</f>
        <v/>
      </c>
      <c r="AB126" s="241" t="str">
        <f>IF(ISNUMBER(AB$114),INDEX('HCW &amp; Staff'!$D$32:$BD$34,2,MATCH(AB$114,'HCW &amp; Staff'!$D$15:$BD$15,0)),"")</f>
        <v/>
      </c>
      <c r="AC126" s="241" t="str">
        <f>IF(ISNUMBER(AC$114),INDEX('HCW &amp; Staff'!$D$32:$BD$34,2,MATCH(AC$114,'HCW &amp; Staff'!$D$15:$BD$15,0)),"")</f>
        <v/>
      </c>
      <c r="AD126" s="241" t="str">
        <f>IF(ISNUMBER(AD$114),INDEX('HCW &amp; Staff'!$D$32:$BD$34,2,MATCH(AD$114,'HCW &amp; Staff'!$D$15:$BD$15,0)),"")</f>
        <v/>
      </c>
      <c r="AE126" s="241" t="str">
        <f>IF(ISNUMBER(AE$114),INDEX('HCW &amp; Staff'!$D$32:$BD$34,2,MATCH(AE$114,'HCW &amp; Staff'!$D$15:$BD$15,0)),"")</f>
        <v/>
      </c>
      <c r="AF126" s="241" t="str">
        <f>IF(ISNUMBER(AF$114),INDEX('HCW &amp; Staff'!$D$32:$BD$34,2,MATCH(AF$114,'HCW &amp; Staff'!$D$15:$BD$15,0)),"")</f>
        <v/>
      </c>
      <c r="AG126" s="241" t="str">
        <f>IF(ISNUMBER(AG$114),INDEX('HCW &amp; Staff'!$D$32:$BD$34,2,MATCH(AG$114,'HCW &amp; Staff'!$D$15:$BD$15,0)),"")</f>
        <v/>
      </c>
      <c r="AH126" s="241" t="str">
        <f>IF(ISNUMBER(AH$114),INDEX('HCW &amp; Staff'!$D$32:$BD$34,2,MATCH(AH$114,'HCW &amp; Staff'!$D$15:$BD$15,0)),"")</f>
        <v/>
      </c>
      <c r="AI126" s="241" t="str">
        <f>IF(ISNUMBER(AI$114),INDEX('HCW &amp; Staff'!$D$32:$BD$34,2,MATCH(AI$114,'HCW &amp; Staff'!$D$15:$BD$15,0)),"")</f>
        <v/>
      </c>
      <c r="AJ126" s="241" t="str">
        <f>IF(ISNUMBER(AJ$114),INDEX('HCW &amp; Staff'!$D$32:$BD$34,2,MATCH(AJ$114,'HCW &amp; Staff'!$D$15:$BD$15,0)),"")</f>
        <v/>
      </c>
      <c r="AK126" s="241" t="str">
        <f>IF(ISNUMBER(AK$114),INDEX('HCW &amp; Staff'!$D$32:$BD$34,2,MATCH(AK$114,'HCW &amp; Staff'!$D$15:$BD$15,0)),"")</f>
        <v/>
      </c>
      <c r="AL126" s="241" t="str">
        <f>IF(ISNUMBER(AL$114),INDEX('HCW &amp; Staff'!$D$32:$BD$34,2,MATCH(AL$114,'HCW &amp; Staff'!$D$15:$BD$15,0)),"")</f>
        <v/>
      </c>
      <c r="AM126" s="241" t="str">
        <f>IF(ISNUMBER(AM$114),INDEX('HCW &amp; Staff'!$D$32:$BD$34,2,MATCH(AM$114,'HCW &amp; Staff'!$D$15:$BD$15,0)),"")</f>
        <v/>
      </c>
      <c r="AN126" s="241" t="str">
        <f>IF(ISNUMBER(AN$114),INDEX('HCW &amp; Staff'!$D$32:$BD$34,2,MATCH(AN$114,'HCW &amp; Staff'!$D$15:$BD$15,0)),"")</f>
        <v/>
      </c>
      <c r="AO126" s="241" t="str">
        <f>IF(ISNUMBER(AO$114),INDEX('HCW &amp; Staff'!$D$32:$BD$34,2,MATCH(AO$114,'HCW &amp; Staff'!$D$15:$BD$15,0)),"")</f>
        <v/>
      </c>
      <c r="AP126" s="241" t="str">
        <f>IF(ISNUMBER(AP$114),INDEX('HCW &amp; Staff'!$D$32:$BD$34,2,MATCH(AP$114,'HCW &amp; Staff'!$D$15:$BD$15,0)),"")</f>
        <v/>
      </c>
      <c r="AQ126" s="241" t="str">
        <f>IF(ISNUMBER(AQ$114),INDEX('HCW &amp; Staff'!$D$32:$BD$34,2,MATCH(AQ$114,'HCW &amp; Staff'!$D$15:$BD$15,0)),"")</f>
        <v/>
      </c>
      <c r="AR126" s="241" t="str">
        <f>IF(ISNUMBER(AR$114),INDEX('HCW &amp; Staff'!$D$32:$BD$34,2,MATCH(AR$114,'HCW &amp; Staff'!$D$15:$BD$15,0)),"")</f>
        <v/>
      </c>
      <c r="AS126" s="241" t="str">
        <f>IF(ISNUMBER(AS$114),INDEX('HCW &amp; Staff'!$D$32:$BD$34,2,MATCH(AS$114,'HCW &amp; Staff'!$D$15:$BD$15,0)),"")</f>
        <v/>
      </c>
      <c r="AT126" s="241" t="str">
        <f>IF(ISNUMBER(AT$114),INDEX('HCW &amp; Staff'!$D$32:$BD$34,2,MATCH(AT$114,'HCW &amp; Staff'!$D$15:$BD$15,0)),"")</f>
        <v/>
      </c>
      <c r="AU126" s="241" t="str">
        <f>IF(ISNUMBER(AU$114),INDEX('HCW &amp; Staff'!$D$32:$BD$34,2,MATCH(AU$114,'HCW &amp; Staff'!$D$15:$BD$15,0)),"")</f>
        <v/>
      </c>
      <c r="AV126" s="241" t="str">
        <f>IF(ISNUMBER(AV$114),INDEX('HCW &amp; Staff'!$D$32:$BD$34,2,MATCH(AV$114,'HCW &amp; Staff'!$D$15:$BD$15,0)),"")</f>
        <v/>
      </c>
      <c r="AW126" s="241" t="str">
        <f>IF(ISNUMBER(AW$114),INDEX('HCW &amp; Staff'!$D$32:$BD$34,2,MATCH(AW$114,'HCW &amp; Staff'!$D$15:$BD$15,0)),"")</f>
        <v/>
      </c>
      <c r="AX126" s="241" t="str">
        <f>IF(ISNUMBER(AX$114),INDEX('HCW &amp; Staff'!$D$32:$BD$34,2,MATCH(AX$114,'HCW &amp; Staff'!$D$15:$BD$15,0)),"")</f>
        <v/>
      </c>
      <c r="AY126" s="241" t="str">
        <f>IF(ISNUMBER(AY$114),INDEX('HCW &amp; Staff'!$D$32:$BD$34,2,MATCH(AY$114,'HCW &amp; Staff'!$D$15:$BD$15,0)),"")</f>
        <v/>
      </c>
      <c r="AZ126" s="241" t="str">
        <f>IF(ISNUMBER(AZ$114),INDEX('HCW &amp; Staff'!$D$32:$BD$34,2,MATCH(AZ$114,'HCW &amp; Staff'!$D$15:$BD$15,0)),"")</f>
        <v/>
      </c>
      <c r="BA126" s="241" t="str">
        <f>IF(ISNUMBER(BA$114),INDEX('HCW &amp; Staff'!$D$32:$BD$34,2,MATCH(BA$114,'HCW &amp; Staff'!$D$15:$BD$15,0)),"")</f>
        <v/>
      </c>
      <c r="BB126" s="241" t="str">
        <f>IF(ISNUMBER(BB$114),INDEX('HCW &amp; Staff'!$D$32:$BD$34,2,MATCH(BB$114,'HCW &amp; Staff'!$D$15:$BD$15,0)),"")</f>
        <v/>
      </c>
      <c r="BC126" s="241" t="str">
        <f>IF(ISNUMBER(BC$114),INDEX('HCW &amp; Staff'!$D$32:$BD$34,2,MATCH(BC$114,'HCW &amp; Staff'!$D$15:$BD$15,0)),"")</f>
        <v/>
      </c>
      <c r="BD126" s="241" t="str">
        <f>IF(ISNUMBER(BD$114),INDEX('HCW &amp; Staff'!$D$32:$BD$34,2,MATCH(BD$114,'HCW &amp; Staff'!$D$15:$BD$15,0)),"")</f>
        <v/>
      </c>
      <c r="BE126" s="96"/>
      <c r="BF126" s="96"/>
      <c r="BG126" s="96"/>
      <c r="BH126" s="96"/>
      <c r="BI126" s="96"/>
      <c r="BJ126" s="96"/>
      <c r="BK126" s="96"/>
      <c r="BL126" s="96"/>
      <c r="BM126" s="96"/>
      <c r="BN126" s="724"/>
    </row>
    <row r="127" spans="1:66" hidden="1" x14ac:dyDescent="0.75">
      <c r="A127" s="713" t="s">
        <v>1401</v>
      </c>
      <c r="B127" s="1458"/>
      <c r="C127" s="122" t="s">
        <v>711</v>
      </c>
      <c r="D127" s="96"/>
      <c r="E127" s="96"/>
      <c r="F127" s="242">
        <f>IF(ISNUMBER(F$114),INDEX('HCW &amp; Staff'!$D$32:$BD$34,3,MATCH(F$114,'HCW &amp; Staff'!$D$15:$BD$15,0)),"")</f>
        <v>0</v>
      </c>
      <c r="G127" s="242">
        <f>IF(ISNUMBER(G$114),INDEX('HCW &amp; Staff'!$D$32:$BD$34,3,MATCH(G$114,'HCW &amp; Staff'!$D$15:$BD$15,0)),"")</f>
        <v>0</v>
      </c>
      <c r="H127" s="242">
        <f>IF(ISNUMBER(H$114),INDEX('HCW &amp; Staff'!$D$32:$BD$34,3,MATCH(H$114,'HCW &amp; Staff'!$D$15:$BD$15,0)),"")</f>
        <v>0</v>
      </c>
      <c r="I127" s="242">
        <f>IF(ISNUMBER(I$114),INDEX('HCW &amp; Staff'!$D$32:$BD$34,3,MATCH(I$114,'HCW &amp; Staff'!$D$15:$BD$15,0)),"")</f>
        <v>0</v>
      </c>
      <c r="J127" s="242">
        <f>IF(ISNUMBER(J$114),INDEX('HCW &amp; Staff'!$D$32:$BD$34,3,MATCH(J$114,'HCW &amp; Staff'!$D$15:$BD$15,0)),"")</f>
        <v>0</v>
      </c>
      <c r="K127" s="242">
        <f>IF(ISNUMBER(K$114),INDEX('HCW &amp; Staff'!$D$32:$BD$34,3,MATCH(K$114,'HCW &amp; Staff'!$D$15:$BD$15,0)),"")</f>
        <v>0</v>
      </c>
      <c r="L127" s="242">
        <f>IF(ISNUMBER(L$114),INDEX('HCW &amp; Staff'!$D$32:$BD$34,3,MATCH(L$114,'HCW &amp; Staff'!$D$15:$BD$15,0)),"")</f>
        <v>0</v>
      </c>
      <c r="M127" s="242">
        <f>IF(ISNUMBER(M$114),INDEX('HCW &amp; Staff'!$D$32:$BD$34,3,MATCH(M$114,'HCW &amp; Staff'!$D$15:$BD$15,0)),"")</f>
        <v>0</v>
      </c>
      <c r="N127" s="242">
        <f>IF(ISNUMBER(N$114),INDEX('HCW &amp; Staff'!$D$32:$BD$34,3,MATCH(N$114,'HCW &amp; Staff'!$D$15:$BD$15,0)),"")</f>
        <v>0</v>
      </c>
      <c r="O127" s="242">
        <f>IF(ISNUMBER(O$114),INDEX('HCW &amp; Staff'!$D$32:$BD$34,3,MATCH(O$114,'HCW &amp; Staff'!$D$15:$BD$15,0)),"")</f>
        <v>0</v>
      </c>
      <c r="P127" s="242">
        <f>IF(ISNUMBER(P$114),INDEX('HCW &amp; Staff'!$D$32:$BD$34,3,MATCH(P$114,'HCW &amp; Staff'!$D$15:$BD$15,0)),"")</f>
        <v>0</v>
      </c>
      <c r="Q127" s="242">
        <f>IF(ISNUMBER(Q$114),INDEX('HCW &amp; Staff'!$D$32:$BD$34,3,MATCH(Q$114,'HCW &amp; Staff'!$D$15:$BD$15,0)),"")</f>
        <v>0</v>
      </c>
      <c r="R127" s="242" t="str">
        <f>IF(ISNUMBER(R$114),INDEX('HCW &amp; Staff'!$D$32:$BD$34,3,MATCH(R$114,'HCW &amp; Staff'!$D$15:$BD$15,0)),"")</f>
        <v/>
      </c>
      <c r="S127" s="242" t="str">
        <f>IF(ISNUMBER(S$114),INDEX('HCW &amp; Staff'!$D$32:$BD$34,3,MATCH(S$114,'HCW &amp; Staff'!$D$15:$BD$15,0)),"")</f>
        <v/>
      </c>
      <c r="T127" s="242" t="str">
        <f>IF(ISNUMBER(T$114),INDEX('HCW &amp; Staff'!$D$32:$BD$34,3,MATCH(T$114,'HCW &amp; Staff'!$D$15:$BD$15,0)),"")</f>
        <v/>
      </c>
      <c r="U127" s="242" t="str">
        <f>IF(ISNUMBER(U$114),INDEX('HCW &amp; Staff'!$D$32:$BD$34,3,MATCH(U$114,'HCW &amp; Staff'!$D$15:$BD$15,0)),"")</f>
        <v/>
      </c>
      <c r="V127" s="242" t="str">
        <f>IF(ISNUMBER(V$114),INDEX('HCW &amp; Staff'!$D$32:$BD$34,3,MATCH(V$114,'HCW &amp; Staff'!$D$15:$BD$15,0)),"")</f>
        <v/>
      </c>
      <c r="W127" s="242" t="str">
        <f>IF(ISNUMBER(W$114),INDEX('HCW &amp; Staff'!$D$32:$BD$34,3,MATCH(W$114,'HCW &amp; Staff'!$D$15:$BD$15,0)),"")</f>
        <v/>
      </c>
      <c r="X127" s="949" t="str">
        <f>IF(ISNUMBER(X$114),INDEX('HCW &amp; Staff'!$D$32:$BD$34,3,MATCH(X$114,'HCW &amp; Staff'!$D$15:$BD$15,0)),"")</f>
        <v/>
      </c>
      <c r="Y127" s="242" t="str">
        <f>IF(ISNUMBER(Y$114),INDEX('HCW &amp; Staff'!$D$32:$BD$34,3,MATCH(Y$114,'HCW &amp; Staff'!$D$15:$BD$15,0)),"")</f>
        <v/>
      </c>
      <c r="Z127" s="242" t="str">
        <f>IF(ISNUMBER(Z$114),INDEX('HCW &amp; Staff'!$D$32:$BD$34,3,MATCH(Z$114,'HCW &amp; Staff'!$D$15:$BD$15,0)),"")</f>
        <v/>
      </c>
      <c r="AA127" s="242" t="str">
        <f>IF(ISNUMBER(AA$114),INDEX('HCW &amp; Staff'!$D$32:$BD$34,3,MATCH(AA$114,'HCW &amp; Staff'!$D$15:$BD$15,0)),"")</f>
        <v/>
      </c>
      <c r="AB127" s="242" t="str">
        <f>IF(ISNUMBER(AB$114),INDEX('HCW &amp; Staff'!$D$32:$BD$34,3,MATCH(AB$114,'HCW &amp; Staff'!$D$15:$BD$15,0)),"")</f>
        <v/>
      </c>
      <c r="AC127" s="242" t="str">
        <f>IF(ISNUMBER(AC$114),INDEX('HCW &amp; Staff'!$D$32:$BD$34,3,MATCH(AC$114,'HCW &amp; Staff'!$D$15:$BD$15,0)),"")</f>
        <v/>
      </c>
      <c r="AD127" s="242" t="str">
        <f>IF(ISNUMBER(AD$114),INDEX('HCW &amp; Staff'!$D$32:$BD$34,3,MATCH(AD$114,'HCW &amp; Staff'!$D$15:$BD$15,0)),"")</f>
        <v/>
      </c>
      <c r="AE127" s="242" t="str">
        <f>IF(ISNUMBER(AE$114),INDEX('HCW &amp; Staff'!$D$32:$BD$34,3,MATCH(AE$114,'HCW &amp; Staff'!$D$15:$BD$15,0)),"")</f>
        <v/>
      </c>
      <c r="AF127" s="242" t="str">
        <f>IF(ISNUMBER(AF$114),INDEX('HCW &amp; Staff'!$D$32:$BD$34,3,MATCH(AF$114,'HCW &amp; Staff'!$D$15:$BD$15,0)),"")</f>
        <v/>
      </c>
      <c r="AG127" s="242" t="str">
        <f>IF(ISNUMBER(AG$114),INDEX('HCW &amp; Staff'!$D$32:$BD$34,3,MATCH(AG$114,'HCW &amp; Staff'!$D$15:$BD$15,0)),"")</f>
        <v/>
      </c>
      <c r="AH127" s="242" t="str">
        <f>IF(ISNUMBER(AH$114),INDEX('HCW &amp; Staff'!$D$32:$BD$34,3,MATCH(AH$114,'HCW &amp; Staff'!$D$15:$BD$15,0)),"")</f>
        <v/>
      </c>
      <c r="AI127" s="242" t="str">
        <f>IF(ISNUMBER(AI$114),INDEX('HCW &amp; Staff'!$D$32:$BD$34,3,MATCH(AI$114,'HCW &amp; Staff'!$D$15:$BD$15,0)),"")</f>
        <v/>
      </c>
      <c r="AJ127" s="242" t="str">
        <f>IF(ISNUMBER(AJ$114),INDEX('HCW &amp; Staff'!$D$32:$BD$34,3,MATCH(AJ$114,'HCW &amp; Staff'!$D$15:$BD$15,0)),"")</f>
        <v/>
      </c>
      <c r="AK127" s="242" t="str">
        <f>IF(ISNUMBER(AK$114),INDEX('HCW &amp; Staff'!$D$32:$BD$34,3,MATCH(AK$114,'HCW &amp; Staff'!$D$15:$BD$15,0)),"")</f>
        <v/>
      </c>
      <c r="AL127" s="242" t="str">
        <f>IF(ISNUMBER(AL$114),INDEX('HCW &amp; Staff'!$D$32:$BD$34,3,MATCH(AL$114,'HCW &amp; Staff'!$D$15:$BD$15,0)),"")</f>
        <v/>
      </c>
      <c r="AM127" s="242" t="str">
        <f>IF(ISNUMBER(AM$114),INDEX('HCW &amp; Staff'!$D$32:$BD$34,3,MATCH(AM$114,'HCW &amp; Staff'!$D$15:$BD$15,0)),"")</f>
        <v/>
      </c>
      <c r="AN127" s="242" t="str">
        <f>IF(ISNUMBER(AN$114),INDEX('HCW &amp; Staff'!$D$32:$BD$34,3,MATCH(AN$114,'HCW &amp; Staff'!$D$15:$BD$15,0)),"")</f>
        <v/>
      </c>
      <c r="AO127" s="242" t="str">
        <f>IF(ISNUMBER(AO$114),INDEX('HCW &amp; Staff'!$D$32:$BD$34,3,MATCH(AO$114,'HCW &amp; Staff'!$D$15:$BD$15,0)),"")</f>
        <v/>
      </c>
      <c r="AP127" s="242" t="str">
        <f>IF(ISNUMBER(AP$114),INDEX('HCW &amp; Staff'!$D$32:$BD$34,3,MATCH(AP$114,'HCW &amp; Staff'!$D$15:$BD$15,0)),"")</f>
        <v/>
      </c>
      <c r="AQ127" s="242" t="str">
        <f>IF(ISNUMBER(AQ$114),INDEX('HCW &amp; Staff'!$D$32:$BD$34,3,MATCH(AQ$114,'HCW &amp; Staff'!$D$15:$BD$15,0)),"")</f>
        <v/>
      </c>
      <c r="AR127" s="242" t="str">
        <f>IF(ISNUMBER(AR$114),INDEX('HCW &amp; Staff'!$D$32:$BD$34,3,MATCH(AR$114,'HCW &amp; Staff'!$D$15:$BD$15,0)),"")</f>
        <v/>
      </c>
      <c r="AS127" s="242" t="str">
        <f>IF(ISNUMBER(AS$114),INDEX('HCW &amp; Staff'!$D$32:$BD$34,3,MATCH(AS$114,'HCW &amp; Staff'!$D$15:$BD$15,0)),"")</f>
        <v/>
      </c>
      <c r="AT127" s="242" t="str">
        <f>IF(ISNUMBER(AT$114),INDEX('HCW &amp; Staff'!$D$32:$BD$34,3,MATCH(AT$114,'HCW &amp; Staff'!$D$15:$BD$15,0)),"")</f>
        <v/>
      </c>
      <c r="AU127" s="242" t="str">
        <f>IF(ISNUMBER(AU$114),INDEX('HCW &amp; Staff'!$D$32:$BD$34,3,MATCH(AU$114,'HCW &amp; Staff'!$D$15:$BD$15,0)),"")</f>
        <v/>
      </c>
      <c r="AV127" s="242" t="str">
        <f>IF(ISNUMBER(AV$114),INDEX('HCW &amp; Staff'!$D$32:$BD$34,3,MATCH(AV$114,'HCW &amp; Staff'!$D$15:$BD$15,0)),"")</f>
        <v/>
      </c>
      <c r="AW127" s="242" t="str">
        <f>IF(ISNUMBER(AW$114),INDEX('HCW &amp; Staff'!$D$32:$BD$34,3,MATCH(AW$114,'HCW &amp; Staff'!$D$15:$BD$15,0)),"")</f>
        <v/>
      </c>
      <c r="AX127" s="242" t="str">
        <f>IF(ISNUMBER(AX$114),INDEX('HCW &amp; Staff'!$D$32:$BD$34,3,MATCH(AX$114,'HCW &amp; Staff'!$D$15:$BD$15,0)),"")</f>
        <v/>
      </c>
      <c r="AY127" s="242" t="str">
        <f>IF(ISNUMBER(AY$114),INDEX('HCW &amp; Staff'!$D$32:$BD$34,3,MATCH(AY$114,'HCW &amp; Staff'!$D$15:$BD$15,0)),"")</f>
        <v/>
      </c>
      <c r="AZ127" s="242" t="str">
        <f>IF(ISNUMBER(AZ$114),INDEX('HCW &amp; Staff'!$D$32:$BD$34,3,MATCH(AZ$114,'HCW &amp; Staff'!$D$15:$BD$15,0)),"")</f>
        <v/>
      </c>
      <c r="BA127" s="242" t="str">
        <f>IF(ISNUMBER(BA$114),INDEX('HCW &amp; Staff'!$D$32:$BD$34,3,MATCH(BA$114,'HCW &amp; Staff'!$D$15:$BD$15,0)),"")</f>
        <v/>
      </c>
      <c r="BB127" s="242" t="str">
        <f>IF(ISNUMBER(BB$114),INDEX('HCW &amp; Staff'!$D$32:$BD$34,3,MATCH(BB$114,'HCW &amp; Staff'!$D$15:$BD$15,0)),"")</f>
        <v/>
      </c>
      <c r="BC127" s="242" t="str">
        <f>IF(ISNUMBER(BC$114),INDEX('HCW &amp; Staff'!$D$32:$BD$34,3,MATCH(BC$114,'HCW &amp; Staff'!$D$15:$BD$15,0)),"")</f>
        <v/>
      </c>
      <c r="BD127" s="242" t="str">
        <f>IF(ISNUMBER(BD$114),INDEX('HCW &amp; Staff'!$D$32:$BD$34,3,MATCH(BD$114,'HCW &amp; Staff'!$D$15:$BD$15,0)),"")</f>
        <v/>
      </c>
      <c r="BE127" s="96"/>
      <c r="BF127" s="96"/>
      <c r="BG127" s="96"/>
      <c r="BH127" s="96"/>
      <c r="BI127" s="96"/>
      <c r="BJ127" s="96"/>
      <c r="BK127" s="96"/>
      <c r="BL127" s="96"/>
      <c r="BM127" s="96"/>
      <c r="BN127" s="724"/>
    </row>
    <row r="128" spans="1:66" s="144" customFormat="1" x14ac:dyDescent="0.75">
      <c r="B128" s="145" t="s">
        <v>1604</v>
      </c>
      <c r="C128" s="1448" t="s">
        <v>1531</v>
      </c>
      <c r="D128" s="1449"/>
      <c r="E128" s="1450"/>
      <c r="F128" s="556">
        <f ca="1">IF(ISNUMBER(F$114),INDEX('HCW &amp; Staff'!$D$43:$BD$43,1,MATCH(F$114,'HCW &amp; Staff'!$D$15:$BD$15,0)),"")</f>
        <v>1</v>
      </c>
      <c r="G128" s="556">
        <f ca="1">IF(ISNUMBER(G$114),INDEX('HCW &amp; Staff'!$D$43:$BD$43,1,MATCH(G$114,'HCW &amp; Staff'!$D$15:$BD$15,0)),"")</f>
        <v>1</v>
      </c>
      <c r="H128" s="556">
        <f ca="1">IF(ISNUMBER(H$114),INDEX('HCW &amp; Staff'!$D$43:$BD$43,1,MATCH(H$114,'HCW &amp; Staff'!$D$15:$BD$15,0)),"")</f>
        <v>1</v>
      </c>
      <c r="I128" s="556">
        <f ca="1">IF(ISNUMBER(I$114),INDEX('HCW &amp; Staff'!$D$43:$BD$43,1,MATCH(I$114,'HCW &amp; Staff'!$D$15:$BD$15,0)),"")</f>
        <v>1</v>
      </c>
      <c r="J128" s="556">
        <f ca="1">IF(ISNUMBER(J$114),INDEX('HCW &amp; Staff'!$D$43:$BD$43,1,MATCH(J$114,'HCW &amp; Staff'!$D$15:$BD$15,0)),"")</f>
        <v>3</v>
      </c>
      <c r="K128" s="556">
        <f ca="1">IF(ISNUMBER(K$114),INDEX('HCW &amp; Staff'!$D$43:$BD$43,1,MATCH(K$114,'HCW &amp; Staff'!$D$15:$BD$15,0)),"")</f>
        <v>10</v>
      </c>
      <c r="L128" s="556">
        <f ca="1">IF(ISNUMBER(L$114),INDEX('HCW &amp; Staff'!$D$43:$BD$43,1,MATCH(L$114,'HCW &amp; Staff'!$D$15:$BD$15,0)),"")</f>
        <v>34</v>
      </c>
      <c r="M128" s="556">
        <f ca="1">IF(ISNUMBER(M$114),INDEX('HCW &amp; Staff'!$D$43:$BD$43,1,MATCH(M$114,'HCW &amp; Staff'!$D$15:$BD$15,0)),"")</f>
        <v>113</v>
      </c>
      <c r="N128" s="556">
        <f ca="1">IF(ISNUMBER(N$114),INDEX('HCW &amp; Staff'!$D$43:$BD$43,1,MATCH(N$114,'HCW &amp; Staff'!$D$15:$BD$15,0)),"")</f>
        <v>380</v>
      </c>
      <c r="O128" s="556">
        <f ca="1">IF(ISNUMBER(O$114),INDEX('HCW &amp; Staff'!$D$43:$BD$43,1,MATCH(O$114,'HCW &amp; Staff'!$D$15:$BD$15,0)),"")</f>
        <v>913.83651078213904</v>
      </c>
      <c r="P128" s="556">
        <f ca="1">IF(ISNUMBER(P$114),INDEX('HCW &amp; Staff'!$D$43:$BD$43,1,MATCH(P$114,'HCW &amp; Staff'!$D$15:$BD$15,0)),"")</f>
        <v>913.83651078213904</v>
      </c>
      <c r="Q128" s="556">
        <f ca="1">IF(ISNUMBER(Q$114),INDEX('HCW &amp; Staff'!$D$43:$BD$43,1,MATCH(Q$114,'HCW &amp; Staff'!$D$15:$BD$15,0)),"")</f>
        <v>913.83651078213904</v>
      </c>
      <c r="R128" s="556" t="str">
        <f>IF(ISNUMBER(R$114),INDEX('HCW &amp; Staff'!$D$43:$BD$43,1,MATCH(R$114,'HCW &amp; Staff'!$D$15:$BD$15,0)),"")</f>
        <v/>
      </c>
      <c r="S128" s="556" t="str">
        <f>IF(ISNUMBER(S$114),INDEX('HCW &amp; Staff'!$D$43:$BD$43,1,MATCH(S$114,'HCW &amp; Staff'!$D$15:$BD$15,0)),"")</f>
        <v/>
      </c>
      <c r="T128" s="556" t="str">
        <f>IF(ISNUMBER(T$114),INDEX('HCW &amp; Staff'!$D$43:$BD$43,1,MATCH(T$114,'HCW &amp; Staff'!$D$15:$BD$15,0)),"")</f>
        <v/>
      </c>
      <c r="U128" s="556" t="str">
        <f>IF(ISNUMBER(U$114),INDEX('HCW &amp; Staff'!$D$43:$BD$43,1,MATCH(U$114,'HCW &amp; Staff'!$D$15:$BD$15,0)),"")</f>
        <v/>
      </c>
      <c r="V128" s="556" t="str">
        <f>IF(ISNUMBER(V$114),INDEX('HCW &amp; Staff'!$D$43:$BD$43,1,MATCH(V$114,'HCW &amp; Staff'!$D$15:$BD$15,0)),"")</f>
        <v/>
      </c>
      <c r="W128" s="556" t="str">
        <f>IF(ISNUMBER(W$114),INDEX('HCW &amp; Staff'!$D$43:$BD$43,1,MATCH(W$114,'HCW &amp; Staff'!$D$15:$BD$15,0)),"")</f>
        <v/>
      </c>
      <c r="X128" s="950" t="str">
        <f>IF(ISNUMBER(X$114),INDEX('HCW &amp; Staff'!$D$43:$BD$43,1,MATCH(X$114,'HCW &amp; Staff'!$D$15:$BD$15,0)),"")</f>
        <v/>
      </c>
      <c r="Y128" s="556" t="str">
        <f>IF(ISNUMBER(Y$114),INDEX('HCW &amp; Staff'!$D$43:$BD$43,1,MATCH(Y$114,'HCW &amp; Staff'!$D$15:$BD$15,0)),"")</f>
        <v/>
      </c>
      <c r="Z128" s="556" t="str">
        <f>IF(ISNUMBER(Z$114),INDEX('HCW &amp; Staff'!$D$43:$BD$43,1,MATCH(Z$114,'HCW &amp; Staff'!$D$15:$BD$15,0)),"")</f>
        <v/>
      </c>
      <c r="AA128" s="556" t="str">
        <f>IF(ISNUMBER(AA$114),INDEX('HCW &amp; Staff'!$D$43:$BD$43,1,MATCH(AA$114,'HCW &amp; Staff'!$D$15:$BD$15,0)),"")</f>
        <v/>
      </c>
      <c r="AB128" s="556" t="str">
        <f>IF(ISNUMBER(AB$114),INDEX('HCW &amp; Staff'!$D$43:$BD$43,1,MATCH(AB$114,'HCW &amp; Staff'!$D$15:$BD$15,0)),"")</f>
        <v/>
      </c>
      <c r="AC128" s="556" t="str">
        <f>IF(ISNUMBER(AC$114),INDEX('HCW &amp; Staff'!$D$43:$BD$43,1,MATCH(AC$114,'HCW &amp; Staff'!$D$15:$BD$15,0)),"")</f>
        <v/>
      </c>
      <c r="AD128" s="556" t="str">
        <f>IF(ISNUMBER(AD$114),INDEX('HCW &amp; Staff'!$D$43:$BD$43,1,MATCH(AD$114,'HCW &amp; Staff'!$D$15:$BD$15,0)),"")</f>
        <v/>
      </c>
      <c r="AE128" s="556" t="str">
        <f>IF(ISNUMBER(AE$114),INDEX('HCW &amp; Staff'!$D$43:$BD$43,1,MATCH(AE$114,'HCW &amp; Staff'!$D$15:$BD$15,0)),"")</f>
        <v/>
      </c>
      <c r="AF128" s="556" t="str">
        <f>IF(ISNUMBER(AF$114),INDEX('HCW &amp; Staff'!$D$43:$BD$43,1,MATCH(AF$114,'HCW &amp; Staff'!$D$15:$BD$15,0)),"")</f>
        <v/>
      </c>
      <c r="AG128" s="556" t="str">
        <f>IF(ISNUMBER(AG$114),INDEX('HCW &amp; Staff'!$D$43:$BD$43,1,MATCH(AG$114,'HCW &amp; Staff'!$D$15:$BD$15,0)),"")</f>
        <v/>
      </c>
      <c r="AH128" s="556" t="str">
        <f>IF(ISNUMBER(AH$114),INDEX('HCW &amp; Staff'!$D$43:$BD$43,1,MATCH(AH$114,'HCW &amp; Staff'!$D$15:$BD$15,0)),"")</f>
        <v/>
      </c>
      <c r="AI128" s="556" t="str">
        <f>IF(ISNUMBER(AI$114),INDEX('HCW &amp; Staff'!$D$43:$BD$43,1,MATCH(AI$114,'HCW &amp; Staff'!$D$15:$BD$15,0)),"")</f>
        <v/>
      </c>
      <c r="AJ128" s="556" t="str">
        <f>IF(ISNUMBER(AJ$114),INDEX('HCW &amp; Staff'!$D$43:$BD$43,1,MATCH(AJ$114,'HCW &amp; Staff'!$D$15:$BD$15,0)),"")</f>
        <v/>
      </c>
      <c r="AK128" s="556" t="str">
        <f>IF(ISNUMBER(AK$114),INDEX('HCW &amp; Staff'!$D$43:$BD$43,1,MATCH(AK$114,'HCW &amp; Staff'!$D$15:$BD$15,0)),"")</f>
        <v/>
      </c>
      <c r="AL128" s="556" t="str">
        <f>IF(ISNUMBER(AL$114),INDEX('HCW &amp; Staff'!$D$43:$BD$43,1,MATCH(AL$114,'HCW &amp; Staff'!$D$15:$BD$15,0)),"")</f>
        <v/>
      </c>
      <c r="AM128" s="556" t="str">
        <f>IF(ISNUMBER(AM$114),INDEX('HCW &amp; Staff'!$D$43:$BD$43,1,MATCH(AM$114,'HCW &amp; Staff'!$D$15:$BD$15,0)),"")</f>
        <v/>
      </c>
      <c r="AN128" s="556" t="str">
        <f>IF(ISNUMBER(AN$114),INDEX('HCW &amp; Staff'!$D$43:$BD$43,1,MATCH(AN$114,'HCW &amp; Staff'!$D$15:$BD$15,0)),"")</f>
        <v/>
      </c>
      <c r="AO128" s="556" t="str">
        <f>IF(ISNUMBER(AO$114),INDEX('HCW &amp; Staff'!$D$43:$BD$43,1,MATCH(AO$114,'HCW &amp; Staff'!$D$15:$BD$15,0)),"")</f>
        <v/>
      </c>
      <c r="AP128" s="556" t="str">
        <f>IF(ISNUMBER(AP$114),INDEX('HCW &amp; Staff'!$D$43:$BD$43,1,MATCH(AP$114,'HCW &amp; Staff'!$D$15:$BD$15,0)),"")</f>
        <v/>
      </c>
      <c r="AQ128" s="556" t="str">
        <f>IF(ISNUMBER(AQ$114),INDEX('HCW &amp; Staff'!$D$43:$BD$43,1,MATCH(AQ$114,'HCW &amp; Staff'!$D$15:$BD$15,0)),"")</f>
        <v/>
      </c>
      <c r="AR128" s="556" t="str">
        <f>IF(ISNUMBER(AR$114),INDEX('HCW &amp; Staff'!$D$43:$BD$43,1,MATCH(AR$114,'HCW &amp; Staff'!$D$15:$BD$15,0)),"")</f>
        <v/>
      </c>
      <c r="AS128" s="556" t="str">
        <f>IF(ISNUMBER(AS$114),INDEX('HCW &amp; Staff'!$D$43:$BD$43,1,MATCH(AS$114,'HCW &amp; Staff'!$D$15:$BD$15,0)),"")</f>
        <v/>
      </c>
      <c r="AT128" s="556" t="str">
        <f>IF(ISNUMBER(AT$114),INDEX('HCW &amp; Staff'!$D$43:$BD$43,1,MATCH(AT$114,'HCW &amp; Staff'!$D$15:$BD$15,0)),"")</f>
        <v/>
      </c>
      <c r="AU128" s="556" t="str">
        <f>IF(ISNUMBER(AU$114),INDEX('HCW &amp; Staff'!$D$43:$BD$43,1,MATCH(AU$114,'HCW &amp; Staff'!$D$15:$BD$15,0)),"")</f>
        <v/>
      </c>
      <c r="AV128" s="556" t="str">
        <f>IF(ISNUMBER(AV$114),INDEX('HCW &amp; Staff'!$D$43:$BD$43,1,MATCH(AV$114,'HCW &amp; Staff'!$D$15:$BD$15,0)),"")</f>
        <v/>
      </c>
      <c r="AW128" s="556" t="str">
        <f>IF(ISNUMBER(AW$114),INDEX('HCW &amp; Staff'!$D$43:$BD$43,1,MATCH(AW$114,'HCW &amp; Staff'!$D$15:$BD$15,0)),"")</f>
        <v/>
      </c>
      <c r="AX128" s="556" t="str">
        <f>IF(ISNUMBER(AX$114),INDEX('HCW &amp; Staff'!$D$43:$BD$43,1,MATCH(AX$114,'HCW &amp; Staff'!$D$15:$BD$15,0)),"")</f>
        <v/>
      </c>
      <c r="AY128" s="556" t="str">
        <f>IF(ISNUMBER(AY$114),INDEX('HCW &amp; Staff'!$D$43:$BD$43,1,MATCH(AY$114,'HCW &amp; Staff'!$D$15:$BD$15,0)),"")</f>
        <v/>
      </c>
      <c r="AZ128" s="556" t="str">
        <f>IF(ISNUMBER(AZ$114),INDEX('HCW &amp; Staff'!$D$43:$BD$43,1,MATCH(AZ$114,'HCW &amp; Staff'!$D$15:$BD$15,0)),"")</f>
        <v/>
      </c>
      <c r="BA128" s="556" t="str">
        <f>IF(ISNUMBER(BA$114),INDEX('HCW &amp; Staff'!$D$43:$BD$43,1,MATCH(BA$114,'HCW &amp; Staff'!$D$15:$BD$15,0)),"")</f>
        <v/>
      </c>
      <c r="BB128" s="556" t="str">
        <f>IF(ISNUMBER(BB$114),INDEX('HCW &amp; Staff'!$D$43:$BD$43,1,MATCH(BB$114,'HCW &amp; Staff'!$D$15:$BD$15,0)),"")</f>
        <v/>
      </c>
      <c r="BC128" s="556" t="str">
        <f>IF(ISNUMBER(BC$114),INDEX('HCW &amp; Staff'!$D$43:$BD$43,1,MATCH(BC$114,'HCW &amp; Staff'!$D$15:$BD$15,0)),"")</f>
        <v/>
      </c>
      <c r="BD128" s="556" t="str">
        <f>IF(ISNUMBER(BD$114),INDEX('HCW &amp; Staff'!$D$43:$BD$43,1,MATCH(BD$114,'HCW &amp; Staff'!$D$15:$BD$15,0)),"")</f>
        <v/>
      </c>
      <c r="BE128" s="722"/>
      <c r="BF128" s="722"/>
      <c r="BG128" s="722"/>
      <c r="BH128" s="722"/>
      <c r="BI128" s="722"/>
      <c r="BJ128" s="722"/>
      <c r="BK128" s="722"/>
      <c r="BL128" s="722"/>
      <c r="BM128" s="722"/>
      <c r="BN128" s="723"/>
    </row>
    <row r="129" spans="1:66" x14ac:dyDescent="0.75">
      <c r="B129" s="1403" t="s">
        <v>286</v>
      </c>
      <c r="C129" s="122" t="s">
        <v>816</v>
      </c>
      <c r="D129" s="96"/>
      <c r="E129" s="96"/>
      <c r="F129" s="241">
        <f>IF(ISNUMBER(F$114),INDEX('HCW &amp; Staff'!$D$48:$BD$49,1,MATCH(F$114,'HCW &amp; Staff'!$D$15:$BD$15,0)),"")</f>
        <v>312</v>
      </c>
      <c r="G129" s="241">
        <f>IF(ISNUMBER(G$114),INDEX('HCW &amp; Staff'!$D$48:$BD$49,1,MATCH(G$114,'HCW &amp; Staff'!$D$15:$BD$15,0)),"")</f>
        <v>312</v>
      </c>
      <c r="H129" s="241">
        <f>IF(ISNUMBER(H$114),INDEX('HCW &amp; Staff'!$D$48:$BD$49,1,MATCH(H$114,'HCW &amp; Staff'!$D$15:$BD$15,0)),"")</f>
        <v>312</v>
      </c>
      <c r="I129" s="241">
        <f>IF(ISNUMBER(I$114),INDEX('HCW &amp; Staff'!$D$48:$BD$49,1,MATCH(I$114,'HCW &amp; Staff'!$D$15:$BD$15,0)),"")</f>
        <v>312</v>
      </c>
      <c r="J129" s="241">
        <f>IF(ISNUMBER(J$114),INDEX('HCW &amp; Staff'!$D$48:$BD$49,1,MATCH(J$114,'HCW &amp; Staff'!$D$15:$BD$15,0)),"")</f>
        <v>312</v>
      </c>
      <c r="K129" s="241">
        <f>IF(ISNUMBER(K$114),INDEX('HCW &amp; Staff'!$D$48:$BD$49,1,MATCH(K$114,'HCW &amp; Staff'!$D$15:$BD$15,0)),"")</f>
        <v>312</v>
      </c>
      <c r="L129" s="241">
        <f>IF(ISNUMBER(L$114),INDEX('HCW &amp; Staff'!$D$48:$BD$49,1,MATCH(L$114,'HCW &amp; Staff'!$D$15:$BD$15,0)),"")</f>
        <v>312</v>
      </c>
      <c r="M129" s="241">
        <f>IF(ISNUMBER(M$114),INDEX('HCW &amp; Staff'!$D$48:$BD$49,1,MATCH(M$114,'HCW &amp; Staff'!$D$15:$BD$15,0)),"")</f>
        <v>312</v>
      </c>
      <c r="N129" s="241">
        <f>IF(ISNUMBER(N$114),INDEX('HCW &amp; Staff'!$D$48:$BD$49,1,MATCH(N$114,'HCW &amp; Staff'!$D$15:$BD$15,0)),"")</f>
        <v>312</v>
      </c>
      <c r="O129" s="241">
        <f>IF(ISNUMBER(O$114),INDEX('HCW &amp; Staff'!$D$48:$BD$49,1,MATCH(O$114,'HCW &amp; Staff'!$D$15:$BD$15,0)),"")</f>
        <v>312</v>
      </c>
      <c r="P129" s="241">
        <f>IF(ISNUMBER(P$114),INDEX('HCW &amp; Staff'!$D$48:$BD$49,1,MATCH(P$114,'HCW &amp; Staff'!$D$15:$BD$15,0)),"")</f>
        <v>312</v>
      </c>
      <c r="Q129" s="241">
        <f>IF(ISNUMBER(Q$114),INDEX('HCW &amp; Staff'!$D$48:$BD$49,1,MATCH(Q$114,'HCW &amp; Staff'!$D$15:$BD$15,0)),"")</f>
        <v>312</v>
      </c>
      <c r="R129" s="241" t="str">
        <f>IF(ISNUMBER(R$114),INDEX('HCW &amp; Staff'!$D$48:$BD$49,1,MATCH(R$114,'HCW &amp; Staff'!$D$15:$BD$15,0)),"")</f>
        <v/>
      </c>
      <c r="S129" s="241" t="str">
        <f>IF(ISNUMBER(S$114),INDEX('HCW &amp; Staff'!$D$48:$BD$49,1,MATCH(S$114,'HCW &amp; Staff'!$D$15:$BD$15,0)),"")</f>
        <v/>
      </c>
      <c r="T129" s="241" t="str">
        <f>IF(ISNUMBER(T$114),INDEX('HCW &amp; Staff'!$D$48:$BD$49,1,MATCH(T$114,'HCW &amp; Staff'!$D$15:$BD$15,0)),"")</f>
        <v/>
      </c>
      <c r="U129" s="241" t="str">
        <f>IF(ISNUMBER(U$114),INDEX('HCW &amp; Staff'!$D$48:$BD$49,1,MATCH(U$114,'HCW &amp; Staff'!$D$15:$BD$15,0)),"")</f>
        <v/>
      </c>
      <c r="V129" s="241" t="str">
        <f>IF(ISNUMBER(V$114),INDEX('HCW &amp; Staff'!$D$48:$BD$49,1,MATCH(V$114,'HCW &amp; Staff'!$D$15:$BD$15,0)),"")</f>
        <v/>
      </c>
      <c r="W129" s="241" t="str">
        <f>IF(ISNUMBER(W$114),INDEX('HCW &amp; Staff'!$D$48:$BD$49,1,MATCH(W$114,'HCW &amp; Staff'!$D$15:$BD$15,0)),"")</f>
        <v/>
      </c>
      <c r="X129" s="948" t="str">
        <f>IF(ISNUMBER(X$114),INDEX('HCW &amp; Staff'!$D$48:$BD$49,1,MATCH(X$114,'HCW &amp; Staff'!$D$15:$BD$15,0)),"")</f>
        <v/>
      </c>
      <c r="Y129" s="241" t="str">
        <f>IF(ISNUMBER(Y$114),INDEX('HCW &amp; Staff'!$D$48:$BD$49,1,MATCH(Y$114,'HCW &amp; Staff'!$D$15:$BD$15,0)),"")</f>
        <v/>
      </c>
      <c r="Z129" s="241" t="str">
        <f>IF(ISNUMBER(Z$114),INDEX('HCW &amp; Staff'!$D$48:$BD$49,1,MATCH(Z$114,'HCW &amp; Staff'!$D$15:$BD$15,0)),"")</f>
        <v/>
      </c>
      <c r="AA129" s="241" t="str">
        <f>IF(ISNUMBER(AA$114),INDEX('HCW &amp; Staff'!$D$48:$BD$49,1,MATCH(AA$114,'HCW &amp; Staff'!$D$15:$BD$15,0)),"")</f>
        <v/>
      </c>
      <c r="AB129" s="241" t="str">
        <f>IF(ISNUMBER(AB$114),INDEX('HCW &amp; Staff'!$D$48:$BD$49,1,MATCH(AB$114,'HCW &amp; Staff'!$D$15:$BD$15,0)),"")</f>
        <v/>
      </c>
      <c r="AC129" s="241" t="str">
        <f>IF(ISNUMBER(AC$114),INDEX('HCW &amp; Staff'!$D$48:$BD$49,1,MATCH(AC$114,'HCW &amp; Staff'!$D$15:$BD$15,0)),"")</f>
        <v/>
      </c>
      <c r="AD129" s="241" t="str">
        <f>IF(ISNUMBER(AD$114),INDEX('HCW &amp; Staff'!$D$48:$BD$49,1,MATCH(AD$114,'HCW &amp; Staff'!$D$15:$BD$15,0)),"")</f>
        <v/>
      </c>
      <c r="AE129" s="241" t="str">
        <f>IF(ISNUMBER(AE$114),INDEX('HCW &amp; Staff'!$D$48:$BD$49,1,MATCH(AE$114,'HCW &amp; Staff'!$D$15:$BD$15,0)),"")</f>
        <v/>
      </c>
      <c r="AF129" s="241" t="str">
        <f>IF(ISNUMBER(AF$114),INDEX('HCW &amp; Staff'!$D$48:$BD$49,1,MATCH(AF$114,'HCW &amp; Staff'!$D$15:$BD$15,0)),"")</f>
        <v/>
      </c>
      <c r="AG129" s="241" t="str">
        <f>IF(ISNUMBER(AG$114),INDEX('HCW &amp; Staff'!$D$48:$BD$49,1,MATCH(AG$114,'HCW &amp; Staff'!$D$15:$BD$15,0)),"")</f>
        <v/>
      </c>
      <c r="AH129" s="241" t="str">
        <f>IF(ISNUMBER(AH$114),INDEX('HCW &amp; Staff'!$D$48:$BD$49,1,MATCH(AH$114,'HCW &amp; Staff'!$D$15:$BD$15,0)),"")</f>
        <v/>
      </c>
      <c r="AI129" s="241" t="str">
        <f>IF(ISNUMBER(AI$114),INDEX('HCW &amp; Staff'!$D$48:$BD$49,1,MATCH(AI$114,'HCW &amp; Staff'!$D$15:$BD$15,0)),"")</f>
        <v/>
      </c>
      <c r="AJ129" s="241" t="str">
        <f>IF(ISNUMBER(AJ$114),INDEX('HCW &amp; Staff'!$D$48:$BD$49,1,MATCH(AJ$114,'HCW &amp; Staff'!$D$15:$BD$15,0)),"")</f>
        <v/>
      </c>
      <c r="AK129" s="241" t="str">
        <f>IF(ISNUMBER(AK$114),INDEX('HCW &amp; Staff'!$D$48:$BD$49,1,MATCH(AK$114,'HCW &amp; Staff'!$D$15:$BD$15,0)),"")</f>
        <v/>
      </c>
      <c r="AL129" s="241" t="str">
        <f>IF(ISNUMBER(AL$114),INDEX('HCW &amp; Staff'!$D$48:$BD$49,1,MATCH(AL$114,'HCW &amp; Staff'!$D$15:$BD$15,0)),"")</f>
        <v/>
      </c>
      <c r="AM129" s="241" t="str">
        <f>IF(ISNUMBER(AM$114),INDEX('HCW &amp; Staff'!$D$48:$BD$49,1,MATCH(AM$114,'HCW &amp; Staff'!$D$15:$BD$15,0)),"")</f>
        <v/>
      </c>
      <c r="AN129" s="241" t="str">
        <f>IF(ISNUMBER(AN$114),INDEX('HCW &amp; Staff'!$D$48:$BD$49,1,MATCH(AN$114,'HCW &amp; Staff'!$D$15:$BD$15,0)),"")</f>
        <v/>
      </c>
      <c r="AO129" s="241" t="str">
        <f>IF(ISNUMBER(AO$114),INDEX('HCW &amp; Staff'!$D$48:$BD$49,1,MATCH(AO$114,'HCW &amp; Staff'!$D$15:$BD$15,0)),"")</f>
        <v/>
      </c>
      <c r="AP129" s="241" t="str">
        <f>IF(ISNUMBER(AP$114),INDEX('HCW &amp; Staff'!$D$48:$BD$49,1,MATCH(AP$114,'HCW &amp; Staff'!$D$15:$BD$15,0)),"")</f>
        <v/>
      </c>
      <c r="AQ129" s="241" t="str">
        <f>IF(ISNUMBER(AQ$114),INDEX('HCW &amp; Staff'!$D$48:$BD$49,1,MATCH(AQ$114,'HCW &amp; Staff'!$D$15:$BD$15,0)),"")</f>
        <v/>
      </c>
      <c r="AR129" s="241" t="str">
        <f>IF(ISNUMBER(AR$114),INDEX('HCW &amp; Staff'!$D$48:$BD$49,1,MATCH(AR$114,'HCW &amp; Staff'!$D$15:$BD$15,0)),"")</f>
        <v/>
      </c>
      <c r="AS129" s="241" t="str">
        <f>IF(ISNUMBER(AS$114),INDEX('HCW &amp; Staff'!$D$48:$BD$49,1,MATCH(AS$114,'HCW &amp; Staff'!$D$15:$BD$15,0)),"")</f>
        <v/>
      </c>
      <c r="AT129" s="241" t="str">
        <f>IF(ISNUMBER(AT$114),INDEX('HCW &amp; Staff'!$D$48:$BD$49,1,MATCH(AT$114,'HCW &amp; Staff'!$D$15:$BD$15,0)),"")</f>
        <v/>
      </c>
      <c r="AU129" s="241" t="str">
        <f>IF(ISNUMBER(AU$114),INDEX('HCW &amp; Staff'!$D$48:$BD$49,1,MATCH(AU$114,'HCW &amp; Staff'!$D$15:$BD$15,0)),"")</f>
        <v/>
      </c>
      <c r="AV129" s="241" t="str">
        <f>IF(ISNUMBER(AV$114),INDEX('HCW &amp; Staff'!$D$48:$BD$49,1,MATCH(AV$114,'HCW &amp; Staff'!$D$15:$BD$15,0)),"")</f>
        <v/>
      </c>
      <c r="AW129" s="241" t="str">
        <f>IF(ISNUMBER(AW$114),INDEX('HCW &amp; Staff'!$D$48:$BD$49,1,MATCH(AW$114,'HCW &amp; Staff'!$D$15:$BD$15,0)),"")</f>
        <v/>
      </c>
      <c r="AX129" s="241" t="str">
        <f>IF(ISNUMBER(AX$114),INDEX('HCW &amp; Staff'!$D$48:$BD$49,1,MATCH(AX$114,'HCW &amp; Staff'!$D$15:$BD$15,0)),"")</f>
        <v/>
      </c>
      <c r="AY129" s="241" t="str">
        <f>IF(ISNUMBER(AY$114),INDEX('HCW &amp; Staff'!$D$48:$BD$49,1,MATCH(AY$114,'HCW &amp; Staff'!$D$15:$BD$15,0)),"")</f>
        <v/>
      </c>
      <c r="AZ129" s="241" t="str">
        <f>IF(ISNUMBER(AZ$114),INDEX('HCW &amp; Staff'!$D$48:$BD$49,1,MATCH(AZ$114,'HCW &amp; Staff'!$D$15:$BD$15,0)),"")</f>
        <v/>
      </c>
      <c r="BA129" s="241" t="str">
        <f>IF(ISNUMBER(BA$114),INDEX('HCW &amp; Staff'!$D$48:$BD$49,1,MATCH(BA$114,'HCW &amp; Staff'!$D$15:$BD$15,0)),"")</f>
        <v/>
      </c>
      <c r="BB129" s="241" t="str">
        <f>IF(ISNUMBER(BB$114),INDEX('HCW &amp; Staff'!$D$48:$BD$49,1,MATCH(BB$114,'HCW &amp; Staff'!$D$15:$BD$15,0)),"")</f>
        <v/>
      </c>
      <c r="BC129" s="241" t="str">
        <f>IF(ISNUMBER(BC$114),INDEX('HCW &amp; Staff'!$D$48:$BD$49,1,MATCH(BC$114,'HCW &amp; Staff'!$D$15:$BD$15,0)),"")</f>
        <v/>
      </c>
      <c r="BD129" s="241" t="str">
        <f>IF(ISNUMBER(BD$114),INDEX('HCW &amp; Staff'!$D$48:$BD$49,1,MATCH(BD$114,'HCW &amp; Staff'!$D$15:$BD$15,0)),"")</f>
        <v/>
      </c>
      <c r="BE129" s="96"/>
      <c r="BF129" s="96"/>
      <c r="BG129" s="96"/>
      <c r="BH129" s="96"/>
      <c r="BI129" s="96"/>
      <c r="BJ129" s="96"/>
      <c r="BK129" s="96"/>
      <c r="BL129" s="96"/>
      <c r="BM129" s="96"/>
      <c r="BN129" s="724"/>
    </row>
    <row r="130" spans="1:66" ht="15.5" thickBot="1" x14ac:dyDescent="0.9">
      <c r="B130" s="1404"/>
      <c r="C130" s="123" t="s">
        <v>1532</v>
      </c>
      <c r="D130" s="124"/>
      <c r="E130" s="124"/>
      <c r="F130" s="725">
        <f>IF(ISNUMBER(F$114),INDEX('HCW &amp; Staff'!$D$48:$BD$49,2,MATCH(F$114,'HCW &amp; Staff'!$D$15:$BD$15,0)),"")</f>
        <v>110</v>
      </c>
      <c r="G130" s="725">
        <f>IF(ISNUMBER(G$114),INDEX('HCW &amp; Staff'!$D$48:$BD$49,2,MATCH(G$114,'HCW &amp; Staff'!$D$15:$BD$15,0)),"")</f>
        <v>110</v>
      </c>
      <c r="H130" s="725">
        <f>IF(ISNUMBER(H$114),INDEX('HCW &amp; Staff'!$D$48:$BD$49,2,MATCH(H$114,'HCW &amp; Staff'!$D$15:$BD$15,0)),"")</f>
        <v>110</v>
      </c>
      <c r="I130" s="725">
        <f>IF(ISNUMBER(I$114),INDEX('HCW &amp; Staff'!$D$48:$BD$49,2,MATCH(I$114,'HCW &amp; Staff'!$D$15:$BD$15,0)),"")</f>
        <v>110</v>
      </c>
      <c r="J130" s="725">
        <f>IF(ISNUMBER(J$114),INDEX('HCW &amp; Staff'!$D$48:$BD$49,2,MATCH(J$114,'HCW &amp; Staff'!$D$15:$BD$15,0)),"")</f>
        <v>110</v>
      </c>
      <c r="K130" s="725">
        <f>IF(ISNUMBER(K$114),INDEX('HCW &amp; Staff'!$D$48:$BD$49,2,MATCH(K$114,'HCW &amp; Staff'!$D$15:$BD$15,0)),"")</f>
        <v>110</v>
      </c>
      <c r="L130" s="725">
        <f>IF(ISNUMBER(L$114),INDEX('HCW &amp; Staff'!$D$48:$BD$49,2,MATCH(L$114,'HCW &amp; Staff'!$D$15:$BD$15,0)),"")</f>
        <v>110</v>
      </c>
      <c r="M130" s="725">
        <f>IF(ISNUMBER(M$114),INDEX('HCW &amp; Staff'!$D$48:$BD$49,2,MATCH(M$114,'HCW &amp; Staff'!$D$15:$BD$15,0)),"")</f>
        <v>110</v>
      </c>
      <c r="N130" s="725">
        <f>IF(ISNUMBER(N$114),INDEX('HCW &amp; Staff'!$D$48:$BD$49,2,MATCH(N$114,'HCW &amp; Staff'!$D$15:$BD$15,0)),"")</f>
        <v>110</v>
      </c>
      <c r="O130" s="725">
        <f>IF(ISNUMBER(O$114),INDEX('HCW &amp; Staff'!$D$48:$BD$49,2,MATCH(O$114,'HCW &amp; Staff'!$D$15:$BD$15,0)),"")</f>
        <v>110</v>
      </c>
      <c r="P130" s="725">
        <f>IF(ISNUMBER(P$114),INDEX('HCW &amp; Staff'!$D$48:$BD$49,2,MATCH(P$114,'HCW &amp; Staff'!$D$15:$BD$15,0)),"")</f>
        <v>110</v>
      </c>
      <c r="Q130" s="725">
        <f>IF(ISNUMBER(Q$114),INDEX('HCW &amp; Staff'!$D$48:$BD$49,2,MATCH(Q$114,'HCW &amp; Staff'!$D$15:$BD$15,0)),"")</f>
        <v>110</v>
      </c>
      <c r="R130" s="725" t="str">
        <f>IF(ISNUMBER(R$114),INDEX('HCW &amp; Staff'!$D$48:$BD$49,2,MATCH(R$114,'HCW &amp; Staff'!$D$15:$BD$15,0)),"")</f>
        <v/>
      </c>
      <c r="S130" s="725" t="str">
        <f>IF(ISNUMBER(S$114),INDEX('HCW &amp; Staff'!$D$48:$BD$49,2,MATCH(S$114,'HCW &amp; Staff'!$D$15:$BD$15,0)),"")</f>
        <v/>
      </c>
      <c r="T130" s="725" t="str">
        <f>IF(ISNUMBER(T$114),INDEX('HCW &amp; Staff'!$D$48:$BD$49,2,MATCH(T$114,'HCW &amp; Staff'!$D$15:$BD$15,0)),"")</f>
        <v/>
      </c>
      <c r="U130" s="725" t="str">
        <f>IF(ISNUMBER(U$114),INDEX('HCW &amp; Staff'!$D$48:$BD$49,2,MATCH(U$114,'HCW &amp; Staff'!$D$15:$BD$15,0)),"")</f>
        <v/>
      </c>
      <c r="V130" s="725" t="str">
        <f>IF(ISNUMBER(V$114),INDEX('HCW &amp; Staff'!$D$48:$BD$49,2,MATCH(V$114,'HCW &amp; Staff'!$D$15:$BD$15,0)),"")</f>
        <v/>
      </c>
      <c r="W130" s="725" t="str">
        <f>IF(ISNUMBER(W$114),INDEX('HCW &amp; Staff'!$D$48:$BD$49,2,MATCH(W$114,'HCW &amp; Staff'!$D$15:$BD$15,0)),"")</f>
        <v/>
      </c>
      <c r="X130" s="951" t="str">
        <f>IF(ISNUMBER(X$114),INDEX('HCW &amp; Staff'!$D$48:$BD$49,2,MATCH(X$114,'HCW &amp; Staff'!$D$15:$BD$15,0)),"")</f>
        <v/>
      </c>
      <c r="Y130" s="725" t="str">
        <f>IF(ISNUMBER(Y$114),INDEX('HCW &amp; Staff'!$D$48:$BD$49,2,MATCH(Y$114,'HCW &amp; Staff'!$D$15:$BD$15,0)),"")</f>
        <v/>
      </c>
      <c r="Z130" s="725" t="str">
        <f>IF(ISNUMBER(Z$114),INDEX('HCW &amp; Staff'!$D$48:$BD$49,2,MATCH(Z$114,'HCW &amp; Staff'!$D$15:$BD$15,0)),"")</f>
        <v/>
      </c>
      <c r="AA130" s="725" t="str">
        <f>IF(ISNUMBER(AA$114),INDEX('HCW &amp; Staff'!$D$48:$BD$49,2,MATCH(AA$114,'HCW &amp; Staff'!$D$15:$BD$15,0)),"")</f>
        <v/>
      </c>
      <c r="AB130" s="725" t="str">
        <f>IF(ISNUMBER(AB$114),INDEX('HCW &amp; Staff'!$D$48:$BD$49,2,MATCH(AB$114,'HCW &amp; Staff'!$D$15:$BD$15,0)),"")</f>
        <v/>
      </c>
      <c r="AC130" s="725" t="str">
        <f>IF(ISNUMBER(AC$114),INDEX('HCW &amp; Staff'!$D$48:$BD$49,2,MATCH(AC$114,'HCW &amp; Staff'!$D$15:$BD$15,0)),"")</f>
        <v/>
      </c>
      <c r="AD130" s="725" t="str">
        <f>IF(ISNUMBER(AD$114),INDEX('HCW &amp; Staff'!$D$48:$BD$49,2,MATCH(AD$114,'HCW &amp; Staff'!$D$15:$BD$15,0)),"")</f>
        <v/>
      </c>
      <c r="AE130" s="725" t="str">
        <f>IF(ISNUMBER(AE$114),INDEX('HCW &amp; Staff'!$D$48:$BD$49,2,MATCH(AE$114,'HCW &amp; Staff'!$D$15:$BD$15,0)),"")</f>
        <v/>
      </c>
      <c r="AF130" s="725" t="str">
        <f>IF(ISNUMBER(AF$114),INDEX('HCW &amp; Staff'!$D$48:$BD$49,2,MATCH(AF$114,'HCW &amp; Staff'!$D$15:$BD$15,0)),"")</f>
        <v/>
      </c>
      <c r="AG130" s="725" t="str">
        <f>IF(ISNUMBER(AG$114),INDEX('HCW &amp; Staff'!$D$48:$BD$49,2,MATCH(AG$114,'HCW &amp; Staff'!$D$15:$BD$15,0)),"")</f>
        <v/>
      </c>
      <c r="AH130" s="725" t="str">
        <f>IF(ISNUMBER(AH$114),INDEX('HCW &amp; Staff'!$D$48:$BD$49,2,MATCH(AH$114,'HCW &amp; Staff'!$D$15:$BD$15,0)),"")</f>
        <v/>
      </c>
      <c r="AI130" s="725" t="str">
        <f>IF(ISNUMBER(AI$114),INDEX('HCW &amp; Staff'!$D$48:$BD$49,2,MATCH(AI$114,'HCW &amp; Staff'!$D$15:$BD$15,0)),"")</f>
        <v/>
      </c>
      <c r="AJ130" s="725" t="str">
        <f>IF(ISNUMBER(AJ$114),INDEX('HCW &amp; Staff'!$D$48:$BD$49,2,MATCH(AJ$114,'HCW &amp; Staff'!$D$15:$BD$15,0)),"")</f>
        <v/>
      </c>
      <c r="AK130" s="725" t="str">
        <f>IF(ISNUMBER(AK$114),INDEX('HCW &amp; Staff'!$D$48:$BD$49,2,MATCH(AK$114,'HCW &amp; Staff'!$D$15:$BD$15,0)),"")</f>
        <v/>
      </c>
      <c r="AL130" s="725" t="str">
        <f>IF(ISNUMBER(AL$114),INDEX('HCW &amp; Staff'!$D$48:$BD$49,2,MATCH(AL$114,'HCW &amp; Staff'!$D$15:$BD$15,0)),"")</f>
        <v/>
      </c>
      <c r="AM130" s="725" t="str">
        <f>IF(ISNUMBER(AM$114),INDEX('HCW &amp; Staff'!$D$48:$BD$49,2,MATCH(AM$114,'HCW &amp; Staff'!$D$15:$BD$15,0)),"")</f>
        <v/>
      </c>
      <c r="AN130" s="725" t="str">
        <f>IF(ISNUMBER(AN$114),INDEX('HCW &amp; Staff'!$D$48:$BD$49,2,MATCH(AN$114,'HCW &amp; Staff'!$D$15:$BD$15,0)),"")</f>
        <v/>
      </c>
      <c r="AO130" s="725" t="str">
        <f>IF(ISNUMBER(AO$114),INDEX('HCW &amp; Staff'!$D$48:$BD$49,2,MATCH(AO$114,'HCW &amp; Staff'!$D$15:$BD$15,0)),"")</f>
        <v/>
      </c>
      <c r="AP130" s="725" t="str">
        <f>IF(ISNUMBER(AP$114),INDEX('HCW &amp; Staff'!$D$48:$BD$49,2,MATCH(AP$114,'HCW &amp; Staff'!$D$15:$BD$15,0)),"")</f>
        <v/>
      </c>
      <c r="AQ130" s="725" t="str">
        <f>IF(ISNUMBER(AQ$114),INDEX('HCW &amp; Staff'!$D$48:$BD$49,2,MATCH(AQ$114,'HCW &amp; Staff'!$D$15:$BD$15,0)),"")</f>
        <v/>
      </c>
      <c r="AR130" s="725" t="str">
        <f>IF(ISNUMBER(AR$114),INDEX('HCW &amp; Staff'!$D$48:$BD$49,2,MATCH(AR$114,'HCW &amp; Staff'!$D$15:$BD$15,0)),"")</f>
        <v/>
      </c>
      <c r="AS130" s="725" t="str">
        <f>IF(ISNUMBER(AS$114),INDEX('HCW &amp; Staff'!$D$48:$BD$49,2,MATCH(AS$114,'HCW &amp; Staff'!$D$15:$BD$15,0)),"")</f>
        <v/>
      </c>
      <c r="AT130" s="725" t="str">
        <f>IF(ISNUMBER(AT$114),INDEX('HCW &amp; Staff'!$D$48:$BD$49,2,MATCH(AT$114,'HCW &amp; Staff'!$D$15:$BD$15,0)),"")</f>
        <v/>
      </c>
      <c r="AU130" s="725" t="str">
        <f>IF(ISNUMBER(AU$114),INDEX('HCW &amp; Staff'!$D$48:$BD$49,2,MATCH(AU$114,'HCW &amp; Staff'!$D$15:$BD$15,0)),"")</f>
        <v/>
      </c>
      <c r="AV130" s="725" t="str">
        <f>IF(ISNUMBER(AV$114),INDEX('HCW &amp; Staff'!$D$48:$BD$49,2,MATCH(AV$114,'HCW &amp; Staff'!$D$15:$BD$15,0)),"")</f>
        <v/>
      </c>
      <c r="AW130" s="725" t="str">
        <f>IF(ISNUMBER(AW$114),INDEX('HCW &amp; Staff'!$D$48:$BD$49,2,MATCH(AW$114,'HCW &amp; Staff'!$D$15:$BD$15,0)),"")</f>
        <v/>
      </c>
      <c r="AX130" s="725" t="str">
        <f>IF(ISNUMBER(AX$114),INDEX('HCW &amp; Staff'!$D$48:$BD$49,2,MATCH(AX$114,'HCW &amp; Staff'!$D$15:$BD$15,0)),"")</f>
        <v/>
      </c>
      <c r="AY130" s="725" t="str">
        <f>IF(ISNUMBER(AY$114),INDEX('HCW &amp; Staff'!$D$48:$BD$49,2,MATCH(AY$114,'HCW &amp; Staff'!$D$15:$BD$15,0)),"")</f>
        <v/>
      </c>
      <c r="AZ130" s="725" t="str">
        <f>IF(ISNUMBER(AZ$114),INDEX('HCW &amp; Staff'!$D$48:$BD$49,2,MATCH(AZ$114,'HCW &amp; Staff'!$D$15:$BD$15,0)),"")</f>
        <v/>
      </c>
      <c r="BA130" s="725" t="str">
        <f>IF(ISNUMBER(BA$114),INDEX('HCW &amp; Staff'!$D$48:$BD$49,2,MATCH(BA$114,'HCW &amp; Staff'!$D$15:$BD$15,0)),"")</f>
        <v/>
      </c>
      <c r="BB130" s="725" t="str">
        <f>IF(ISNUMBER(BB$114),INDEX('HCW &amp; Staff'!$D$48:$BD$49,2,MATCH(BB$114,'HCW &amp; Staff'!$D$15:$BD$15,0)),"")</f>
        <v/>
      </c>
      <c r="BC130" s="725" t="str">
        <f>IF(ISNUMBER(BC$114),INDEX('HCW &amp; Staff'!$D$48:$BD$49,2,MATCH(BC$114,'HCW &amp; Staff'!$D$15:$BD$15,0)),"")</f>
        <v/>
      </c>
      <c r="BD130" s="725" t="str">
        <f>IF(ISNUMBER(BD$114),INDEX('HCW &amp; Staff'!$D$48:$BD$49,2,MATCH(BD$114,'HCW &amp; Staff'!$D$15:$BD$15,0)),"")</f>
        <v/>
      </c>
      <c r="BE130" s="124"/>
      <c r="BF130" s="124"/>
      <c r="BG130" s="124"/>
      <c r="BH130" s="124"/>
      <c r="BI130" s="124"/>
      <c r="BJ130" s="124"/>
      <c r="BK130" s="124"/>
      <c r="BL130" s="124"/>
      <c r="BM130" s="124"/>
      <c r="BN130" s="726"/>
    </row>
    <row r="132" spans="1:66" s="89" customFormat="1" ht="17.25" x14ac:dyDescent="0.85">
      <c r="B132" s="90" t="s">
        <v>1621</v>
      </c>
      <c r="C132" s="91"/>
      <c r="X132" s="765"/>
    </row>
    <row r="133" spans="1:66" ht="15.5" thickBot="1" x14ac:dyDescent="0.9">
      <c r="B133" s="814" t="s">
        <v>1779</v>
      </c>
      <c r="C133" s="6"/>
      <c r="D133" s="6"/>
      <c r="E133" s="6"/>
    </row>
    <row r="134" spans="1:66" s="127" customFormat="1" ht="30.65" customHeight="1" thickBot="1" x14ac:dyDescent="0.9">
      <c r="B134" s="975" t="s">
        <v>743</v>
      </c>
      <c r="C134" s="1438" t="s">
        <v>1784</v>
      </c>
      <c r="D134" s="1439"/>
      <c r="E134" s="1440"/>
      <c r="F134" s="634" t="str">
        <f>F119</f>
        <v>First week of forecast</v>
      </c>
      <c r="G134" s="633" t="str">
        <f t="shared" ref="G134:BD134" si="15">G119</f>
        <v>Week 2 of forecast</v>
      </c>
      <c r="H134" s="633" t="str">
        <f t="shared" si="15"/>
        <v>Week 3 of forecast</v>
      </c>
      <c r="I134" s="633" t="str">
        <f t="shared" si="15"/>
        <v>Week 4 of forecast</v>
      </c>
      <c r="J134" s="633" t="str">
        <f t="shared" si="15"/>
        <v>Week 5 of forecast</v>
      </c>
      <c r="K134" s="633" t="str">
        <f t="shared" si="15"/>
        <v>Week 6 of forecast</v>
      </c>
      <c r="L134" s="633" t="str">
        <f t="shared" si="15"/>
        <v>Week 7 of forecast</v>
      </c>
      <c r="M134" s="633" t="str">
        <f t="shared" si="15"/>
        <v>Week 8 of forecast</v>
      </c>
      <c r="N134" s="634" t="str">
        <f t="shared" si="15"/>
        <v>Week 9 of forecast</v>
      </c>
      <c r="O134" s="634" t="str">
        <f t="shared" si="15"/>
        <v>Week 10 of forecast</v>
      </c>
      <c r="P134" s="634" t="str">
        <f t="shared" si="15"/>
        <v>Week 11 of forecast</v>
      </c>
      <c r="Q134" s="634" t="str">
        <f t="shared" si="15"/>
        <v>Week 12 of forecast</v>
      </c>
      <c r="R134" s="634" t="str">
        <f t="shared" si="15"/>
        <v>Week 13 of forecast</v>
      </c>
      <c r="S134" s="634" t="str">
        <f t="shared" si="15"/>
        <v>Week 14 of forecast</v>
      </c>
      <c r="T134" s="634" t="str">
        <f t="shared" si="15"/>
        <v>Week 15 of forecast</v>
      </c>
      <c r="U134" s="634" t="str">
        <f t="shared" si="15"/>
        <v>Week 16 of forecast</v>
      </c>
      <c r="V134" s="634" t="str">
        <f t="shared" si="15"/>
        <v>Week 17 of forecast</v>
      </c>
      <c r="W134" s="634" t="str">
        <f t="shared" si="15"/>
        <v>Week 18 of forecast</v>
      </c>
      <c r="X134" s="634" t="str">
        <f t="shared" si="15"/>
        <v>Week 19 of forecast</v>
      </c>
      <c r="Y134" s="634" t="str">
        <f t="shared" si="15"/>
        <v>Week 20 of forecast</v>
      </c>
      <c r="Z134" s="634" t="str">
        <f t="shared" si="15"/>
        <v>Week 21 of forecast</v>
      </c>
      <c r="AA134" s="634" t="str">
        <f t="shared" si="15"/>
        <v>Week 22 of forecast</v>
      </c>
      <c r="AB134" s="634" t="str">
        <f t="shared" si="15"/>
        <v>Week 23 of forecast</v>
      </c>
      <c r="AC134" s="634" t="str">
        <f t="shared" si="15"/>
        <v>Week 24 of forecast</v>
      </c>
      <c r="AD134" s="634" t="str">
        <f t="shared" si="15"/>
        <v>Week 25 of forecast</v>
      </c>
      <c r="AE134" s="634" t="str">
        <f t="shared" si="15"/>
        <v>Week 26 of forecast</v>
      </c>
      <c r="AF134" s="634" t="str">
        <f t="shared" si="15"/>
        <v>Week 27 of forecast</v>
      </c>
      <c r="AG134" s="634" t="str">
        <f t="shared" si="15"/>
        <v>Week 28 of forecast</v>
      </c>
      <c r="AH134" s="634" t="str">
        <f t="shared" si="15"/>
        <v>Week 29 of forecast</v>
      </c>
      <c r="AI134" s="634" t="str">
        <f t="shared" si="15"/>
        <v>Week 30 of forecast</v>
      </c>
      <c r="AJ134" s="634" t="str">
        <f t="shared" si="15"/>
        <v>Week 31 of forecast</v>
      </c>
      <c r="AK134" s="634" t="str">
        <f t="shared" si="15"/>
        <v>Week 32 of forecast</v>
      </c>
      <c r="AL134" s="634" t="str">
        <f t="shared" si="15"/>
        <v>Week 33 of forecast</v>
      </c>
      <c r="AM134" s="634" t="str">
        <f t="shared" si="15"/>
        <v>Week 34 of forecast</v>
      </c>
      <c r="AN134" s="634" t="str">
        <f t="shared" si="15"/>
        <v>Week 35 of forecast</v>
      </c>
      <c r="AO134" s="634" t="str">
        <f t="shared" si="15"/>
        <v>Week 36 of forecast</v>
      </c>
      <c r="AP134" s="634" t="str">
        <f t="shared" si="15"/>
        <v>Week 37 of forecast</v>
      </c>
      <c r="AQ134" s="634" t="str">
        <f t="shared" si="15"/>
        <v>Week 38 of forecast</v>
      </c>
      <c r="AR134" s="634" t="str">
        <f t="shared" si="15"/>
        <v>Week 39 of forecast</v>
      </c>
      <c r="AS134" s="634" t="str">
        <f t="shared" si="15"/>
        <v>Week 40 of forecast</v>
      </c>
      <c r="AT134" s="634" t="str">
        <f t="shared" si="15"/>
        <v>Week 41 of forecast</v>
      </c>
      <c r="AU134" s="634" t="str">
        <f t="shared" si="15"/>
        <v>Week 42 of forecast</v>
      </c>
      <c r="AV134" s="634" t="str">
        <f t="shared" si="15"/>
        <v>Week 43 of forecast</v>
      </c>
      <c r="AW134" s="634" t="str">
        <f t="shared" si="15"/>
        <v>Week 44 of forecast</v>
      </c>
      <c r="AX134" s="634" t="str">
        <f t="shared" si="15"/>
        <v>Week 45 of forecast</v>
      </c>
      <c r="AY134" s="634" t="str">
        <f t="shared" si="15"/>
        <v>Week 46 of forecast</v>
      </c>
      <c r="AZ134" s="634" t="str">
        <f t="shared" si="15"/>
        <v>Week 47 of forecast</v>
      </c>
      <c r="BA134" s="634" t="str">
        <f t="shared" si="15"/>
        <v>Week 48 of forecast</v>
      </c>
      <c r="BB134" s="634" t="str">
        <f t="shared" si="15"/>
        <v>Week 49 of forecast</v>
      </c>
      <c r="BC134" s="634" t="str">
        <f t="shared" si="15"/>
        <v>Week 50 of forecast</v>
      </c>
      <c r="BD134" s="636" t="str">
        <f t="shared" si="15"/>
        <v>Week 51 of forecast</v>
      </c>
      <c r="BE134"/>
      <c r="BF134"/>
      <c r="BG134"/>
      <c r="BH134"/>
      <c r="BI134"/>
      <c r="BJ134"/>
      <c r="BK134"/>
      <c r="BL134"/>
      <c r="BM134"/>
      <c r="BN134"/>
    </row>
    <row r="135" spans="1:66" x14ac:dyDescent="0.75">
      <c r="B135" s="1464" t="s">
        <v>710</v>
      </c>
      <c r="C135" s="1102" t="s">
        <v>1780</v>
      </c>
      <c r="D135" s="1103"/>
      <c r="E135" s="1104"/>
      <c r="F135" s="637">
        <f ca="1">IF(ISNUMBER(F$114),INDEX(Patients!$D$47:$BD$48,1,MATCH(F$114,Patients!$D$31:$BD$31,0)),"")</f>
        <v>0.44705810885949004</v>
      </c>
      <c r="G135" s="637">
        <f ca="1">IF(ISNUMBER(G$114),INDEX(Patients!$D$47:$BD$48,1,MATCH(G$114,Patients!$D$31:$BD$31,0)),"")</f>
        <v>1.536318730001371</v>
      </c>
      <c r="H135" s="637">
        <f ca="1">IF(ISNUMBER(H$114),INDEX(Patients!$D$47:$BD$48,1,MATCH(H$114,Patients!$D$31:$BD$31,0)),"")</f>
        <v>5.2795195958472325</v>
      </c>
      <c r="I135" s="637">
        <f ca="1">IF(ISNUMBER(I$114),INDEX(Patients!$D$47:$BD$48,1,MATCH(I$114,Patients!$D$31:$BD$31,0)),"")</f>
        <v>18.14231992911089</v>
      </c>
      <c r="J135" s="637">
        <f ca="1">IF(ISNUMBER(J$114),INDEX(Patients!$D$47:$BD$48,1,MATCH(J$114,Patients!$D$31:$BD$31,0)),"")</f>
        <v>62.336274096810314</v>
      </c>
      <c r="K135" s="637">
        <f ca="1">IF(ISNUMBER(K$114),INDEX(Patients!$D$47:$BD$48,1,MATCH(K$114,Patients!$D$31:$BD$31,0)),"")</f>
        <v>214.0995325998839</v>
      </c>
      <c r="L135" s="637">
        <f ca="1">IF(ISNUMBER(L$114),INDEX(Patients!$D$47:$BD$48,1,MATCH(L$114,Patients!$D$31:$BD$31,0)),"")</f>
        <v>734.33822062734316</v>
      </c>
      <c r="M135" s="637">
        <f ca="1">IF(ISNUMBER(M$114),INDEX(Patients!$D$47:$BD$48,1,MATCH(M$114,Patients!$D$31:$BD$31,0)),"")</f>
        <v>2506.9170551750631</v>
      </c>
      <c r="N135" s="637">
        <f ca="1">IF(ISNUMBER(N$114),INDEX(Patients!$D$47:$BD$48,1,MATCH(N$114,Patients!$D$31:$BD$31,0)),"")</f>
        <v>8422.8414875842282</v>
      </c>
      <c r="O135" s="637">
        <f ca="1">IF(ISNUMBER(O$114),INDEX(Patients!$D$47:$BD$48,1,MATCH(O$114,Patients!$D$31:$BD$31,0)),"")</f>
        <v>26841.787381427857</v>
      </c>
      <c r="P135" s="637">
        <f ca="1">IF(ISNUMBER(P$114),INDEX(Patients!$D$47:$BD$48,1,MATCH(P$114,Patients!$D$31:$BD$31,0)),"")</f>
        <v>72744.667716627795</v>
      </c>
      <c r="Q135" s="637">
        <f ca="1">IF(ISNUMBER(Q$114),INDEX(Patients!$D$47:$BD$48,1,MATCH(Q$114,Patients!$D$31:$BD$31,0)),"")</f>
        <v>132019.73538474686</v>
      </c>
      <c r="R135" s="637" t="str">
        <f>IF(ISNUMBER(R$114),INDEX(Patients!$D$47:$BD$48,1,MATCH(R$114,Patients!$D$31:$BD$31,0)),"")</f>
        <v/>
      </c>
      <c r="S135" s="637" t="str">
        <f>IF(ISNUMBER(S$114),INDEX(Patients!$D$47:$BD$48,1,MATCH(S$114,Patients!$D$31:$BD$31,0)),"")</f>
        <v/>
      </c>
      <c r="T135" s="637" t="str">
        <f>IF(ISNUMBER(T$114),INDEX(Patients!$D$47:$BD$48,1,MATCH(T$114,Patients!$D$31:$BD$31,0)),"")</f>
        <v/>
      </c>
      <c r="U135" s="637" t="str">
        <f>IF(ISNUMBER(U$114),INDEX(Patients!$D$47:$BD$48,1,MATCH(U$114,Patients!$D$31:$BD$31,0)),"")</f>
        <v/>
      </c>
      <c r="V135" s="637" t="str">
        <f>IF(ISNUMBER(V$114),INDEX(Patients!$D$47:$BD$48,1,MATCH(V$114,Patients!$D$31:$BD$31,0)),"")</f>
        <v/>
      </c>
      <c r="W135" s="637" t="str">
        <f>IF(ISNUMBER(W$114),INDEX(Patients!$D$47:$BD$48,1,MATCH(W$114,Patients!$D$31:$BD$31,0)),"")</f>
        <v/>
      </c>
      <c r="X135" s="766" t="str">
        <f>IF(ISNUMBER(X$114),INDEX(Patients!$D$47:$BD$48,1,MATCH(X$114,Patients!$D$31:$BD$31,0)),"")</f>
        <v/>
      </c>
      <c r="Y135" s="637" t="str">
        <f>IF(ISNUMBER(Y$114),INDEX(Patients!$D$47:$BD$48,1,MATCH(Y$114,Patients!$D$31:$BD$31,0)),"")</f>
        <v/>
      </c>
      <c r="Z135" s="637" t="str">
        <f>IF(ISNUMBER(Z$114),INDEX(Patients!$D$47:$BD$48,1,MATCH(Z$114,Patients!$D$31:$BD$31,0)),"")</f>
        <v/>
      </c>
      <c r="AA135" s="637" t="str">
        <f>IF(ISNUMBER(AA$114),INDEX(Patients!$D$47:$BD$48,1,MATCH(AA$114,Patients!$D$31:$BD$31,0)),"")</f>
        <v/>
      </c>
      <c r="AB135" s="637" t="str">
        <f>IF(ISNUMBER(AB$114),INDEX(Patients!$D$47:$BD$48,1,MATCH(AB$114,Patients!$D$31:$BD$31,0)),"")</f>
        <v/>
      </c>
      <c r="AC135" s="637" t="str">
        <f>IF(ISNUMBER(AC$114),INDEX(Patients!$D$47:$BD$48,1,MATCH(AC$114,Patients!$D$31:$BD$31,0)),"")</f>
        <v/>
      </c>
      <c r="AD135" s="637" t="str">
        <f>IF(ISNUMBER(AD$114),INDEX(Patients!$D$47:$BD$48,1,MATCH(AD$114,Patients!$D$31:$BD$31,0)),"")</f>
        <v/>
      </c>
      <c r="AE135" s="637" t="str">
        <f>IF(ISNUMBER(AE$114),INDEX(Patients!$D$47:$BD$48,1,MATCH(AE$114,Patients!$D$31:$BD$31,0)),"")</f>
        <v/>
      </c>
      <c r="AF135" s="637" t="str">
        <f>IF(ISNUMBER(AF$114),INDEX(Patients!$D$47:$BD$48,1,MATCH(AF$114,Patients!$D$31:$BD$31,0)),"")</f>
        <v/>
      </c>
      <c r="AG135" s="637" t="str">
        <f>IF(ISNUMBER(AG$114),INDEX(Patients!$D$47:$BD$48,1,MATCH(AG$114,Patients!$D$31:$BD$31,0)),"")</f>
        <v/>
      </c>
      <c r="AH135" s="637" t="str">
        <f>IF(ISNUMBER(AH$114),INDEX(Patients!$D$47:$BD$48,1,MATCH(AH$114,Patients!$D$31:$BD$31,0)),"")</f>
        <v/>
      </c>
      <c r="AI135" s="637" t="str">
        <f>IF(ISNUMBER(AI$114),INDEX(Patients!$D$47:$BD$48,1,MATCH(AI$114,Patients!$D$31:$BD$31,0)),"")</f>
        <v/>
      </c>
      <c r="AJ135" s="637" t="str">
        <f>IF(ISNUMBER(AJ$114),INDEX(Patients!$D$47:$BD$48,1,MATCH(AJ$114,Patients!$D$31:$BD$31,0)),"")</f>
        <v/>
      </c>
      <c r="AK135" s="637" t="str">
        <f>IF(ISNUMBER(AK$114),INDEX(Patients!$D$47:$BD$48,1,MATCH(AK$114,Patients!$D$31:$BD$31,0)),"")</f>
        <v/>
      </c>
      <c r="AL135" s="637" t="str">
        <f>IF(ISNUMBER(AL$114),INDEX(Patients!$D$47:$BD$48,1,MATCH(AL$114,Patients!$D$31:$BD$31,0)),"")</f>
        <v/>
      </c>
      <c r="AM135" s="637" t="str">
        <f>IF(ISNUMBER(AM$114),INDEX(Patients!$D$47:$BD$48,1,MATCH(AM$114,Patients!$D$31:$BD$31,0)),"")</f>
        <v/>
      </c>
      <c r="AN135" s="637" t="str">
        <f>IF(ISNUMBER(AN$114),INDEX(Patients!$D$47:$BD$48,1,MATCH(AN$114,Patients!$D$31:$BD$31,0)),"")</f>
        <v/>
      </c>
      <c r="AO135" s="637" t="str">
        <f>IF(ISNUMBER(AO$114),INDEX(Patients!$D$47:$BD$48,1,MATCH(AO$114,Patients!$D$31:$BD$31,0)),"")</f>
        <v/>
      </c>
      <c r="AP135" s="637" t="str">
        <f>IF(ISNUMBER(AP$114),INDEX(Patients!$D$47:$BD$48,1,MATCH(AP$114,Patients!$D$31:$BD$31,0)),"")</f>
        <v/>
      </c>
      <c r="AQ135" s="637" t="str">
        <f>IF(ISNUMBER(AQ$114),INDEX(Patients!$D$47:$BD$48,1,MATCH(AQ$114,Patients!$D$31:$BD$31,0)),"")</f>
        <v/>
      </c>
      <c r="AR135" s="637" t="str">
        <f>IF(ISNUMBER(AR$114),INDEX(Patients!$D$47:$BD$48,1,MATCH(AR$114,Patients!$D$31:$BD$31,0)),"")</f>
        <v/>
      </c>
      <c r="AS135" s="637" t="str">
        <f>IF(ISNUMBER(AS$114),INDEX(Patients!$D$47:$BD$48,1,MATCH(AS$114,Patients!$D$31:$BD$31,0)),"")</f>
        <v/>
      </c>
      <c r="AT135" s="637" t="str">
        <f>IF(ISNUMBER(AT$114),INDEX(Patients!$D$47:$BD$48,1,MATCH(AT$114,Patients!$D$31:$BD$31,0)),"")</f>
        <v/>
      </c>
      <c r="AU135" s="637" t="str">
        <f>IF(ISNUMBER(AU$114),INDEX(Patients!$D$47:$BD$48,1,MATCH(AU$114,Patients!$D$31:$BD$31,0)),"")</f>
        <v/>
      </c>
      <c r="AV135" s="637" t="str">
        <f>IF(ISNUMBER(AV$114),INDEX(Patients!$D$47:$BD$48,1,MATCH(AV$114,Patients!$D$31:$BD$31,0)),"")</f>
        <v/>
      </c>
      <c r="AW135" s="637" t="str">
        <f>IF(ISNUMBER(AW$114),INDEX(Patients!$D$47:$BD$48,1,MATCH(AW$114,Patients!$D$31:$BD$31,0)),"")</f>
        <v/>
      </c>
      <c r="AX135" s="637" t="str">
        <f>IF(ISNUMBER(AX$114),INDEX(Patients!$D$47:$BD$48,1,MATCH(AX$114,Patients!$D$31:$BD$31,0)),"")</f>
        <v/>
      </c>
      <c r="AY135" s="637" t="str">
        <f>IF(ISNUMBER(AY$114),INDEX(Patients!$D$47:$BD$48,1,MATCH(AY$114,Patients!$D$31:$BD$31,0)),"")</f>
        <v/>
      </c>
      <c r="AZ135" s="637" t="str">
        <f>IF(ISNUMBER(AZ$114),INDEX(Patients!$D$47:$BD$48,1,MATCH(AZ$114,Patients!$D$31:$BD$31,0)),"")</f>
        <v/>
      </c>
      <c r="BA135" s="637" t="str">
        <f>IF(ISNUMBER(BA$114),INDEX(Patients!$D$47:$BD$48,1,MATCH(BA$114,Patients!$D$31:$BD$31,0)),"")</f>
        <v/>
      </c>
      <c r="BB135" s="637" t="str">
        <f>IF(ISNUMBER(BB$114),INDEX(Patients!$D$47:$BD$48,1,MATCH(BB$114,Patients!$D$31:$BD$31,0)),"")</f>
        <v/>
      </c>
      <c r="BC135" s="637" t="str">
        <f>IF(ISNUMBER(BC$114),INDEX(Patients!$D$47:$BD$48,1,MATCH(BC$114,Patients!$D$31:$BD$31,0)),"")</f>
        <v/>
      </c>
      <c r="BD135" s="976" t="str">
        <f>IF(ISNUMBER(BD$114),INDEX(Patients!$D$47:$BD$48,1,MATCH(BD$114,Patients!$D$31:$BD$31,0)),"")</f>
        <v/>
      </c>
      <c r="BE135"/>
    </row>
    <row r="136" spans="1:66" x14ac:dyDescent="0.75">
      <c r="B136" s="1465"/>
      <c r="C136" s="1105" t="s">
        <v>1638</v>
      </c>
      <c r="D136" s="6"/>
      <c r="E136" s="1106"/>
      <c r="F136" s="638">
        <f ca="1">IF(ISNUMBER(F$114),INDEX('HCW &amp; Staff'!$D$18:$BD$19,1,MATCH(F$114,'HCW &amp; Staff'!$D$15:$BD$15,0)),"")</f>
        <v>0.44705810885949004</v>
      </c>
      <c r="G136" s="638">
        <f ca="1">IF(ISNUMBER(G$114),INDEX('HCW &amp; Staff'!$D$18:$BD$19,1,MATCH(G$114,'HCW &amp; Staff'!$D$15:$BD$15,0)),"")</f>
        <v>1.536318730001371</v>
      </c>
      <c r="H136" s="638">
        <f ca="1">IF(ISNUMBER(H$114),INDEX('HCW &amp; Staff'!$D$18:$BD$19,1,MATCH(H$114,'HCW &amp; Staff'!$D$15:$BD$15,0)),"")</f>
        <v>5.2795195958472325</v>
      </c>
      <c r="I136" s="638">
        <f ca="1">IF(ISNUMBER(I$114),INDEX('HCW &amp; Staff'!$D$18:$BD$19,1,MATCH(I$114,'HCW &amp; Staff'!$D$15:$BD$15,0)),"")</f>
        <v>18.14231992911089</v>
      </c>
      <c r="J136" s="638">
        <f ca="1">IF(ISNUMBER(J$114),INDEX('HCW &amp; Staff'!$D$18:$BD$19,1,MATCH(J$114,'HCW &amp; Staff'!$D$15:$BD$15,0)),"")</f>
        <v>62.336274096810314</v>
      </c>
      <c r="K136" s="638">
        <f ca="1">IF(ISNUMBER(K$114),INDEX('HCW &amp; Staff'!$D$18:$BD$19,1,MATCH(K$114,'HCW &amp; Staff'!$D$15:$BD$15,0)),"")</f>
        <v>214.0995325998839</v>
      </c>
      <c r="L136" s="638">
        <f ca="1">IF(ISNUMBER(L$114),INDEX('HCW &amp; Staff'!$D$18:$BD$19,1,MATCH(L$114,'HCW &amp; Staff'!$D$15:$BD$15,0)),"")</f>
        <v>734.33822062734316</v>
      </c>
      <c r="M136" s="638">
        <f ca="1">IF(ISNUMBER(M$114),INDEX('HCW &amp; Staff'!$D$18:$BD$19,1,MATCH(M$114,'HCW &amp; Staff'!$D$15:$BD$15,0)),"")</f>
        <v>2506.9170551750631</v>
      </c>
      <c r="N136" s="638">
        <f ca="1">IF(ISNUMBER(N$114),INDEX('HCW &amp; Staff'!$D$18:$BD$19,1,MATCH(N$114,'HCW &amp; Staff'!$D$15:$BD$15,0)),"")</f>
        <v>8422.8414875842282</v>
      </c>
      <c r="O136" s="638">
        <f ca="1">IF(ISNUMBER(O$114),INDEX('HCW &amp; Staff'!$D$18:$BD$19,1,MATCH(O$114,'HCW &amp; Staff'!$D$15:$BD$15,0)),"")</f>
        <v>21185.721600000001</v>
      </c>
      <c r="P136" s="638">
        <f ca="1">IF(ISNUMBER(P$114),INDEX('HCW &amp; Staff'!$D$18:$BD$19,1,MATCH(P$114,'HCW &amp; Staff'!$D$15:$BD$15,0)),"")</f>
        <v>21185.721600000001</v>
      </c>
      <c r="Q136" s="638">
        <f ca="1">IF(ISNUMBER(Q$114),INDEX('HCW &amp; Staff'!$D$18:$BD$19,1,MATCH(Q$114,'HCW &amp; Staff'!$D$15:$BD$15,0)),"")</f>
        <v>21185.721600000001</v>
      </c>
      <c r="R136" s="638" t="str">
        <f>IF(ISNUMBER(R$114),INDEX('HCW &amp; Staff'!$D$18:$BD$19,1,MATCH(R$114,'HCW &amp; Staff'!$D$15:$BD$15,0)),"")</f>
        <v/>
      </c>
      <c r="S136" s="638" t="str">
        <f>IF(ISNUMBER(S$114),INDEX('HCW &amp; Staff'!$D$18:$BD$19,1,MATCH(S$114,'HCW &amp; Staff'!$D$15:$BD$15,0)),"")</f>
        <v/>
      </c>
      <c r="T136" s="638" t="str">
        <f>IF(ISNUMBER(T$114),INDEX('HCW &amp; Staff'!$D$18:$BD$19,1,MATCH(T$114,'HCW &amp; Staff'!$D$15:$BD$15,0)),"")</f>
        <v/>
      </c>
      <c r="U136" s="638" t="str">
        <f>IF(ISNUMBER(U$114),INDEX('HCW &amp; Staff'!$D$18:$BD$19,1,MATCH(U$114,'HCW &amp; Staff'!$D$15:$BD$15,0)),"")</f>
        <v/>
      </c>
      <c r="V136" s="638" t="str">
        <f>IF(ISNUMBER(V$114),INDEX('HCW &amp; Staff'!$D$18:$BD$19,1,MATCH(V$114,'HCW &amp; Staff'!$D$15:$BD$15,0)),"")</f>
        <v/>
      </c>
      <c r="W136" s="638" t="str">
        <f>IF(ISNUMBER(W$114),INDEX('HCW &amp; Staff'!$D$18:$BD$19,1,MATCH(W$114,'HCW &amp; Staff'!$D$15:$BD$15,0)),"")</f>
        <v/>
      </c>
      <c r="X136" s="952" t="str">
        <f>IF(ISNUMBER(X$114),INDEX('HCW &amp; Staff'!$D$18:$BD$19,1,MATCH(X$114,'HCW &amp; Staff'!$D$15:$BD$15,0)),"")</f>
        <v/>
      </c>
      <c r="Y136" s="638" t="str">
        <f>IF(ISNUMBER(Y$114),INDEX('HCW &amp; Staff'!$D$18:$BD$19,1,MATCH(Y$114,'HCW &amp; Staff'!$D$15:$BD$15,0)),"")</f>
        <v/>
      </c>
      <c r="Z136" s="638" t="str">
        <f>IF(ISNUMBER(Z$114),INDEX('HCW &amp; Staff'!$D$18:$BD$19,1,MATCH(Z$114,'HCW &amp; Staff'!$D$15:$BD$15,0)),"")</f>
        <v/>
      </c>
      <c r="AA136" s="638" t="str">
        <f>IF(ISNUMBER(AA$114),INDEX('HCW &amp; Staff'!$D$18:$BD$19,1,MATCH(AA$114,'HCW &amp; Staff'!$D$15:$BD$15,0)),"")</f>
        <v/>
      </c>
      <c r="AB136" s="638" t="str">
        <f>IF(ISNUMBER(AB$114),INDEX('HCW &amp; Staff'!$D$18:$BD$19,1,MATCH(AB$114,'HCW &amp; Staff'!$D$15:$BD$15,0)),"")</f>
        <v/>
      </c>
      <c r="AC136" s="638" t="str">
        <f>IF(ISNUMBER(AC$114),INDEX('HCW &amp; Staff'!$D$18:$BD$19,1,MATCH(AC$114,'HCW &amp; Staff'!$D$15:$BD$15,0)),"")</f>
        <v/>
      </c>
      <c r="AD136" s="638" t="str">
        <f>IF(ISNUMBER(AD$114),INDEX('HCW &amp; Staff'!$D$18:$BD$19,1,MATCH(AD$114,'HCW &amp; Staff'!$D$15:$BD$15,0)),"")</f>
        <v/>
      </c>
      <c r="AE136" s="638" t="str">
        <f>IF(ISNUMBER(AE$114),INDEX('HCW &amp; Staff'!$D$18:$BD$19,1,MATCH(AE$114,'HCW &amp; Staff'!$D$15:$BD$15,0)),"")</f>
        <v/>
      </c>
      <c r="AF136" s="638" t="str">
        <f>IF(ISNUMBER(AF$114),INDEX('HCW &amp; Staff'!$D$18:$BD$19,1,MATCH(AF$114,'HCW &amp; Staff'!$D$15:$BD$15,0)),"")</f>
        <v/>
      </c>
      <c r="AG136" s="638" t="str">
        <f>IF(ISNUMBER(AG$114),INDEX('HCW &amp; Staff'!$D$18:$BD$19,1,MATCH(AG$114,'HCW &amp; Staff'!$D$15:$BD$15,0)),"")</f>
        <v/>
      </c>
      <c r="AH136" s="638" t="str">
        <f>IF(ISNUMBER(AH$114),INDEX('HCW &amp; Staff'!$D$18:$BD$19,1,MATCH(AH$114,'HCW &amp; Staff'!$D$15:$BD$15,0)),"")</f>
        <v/>
      </c>
      <c r="AI136" s="638" t="str">
        <f>IF(ISNUMBER(AI$114),INDEX('HCW &amp; Staff'!$D$18:$BD$19,1,MATCH(AI$114,'HCW &amp; Staff'!$D$15:$BD$15,0)),"")</f>
        <v/>
      </c>
      <c r="AJ136" s="638" t="str">
        <f>IF(ISNUMBER(AJ$114),INDEX('HCW &amp; Staff'!$D$18:$BD$19,1,MATCH(AJ$114,'HCW &amp; Staff'!$D$15:$BD$15,0)),"")</f>
        <v/>
      </c>
      <c r="AK136" s="638" t="str">
        <f>IF(ISNUMBER(AK$114),INDEX('HCW &amp; Staff'!$D$18:$BD$19,1,MATCH(AK$114,'HCW &amp; Staff'!$D$15:$BD$15,0)),"")</f>
        <v/>
      </c>
      <c r="AL136" s="638" t="str">
        <f>IF(ISNUMBER(AL$114),INDEX('HCW &amp; Staff'!$D$18:$BD$19,1,MATCH(AL$114,'HCW &amp; Staff'!$D$15:$BD$15,0)),"")</f>
        <v/>
      </c>
      <c r="AM136" s="638" t="str">
        <f>IF(ISNUMBER(AM$114),INDEX('HCW &amp; Staff'!$D$18:$BD$19,1,MATCH(AM$114,'HCW &amp; Staff'!$D$15:$BD$15,0)),"")</f>
        <v/>
      </c>
      <c r="AN136" s="638" t="str">
        <f>IF(ISNUMBER(AN$114),INDEX('HCW &amp; Staff'!$D$18:$BD$19,1,MATCH(AN$114,'HCW &amp; Staff'!$D$15:$BD$15,0)),"")</f>
        <v/>
      </c>
      <c r="AO136" s="638" t="str">
        <f>IF(ISNUMBER(AO$114),INDEX('HCW &amp; Staff'!$D$18:$BD$19,1,MATCH(AO$114,'HCW &amp; Staff'!$D$15:$BD$15,0)),"")</f>
        <v/>
      </c>
      <c r="AP136" s="638" t="str">
        <f>IF(ISNUMBER(AP$114),INDEX('HCW &amp; Staff'!$D$18:$BD$19,1,MATCH(AP$114,'HCW &amp; Staff'!$D$15:$BD$15,0)),"")</f>
        <v/>
      </c>
      <c r="AQ136" s="638" t="str">
        <f>IF(ISNUMBER(AQ$114),INDEX('HCW &amp; Staff'!$D$18:$BD$19,1,MATCH(AQ$114,'HCW &amp; Staff'!$D$15:$BD$15,0)),"")</f>
        <v/>
      </c>
      <c r="AR136" s="638" t="str">
        <f>IF(ISNUMBER(AR$114),INDEX('HCW &amp; Staff'!$D$18:$BD$19,1,MATCH(AR$114,'HCW &amp; Staff'!$D$15:$BD$15,0)),"")</f>
        <v/>
      </c>
      <c r="AS136" s="638" t="str">
        <f>IF(ISNUMBER(AS$114),INDEX('HCW &amp; Staff'!$D$18:$BD$19,1,MATCH(AS$114,'HCW &amp; Staff'!$D$15:$BD$15,0)),"")</f>
        <v/>
      </c>
      <c r="AT136" s="638" t="str">
        <f>IF(ISNUMBER(AT$114),INDEX('HCW &amp; Staff'!$D$18:$BD$19,1,MATCH(AT$114,'HCW &amp; Staff'!$D$15:$BD$15,0)),"")</f>
        <v/>
      </c>
      <c r="AU136" s="638" t="str">
        <f>IF(ISNUMBER(AU$114),INDEX('HCW &amp; Staff'!$D$18:$BD$19,1,MATCH(AU$114,'HCW &amp; Staff'!$D$15:$BD$15,0)),"")</f>
        <v/>
      </c>
      <c r="AV136" s="638" t="str">
        <f>IF(ISNUMBER(AV$114),INDEX('HCW &amp; Staff'!$D$18:$BD$19,1,MATCH(AV$114,'HCW &amp; Staff'!$D$15:$BD$15,0)),"")</f>
        <v/>
      </c>
      <c r="AW136" s="638" t="str">
        <f>IF(ISNUMBER(AW$114),INDEX('HCW &amp; Staff'!$D$18:$BD$19,1,MATCH(AW$114,'HCW &amp; Staff'!$D$15:$BD$15,0)),"")</f>
        <v/>
      </c>
      <c r="AX136" s="638" t="str">
        <f>IF(ISNUMBER(AX$114),INDEX('HCW &amp; Staff'!$D$18:$BD$19,1,MATCH(AX$114,'HCW &amp; Staff'!$D$15:$BD$15,0)),"")</f>
        <v/>
      </c>
      <c r="AY136" s="638" t="str">
        <f>IF(ISNUMBER(AY$114),INDEX('HCW &amp; Staff'!$D$18:$BD$19,1,MATCH(AY$114,'HCW &amp; Staff'!$D$15:$BD$15,0)),"")</f>
        <v/>
      </c>
      <c r="AZ136" s="638" t="str">
        <f>IF(ISNUMBER(AZ$114),INDEX('HCW &amp; Staff'!$D$18:$BD$19,1,MATCH(AZ$114,'HCW &amp; Staff'!$D$15:$BD$15,0)),"")</f>
        <v/>
      </c>
      <c r="BA136" s="638" t="str">
        <f>IF(ISNUMBER(BA$114),INDEX('HCW &amp; Staff'!$D$18:$BD$19,1,MATCH(BA$114,'HCW &amp; Staff'!$D$15:$BD$15,0)),"")</f>
        <v/>
      </c>
      <c r="BB136" s="638" t="str">
        <f>IF(ISNUMBER(BB$114),INDEX('HCW &amp; Staff'!$D$18:$BD$19,1,MATCH(BB$114,'HCW &amp; Staff'!$D$15:$BD$15,0)),"")</f>
        <v/>
      </c>
      <c r="BC136" s="638" t="str">
        <f>IF(ISNUMBER(BC$114),INDEX('HCW &amp; Staff'!$D$18:$BD$19,1,MATCH(BC$114,'HCW &amp; Staff'!$D$15:$BD$15,0)),"")</f>
        <v/>
      </c>
      <c r="BD136" s="977" t="str">
        <f>IF(ISNUMBER(BD$114),INDEX('HCW &amp; Staff'!$D$18:$BD$19,1,MATCH(BD$114,'HCW &amp; Staff'!$D$15:$BD$15,0)),"")</f>
        <v/>
      </c>
      <c r="BE136" s="132"/>
    </row>
    <row r="137" spans="1:66" x14ac:dyDescent="0.75">
      <c r="B137" s="1465"/>
      <c r="C137" s="1107" t="s">
        <v>1636</v>
      </c>
      <c r="D137" s="1108"/>
      <c r="E137" s="1109"/>
      <c r="F137" s="639">
        <f ca="1">F136/Patients!$D$11</f>
        <v>2.1101858945389428E-5</v>
      </c>
      <c r="G137" s="639">
        <f ca="1">G136/Patients!$D$11</f>
        <v>7.2516705307850869E-5</v>
      </c>
      <c r="H137" s="639">
        <f ca="1">H136/Patients!$D$11</f>
        <v>2.4920178295211964E-4</v>
      </c>
      <c r="I137" s="639">
        <f ca="1">I136/Patients!$D$11</f>
        <v>8.5634656546751235E-4</v>
      </c>
      <c r="J137" s="639">
        <f ca="1">J136/Patients!$D$11</f>
        <v>2.9423720028875634E-3</v>
      </c>
      <c r="K137" s="639">
        <f ca="1">K136/Patients!$D$11</f>
        <v>1.0105840935806685E-2</v>
      </c>
      <c r="L137" s="639">
        <f ca="1">L136/Patients!$D$11</f>
        <v>3.4661940456507424E-2</v>
      </c>
      <c r="M137" s="639">
        <f ca="1">M136/Patients!$D$11</f>
        <v>0.11833050119827228</v>
      </c>
      <c r="N137" s="639">
        <f ca="1">N136/Patients!$D$11</f>
        <v>0.39757161198532071</v>
      </c>
      <c r="O137" s="639">
        <f ca="1">O136/Patients!$D$11</f>
        <v>1</v>
      </c>
      <c r="P137" s="639">
        <f ca="1">P136/Patients!$D$11</f>
        <v>1</v>
      </c>
      <c r="Q137" s="639">
        <f ca="1">Q136/Patients!$D$11</f>
        <v>1</v>
      </c>
      <c r="R137" s="639" t="e">
        <f>R136/Patients!$D$11</f>
        <v>#VALUE!</v>
      </c>
      <c r="S137" s="639" t="e">
        <f>S136/Patients!$D$11</f>
        <v>#VALUE!</v>
      </c>
      <c r="T137" s="639" t="e">
        <f>T136/Patients!$D$11</f>
        <v>#VALUE!</v>
      </c>
      <c r="U137" s="639" t="e">
        <f>U136/Patients!$D$11</f>
        <v>#VALUE!</v>
      </c>
      <c r="V137" s="639" t="e">
        <f>V136/Patients!$D$11</f>
        <v>#VALUE!</v>
      </c>
      <c r="W137" s="639" t="e">
        <f>W136/Patients!$D$11</f>
        <v>#VALUE!</v>
      </c>
      <c r="X137" s="953" t="e">
        <f>X136/Patients!$D$11</f>
        <v>#VALUE!</v>
      </c>
      <c r="Y137" s="639" t="e">
        <f>Y136/Patients!$D$11</f>
        <v>#VALUE!</v>
      </c>
      <c r="Z137" s="639" t="e">
        <f>Z136/Patients!$D$11</f>
        <v>#VALUE!</v>
      </c>
      <c r="AA137" s="639" t="e">
        <f>AA136/Patients!$D$11</f>
        <v>#VALUE!</v>
      </c>
      <c r="AB137" s="639" t="e">
        <f>AB136/Patients!$D$11</f>
        <v>#VALUE!</v>
      </c>
      <c r="AC137" s="639" t="e">
        <f>AC136/Patients!$D$11</f>
        <v>#VALUE!</v>
      </c>
      <c r="AD137" s="639" t="e">
        <f>AD136/Patients!$D$11</f>
        <v>#VALUE!</v>
      </c>
      <c r="AE137" s="639" t="e">
        <f>AE136/Patients!$D$11</f>
        <v>#VALUE!</v>
      </c>
      <c r="AF137" s="639" t="e">
        <f>AF136/Patients!$D$11</f>
        <v>#VALUE!</v>
      </c>
      <c r="AG137" s="639" t="e">
        <f>AG136/Patients!$D$11</f>
        <v>#VALUE!</v>
      </c>
      <c r="AH137" s="639" t="e">
        <f>AH136/Patients!$D$11</f>
        <v>#VALUE!</v>
      </c>
      <c r="AI137" s="639" t="e">
        <f>AI136/Patients!$D$11</f>
        <v>#VALUE!</v>
      </c>
      <c r="AJ137" s="639" t="e">
        <f>AJ136/Patients!$D$11</f>
        <v>#VALUE!</v>
      </c>
      <c r="AK137" s="635" t="e">
        <f>AK136/Patients!$D$11</f>
        <v>#VALUE!</v>
      </c>
      <c r="AL137" s="635" t="e">
        <f>AL136/Patients!$D$11</f>
        <v>#VALUE!</v>
      </c>
      <c r="AM137" s="635" t="e">
        <f>AM136/Patients!$D$11</f>
        <v>#VALUE!</v>
      </c>
      <c r="AN137" s="635" t="e">
        <f>AN136/Patients!$D$11</f>
        <v>#VALUE!</v>
      </c>
      <c r="AO137" s="635" t="e">
        <f>AO136/Patients!$D$11</f>
        <v>#VALUE!</v>
      </c>
      <c r="AP137" s="635" t="e">
        <f>AP136/Patients!$D$11</f>
        <v>#VALUE!</v>
      </c>
      <c r="AQ137" s="635" t="e">
        <f>AQ136/Patients!$D$11</f>
        <v>#VALUE!</v>
      </c>
      <c r="AR137" s="635" t="e">
        <f>AR136/Patients!$D$11</f>
        <v>#VALUE!</v>
      </c>
      <c r="AS137" s="635" t="e">
        <f>AS136/Patients!$D$11</f>
        <v>#VALUE!</v>
      </c>
      <c r="AT137" s="635" t="e">
        <f>AT136/Patients!$D$11</f>
        <v>#VALUE!</v>
      </c>
      <c r="AU137" s="635" t="e">
        <f>AU136/Patients!$D$11</f>
        <v>#VALUE!</v>
      </c>
      <c r="AV137" s="635" t="e">
        <f>AV136/Patients!$D$11</f>
        <v>#VALUE!</v>
      </c>
      <c r="AW137" s="635" t="e">
        <f>AW136/Patients!$D$11</f>
        <v>#VALUE!</v>
      </c>
      <c r="AX137" s="635" t="e">
        <f>AX136/Patients!$D$11</f>
        <v>#VALUE!</v>
      </c>
      <c r="AY137" s="635" t="e">
        <f>AY136/Patients!$D$11</f>
        <v>#VALUE!</v>
      </c>
      <c r="AZ137" s="635" t="e">
        <f>AZ136/Patients!$D$11</f>
        <v>#VALUE!</v>
      </c>
      <c r="BA137" s="635" t="e">
        <f>BA136/Patients!$D$11</f>
        <v>#VALUE!</v>
      </c>
      <c r="BB137" s="635" t="e">
        <f>BB136/Patients!$D$11</f>
        <v>#VALUE!</v>
      </c>
      <c r="BC137" s="635" t="e">
        <f>BC136/Patients!$D$11</f>
        <v>#VALUE!</v>
      </c>
      <c r="BD137" s="978" t="e">
        <f>BD136/Patients!$D$11</f>
        <v>#VALUE!</v>
      </c>
      <c r="BE137" s="132"/>
    </row>
    <row r="138" spans="1:66" x14ac:dyDescent="0.75">
      <c r="B138" s="1465"/>
      <c r="C138" s="1110" t="s">
        <v>1637</v>
      </c>
      <c r="D138" s="1111"/>
      <c r="E138" s="1112"/>
      <c r="F138" s="640">
        <f ca="1">IFERROR(F135-F136,"")</f>
        <v>0</v>
      </c>
      <c r="G138" s="640">
        <f t="shared" ref="G138:BD138" ca="1" si="16">IFERROR(G135-G136,"")</f>
        <v>0</v>
      </c>
      <c r="H138" s="640">
        <f t="shared" ca="1" si="16"/>
        <v>0</v>
      </c>
      <c r="I138" s="640">
        <f t="shared" ca="1" si="16"/>
        <v>0</v>
      </c>
      <c r="J138" s="640">
        <f t="shared" ca="1" si="16"/>
        <v>0</v>
      </c>
      <c r="K138" s="640">
        <f t="shared" ca="1" si="16"/>
        <v>0</v>
      </c>
      <c r="L138" s="640">
        <f t="shared" ca="1" si="16"/>
        <v>0</v>
      </c>
      <c r="M138" s="640">
        <f t="shared" ca="1" si="16"/>
        <v>0</v>
      </c>
      <c r="N138" s="640">
        <f t="shared" ca="1" si="16"/>
        <v>0</v>
      </c>
      <c r="O138" s="640">
        <f t="shared" ca="1" si="16"/>
        <v>5656.0657814278566</v>
      </c>
      <c r="P138" s="640">
        <f t="shared" ca="1" si="16"/>
        <v>51558.946116627791</v>
      </c>
      <c r="Q138" s="640">
        <f t="shared" ca="1" si="16"/>
        <v>110834.01378474686</v>
      </c>
      <c r="R138" s="640" t="str">
        <f t="shared" si="16"/>
        <v/>
      </c>
      <c r="S138" s="640" t="str">
        <f t="shared" si="16"/>
        <v/>
      </c>
      <c r="T138" s="640" t="str">
        <f t="shared" si="16"/>
        <v/>
      </c>
      <c r="U138" s="640" t="str">
        <f t="shared" si="16"/>
        <v/>
      </c>
      <c r="V138" s="640" t="str">
        <f t="shared" si="16"/>
        <v/>
      </c>
      <c r="W138" s="640" t="str">
        <f t="shared" si="16"/>
        <v/>
      </c>
      <c r="X138" s="954" t="str">
        <f t="shared" si="16"/>
        <v/>
      </c>
      <c r="Y138" s="640" t="str">
        <f t="shared" si="16"/>
        <v/>
      </c>
      <c r="Z138" s="640" t="str">
        <f t="shared" si="16"/>
        <v/>
      </c>
      <c r="AA138" s="640" t="str">
        <f t="shared" si="16"/>
        <v/>
      </c>
      <c r="AB138" s="640" t="str">
        <f t="shared" si="16"/>
        <v/>
      </c>
      <c r="AC138" s="640" t="str">
        <f>IFERROR(AC135-AC136,"")</f>
        <v/>
      </c>
      <c r="AD138" s="640" t="str">
        <f t="shared" si="16"/>
        <v/>
      </c>
      <c r="AE138" s="640" t="str">
        <f t="shared" si="16"/>
        <v/>
      </c>
      <c r="AF138" s="640" t="str">
        <f t="shared" si="16"/>
        <v/>
      </c>
      <c r="AG138" s="640" t="str">
        <f t="shared" si="16"/>
        <v/>
      </c>
      <c r="AH138" s="640" t="str">
        <f t="shared" si="16"/>
        <v/>
      </c>
      <c r="AI138" s="640" t="str">
        <f t="shared" si="16"/>
        <v/>
      </c>
      <c r="AJ138" s="640" t="str">
        <f t="shared" si="16"/>
        <v/>
      </c>
      <c r="AK138" s="635" t="str">
        <f t="shared" si="16"/>
        <v/>
      </c>
      <c r="AL138" s="635" t="str">
        <f t="shared" si="16"/>
        <v/>
      </c>
      <c r="AM138" s="635" t="str">
        <f t="shared" si="16"/>
        <v/>
      </c>
      <c r="AN138" s="635" t="str">
        <f t="shared" si="16"/>
        <v/>
      </c>
      <c r="AO138" s="635" t="str">
        <f t="shared" si="16"/>
        <v/>
      </c>
      <c r="AP138" s="635" t="str">
        <f t="shared" si="16"/>
        <v/>
      </c>
      <c r="AQ138" s="635" t="str">
        <f t="shared" si="16"/>
        <v/>
      </c>
      <c r="AR138" s="635" t="str">
        <f t="shared" si="16"/>
        <v/>
      </c>
      <c r="AS138" s="635" t="str">
        <f t="shared" si="16"/>
        <v/>
      </c>
      <c r="AT138" s="635" t="str">
        <f t="shared" si="16"/>
        <v/>
      </c>
      <c r="AU138" s="635" t="str">
        <f t="shared" si="16"/>
        <v/>
      </c>
      <c r="AV138" s="635" t="str">
        <f t="shared" si="16"/>
        <v/>
      </c>
      <c r="AW138" s="635" t="str">
        <f t="shared" si="16"/>
        <v/>
      </c>
      <c r="AX138" s="635" t="str">
        <f t="shared" si="16"/>
        <v/>
      </c>
      <c r="AY138" s="635" t="str">
        <f t="shared" si="16"/>
        <v/>
      </c>
      <c r="AZ138" s="635" t="str">
        <f t="shared" si="16"/>
        <v/>
      </c>
      <c r="BA138" s="635" t="str">
        <f t="shared" si="16"/>
        <v/>
      </c>
      <c r="BB138" s="635" t="str">
        <f t="shared" si="16"/>
        <v/>
      </c>
      <c r="BC138" s="635" t="str">
        <f t="shared" si="16"/>
        <v/>
      </c>
      <c r="BD138" s="978" t="str">
        <f t="shared" si="16"/>
        <v/>
      </c>
      <c r="BE138" s="132"/>
    </row>
    <row r="139" spans="1:66" x14ac:dyDescent="0.75">
      <c r="B139" s="1465"/>
      <c r="C139" s="1102" t="s">
        <v>1781</v>
      </c>
      <c r="D139" s="1103"/>
      <c r="E139" s="1104"/>
      <c r="F139" s="637">
        <f ca="1">IF(ISNUMBER(F$114),INDEX(Patients!$D$47:$BD$48,2,MATCH(F$114,Patients!$D$31:$BD$31,0)),"")</f>
        <v>0.19901936961983005</v>
      </c>
      <c r="G139" s="637">
        <f ca="1">IF(ISNUMBER(G$114),INDEX(Patients!$D$47:$BD$48,2,MATCH(G$114,Patients!$D$31:$BD$31,0)),"")</f>
        <v>0.66112561295362027</v>
      </c>
      <c r="H139" s="637">
        <f ca="1">IF(ISNUMBER(H$114),INDEX(Patients!$D$47:$BD$48,2,MATCH(H$114,Patients!$D$31:$BD$31,0)),"")</f>
        <v>2.2719461086162016</v>
      </c>
      <c r="I139" s="637">
        <f ca="1">IF(ISNUMBER(I$114),INDEX(Patients!$D$47:$BD$48,2,MATCH(I$114,Patients!$D$31:$BD$31,0)),"")</f>
        <v>7.8072798416527087</v>
      </c>
      <c r="J139" s="637">
        <f ca="1">IF(ISNUMBER(J$114),INDEX(Patients!$D$47:$BD$48,2,MATCH(J$114,Patients!$D$31:$BD$31,0)),"")</f>
        <v>26.826198008640404</v>
      </c>
      <c r="K139" s="637">
        <f ca="1">IF(ISNUMBER(K$114),INDEX(Patients!$D$47:$BD$48,2,MATCH(K$114,Patients!$D$31:$BD$31,0)),"")</f>
        <v>92.145268898898095</v>
      </c>
      <c r="L139" s="637">
        <f ca="1">IF(ISNUMBER(L$114),INDEX(Patients!$D$47:$BD$48,2,MATCH(L$114,Patients!$D$31:$BD$31,0)),"")</f>
        <v>316.1459177424091</v>
      </c>
      <c r="M139" s="637">
        <f ca="1">IF(ISNUMBER(M$114),INDEX(Patients!$D$47:$BD$48,2,MATCH(M$114,Patients!$D$31:$BD$31,0)),"")</f>
        <v>1080.4184252674688</v>
      </c>
      <c r="N139" s="637">
        <f ca="1">IF(ISNUMBER(N$114),INDEX(Patients!$D$47:$BD$48,2,MATCH(N$114,Patients!$D$31:$BD$31,0)),"")</f>
        <v>3643.2528475864301</v>
      </c>
      <c r="O139" s="637">
        <f ca="1">IF(ISNUMBER(O$114),INDEX(Patients!$D$47:$BD$48,2,MATCH(O$114,Patients!$D$31:$BD$31,0)),"")</f>
        <v>11754.876289670696</v>
      </c>
      <c r="P139" s="637">
        <f ca="1">IF(ISNUMBER(P$114),INDEX(Patients!$D$47:$BD$48,2,MATCH(P$114,Patients!$D$31:$BD$31,0)),"")</f>
        <v>33195.485032685217</v>
      </c>
      <c r="Q139" s="637">
        <f ca="1">IF(ISNUMBER(Q$114),INDEX(Patients!$D$47:$BD$48,2,MATCH(Q$114,Patients!$D$31:$BD$31,0)),"")</f>
        <v>68254.801033791562</v>
      </c>
      <c r="R139" s="637" t="str">
        <f>IF(ISNUMBER(R$114),INDEX(Patients!$D$47:$BD$48,2,MATCH(R$114,Patients!$D$31:$BD$31,0)),"")</f>
        <v/>
      </c>
      <c r="S139" s="637" t="str">
        <f>IF(ISNUMBER(S$114),INDEX(Patients!$D$47:$BD$48,2,MATCH(S$114,Patients!$D$31:$BD$31,0)),"")</f>
        <v/>
      </c>
      <c r="T139" s="637" t="str">
        <f>IF(ISNUMBER(T$114),INDEX(Patients!$D$47:$BD$48,2,MATCH(T$114,Patients!$D$31:$BD$31,0)),"")</f>
        <v/>
      </c>
      <c r="U139" s="637" t="str">
        <f>IF(ISNUMBER(U$114),INDEX(Patients!$D$47:$BD$48,2,MATCH(U$114,Patients!$D$31:$BD$31,0)),"")</f>
        <v/>
      </c>
      <c r="V139" s="637" t="str">
        <f>IF(ISNUMBER(V$114),INDEX(Patients!$D$47:$BD$48,2,MATCH(V$114,Patients!$D$31:$BD$31,0)),"")</f>
        <v/>
      </c>
      <c r="W139" s="637" t="str">
        <f>IF(ISNUMBER(W$114),INDEX(Patients!$D$47:$BD$48,2,MATCH(W$114,Patients!$D$31:$BD$31,0)),"")</f>
        <v/>
      </c>
      <c r="X139" s="955" t="str">
        <f>IF(ISNUMBER(X$114),INDEX(Patients!$D$47:$BD$48,2,MATCH(X$114,Patients!$D$31:$BD$31,0)),"")</f>
        <v/>
      </c>
      <c r="Y139" s="637" t="str">
        <f>IF(ISNUMBER(Y$114),INDEX(Patients!$D$47:$BD$48,2,MATCH(Y$114,Patients!$D$31:$BD$31,0)),"")</f>
        <v/>
      </c>
      <c r="Z139" s="637" t="str">
        <f>IF(ISNUMBER(Z$114),INDEX(Patients!$D$47:$BD$48,2,MATCH(Z$114,Patients!$D$31:$BD$31,0)),"")</f>
        <v/>
      </c>
      <c r="AA139" s="637" t="str">
        <f>IF(ISNUMBER(AA$114),INDEX(Patients!$D$47:$BD$48,2,MATCH(AA$114,Patients!$D$31:$BD$31,0)),"")</f>
        <v/>
      </c>
      <c r="AB139" s="637" t="str">
        <f>IF(ISNUMBER(AB$114),INDEX(Patients!$D$47:$BD$48,2,MATCH(AB$114,Patients!$D$31:$BD$31,0)),"")</f>
        <v/>
      </c>
      <c r="AC139" s="637" t="str">
        <f>IF(ISNUMBER(AC$114),INDEX(Patients!$D$47:$BD$48,2,MATCH(AC$114,Patients!$D$31:$BD$31,0)),"")</f>
        <v/>
      </c>
      <c r="AD139" s="637" t="str">
        <f>IF(ISNUMBER(AD$114),INDEX(Patients!$D$47:$BD$48,2,MATCH(AD$114,Patients!$D$31:$BD$31,0)),"")</f>
        <v/>
      </c>
      <c r="AE139" s="637" t="str">
        <f>IF(ISNUMBER(AE$114),INDEX(Patients!$D$47:$BD$48,2,MATCH(AE$114,Patients!$D$31:$BD$31,0)),"")</f>
        <v/>
      </c>
      <c r="AF139" s="637" t="str">
        <f>IF(ISNUMBER(AF$114),INDEX(Patients!$D$47:$BD$48,2,MATCH(AF$114,Patients!$D$31:$BD$31,0)),"")</f>
        <v/>
      </c>
      <c r="AG139" s="637" t="str">
        <f>IF(ISNUMBER(AG$114),INDEX(Patients!$D$47:$BD$48,2,MATCH(AG$114,Patients!$D$31:$BD$31,0)),"")</f>
        <v/>
      </c>
      <c r="AH139" s="637" t="str">
        <f>IF(ISNUMBER(AH$114),INDEX(Patients!$D$47:$BD$48,2,MATCH(AH$114,Patients!$D$31:$BD$31,0)),"")</f>
        <v/>
      </c>
      <c r="AI139" s="637" t="str">
        <f>IF(ISNUMBER(AI$114),INDEX(Patients!$D$47:$BD$48,2,MATCH(AI$114,Patients!$D$31:$BD$31,0)),"")</f>
        <v/>
      </c>
      <c r="AJ139" s="637" t="str">
        <f>IF(ISNUMBER(AJ$114),INDEX(Patients!$D$47:$BD$48,2,MATCH(AJ$114,Patients!$D$31:$BD$31,0)),"")</f>
        <v/>
      </c>
      <c r="AK139" s="637" t="str">
        <f>IF(ISNUMBER(AK$114),INDEX(Patients!$D$47:$BD$48,2,MATCH(AK$114,Patients!$D$31:$BD$31,0)),"")</f>
        <v/>
      </c>
      <c r="AL139" s="637" t="str">
        <f>IF(ISNUMBER(AL$114),INDEX(Patients!$D$47:$BD$48,2,MATCH(AL$114,Patients!$D$31:$BD$31,0)),"")</f>
        <v/>
      </c>
      <c r="AM139" s="637" t="str">
        <f>IF(ISNUMBER(AM$114),INDEX(Patients!$D$47:$BD$48,2,MATCH(AM$114,Patients!$D$31:$BD$31,0)),"")</f>
        <v/>
      </c>
      <c r="AN139" s="637" t="str">
        <f>IF(ISNUMBER(AN$114),INDEX(Patients!$D$47:$BD$48,2,MATCH(AN$114,Patients!$D$31:$BD$31,0)),"")</f>
        <v/>
      </c>
      <c r="AO139" s="637" t="str">
        <f>IF(ISNUMBER(AO$114),INDEX(Patients!$D$47:$BD$48,2,MATCH(AO$114,Patients!$D$31:$BD$31,0)),"")</f>
        <v/>
      </c>
      <c r="AP139" s="637" t="str">
        <f>IF(ISNUMBER(AP$114),INDEX(Patients!$D$47:$BD$48,2,MATCH(AP$114,Patients!$D$31:$BD$31,0)),"")</f>
        <v/>
      </c>
      <c r="AQ139" s="637" t="str">
        <f>IF(ISNUMBER(AQ$114),INDEX(Patients!$D$47:$BD$48,2,MATCH(AQ$114,Patients!$D$31:$BD$31,0)),"")</f>
        <v/>
      </c>
      <c r="AR139" s="637" t="str">
        <f>IF(ISNUMBER(AR$114),INDEX(Patients!$D$47:$BD$48,2,MATCH(AR$114,Patients!$D$31:$BD$31,0)),"")</f>
        <v/>
      </c>
      <c r="AS139" s="637" t="str">
        <f>IF(ISNUMBER(AS$114),INDEX(Patients!$D$47:$BD$48,2,MATCH(AS$114,Patients!$D$31:$BD$31,0)),"")</f>
        <v/>
      </c>
      <c r="AT139" s="637" t="str">
        <f>IF(ISNUMBER(AT$114),INDEX(Patients!$D$47:$BD$48,2,MATCH(AT$114,Patients!$D$31:$BD$31,0)),"")</f>
        <v/>
      </c>
      <c r="AU139" s="637" t="str">
        <f>IF(ISNUMBER(AU$114),INDEX(Patients!$D$47:$BD$48,2,MATCH(AU$114,Patients!$D$31:$BD$31,0)),"")</f>
        <v/>
      </c>
      <c r="AV139" s="637" t="str">
        <f>IF(ISNUMBER(AV$114),INDEX(Patients!$D$47:$BD$48,2,MATCH(AV$114,Patients!$D$31:$BD$31,0)),"")</f>
        <v/>
      </c>
      <c r="AW139" s="637" t="str">
        <f>IF(ISNUMBER(AW$114),INDEX(Patients!$D$47:$BD$48,2,MATCH(AW$114,Patients!$D$31:$BD$31,0)),"")</f>
        <v/>
      </c>
      <c r="AX139" s="637" t="str">
        <f>IF(ISNUMBER(AX$114),INDEX(Patients!$D$47:$BD$48,2,MATCH(AX$114,Patients!$D$31:$BD$31,0)),"")</f>
        <v/>
      </c>
      <c r="AY139" s="637" t="str">
        <f>IF(ISNUMBER(AY$114),INDEX(Patients!$D$47:$BD$48,2,MATCH(AY$114,Patients!$D$31:$BD$31,0)),"")</f>
        <v/>
      </c>
      <c r="AZ139" s="637" t="str">
        <f>IF(ISNUMBER(AZ$114),INDEX(Patients!$D$47:$BD$48,2,MATCH(AZ$114,Patients!$D$31:$BD$31,0)),"")</f>
        <v/>
      </c>
      <c r="BA139" s="637" t="str">
        <f>IF(ISNUMBER(BA$114),INDEX(Patients!$D$47:$BD$48,2,MATCH(BA$114,Patients!$D$31:$BD$31,0)),"")</f>
        <v/>
      </c>
      <c r="BB139" s="637" t="str">
        <f>IF(ISNUMBER(BB$114),INDEX(Patients!$D$47:$BD$48,2,MATCH(BB$114,Patients!$D$31:$BD$31,0)),"")</f>
        <v/>
      </c>
      <c r="BC139" s="637" t="str">
        <f>IF(ISNUMBER(BC$114),INDEX(Patients!$D$47:$BD$48,2,MATCH(BC$114,Patients!$D$31:$BD$31,0)),"")</f>
        <v/>
      </c>
      <c r="BD139" s="976" t="str">
        <f>IF(ISNUMBER(BD$114),INDEX(Patients!$D$47:$BD$48,2,MATCH(BD$114,Patients!$D$31:$BD$31,0)),"")</f>
        <v/>
      </c>
      <c r="BE139"/>
    </row>
    <row r="140" spans="1:66" x14ac:dyDescent="0.75">
      <c r="B140" s="1465"/>
      <c r="C140" s="1105" t="s">
        <v>1639</v>
      </c>
      <c r="D140" s="6"/>
      <c r="E140" s="1106"/>
      <c r="F140" s="638">
        <f ca="1">IF(ISNUMBER(F$114),INDEX('HCW &amp; Staff'!$D$18:$BD$19,2,MATCH(F$114,'HCW &amp; Staff'!$D$15:$BD$15,0)),"")</f>
        <v>0.19901936961983005</v>
      </c>
      <c r="G140" s="638">
        <f ca="1">IF(ISNUMBER(G$114),INDEX('HCW &amp; Staff'!$D$18:$BD$19,2,MATCH(G$114,'HCW &amp; Staff'!$D$15:$BD$15,0)),"")</f>
        <v>0.66112561295362027</v>
      </c>
      <c r="H140" s="638">
        <f ca="1">IF(ISNUMBER(H$114),INDEX('HCW &amp; Staff'!$D$18:$BD$19,2,MATCH(H$114,'HCW &amp; Staff'!$D$15:$BD$15,0)),"")</f>
        <v>2.2719461086162016</v>
      </c>
      <c r="I140" s="638">
        <f ca="1">IF(ISNUMBER(I$114),INDEX('HCW &amp; Staff'!$D$18:$BD$19,2,MATCH(I$114,'HCW &amp; Staff'!$D$15:$BD$15,0)),"")</f>
        <v>7.8072798416527087</v>
      </c>
      <c r="J140" s="638">
        <f ca="1">IF(ISNUMBER(J$114),INDEX('HCW &amp; Staff'!$D$18:$BD$19,2,MATCH(J$114,'HCW &amp; Staff'!$D$15:$BD$15,0)),"")</f>
        <v>26.826198008640404</v>
      </c>
      <c r="K140" s="638">
        <f ca="1">IF(ISNUMBER(K$114),INDEX('HCW &amp; Staff'!$D$18:$BD$19,2,MATCH(K$114,'HCW &amp; Staff'!$D$15:$BD$15,0)),"")</f>
        <v>92.145268898898095</v>
      </c>
      <c r="L140" s="638">
        <f ca="1">IF(ISNUMBER(L$114),INDEX('HCW &amp; Staff'!$D$18:$BD$19,2,MATCH(L$114,'HCW &amp; Staff'!$D$15:$BD$15,0)),"")</f>
        <v>316.1459177424091</v>
      </c>
      <c r="M140" s="638">
        <f ca="1">IF(ISNUMBER(M$114),INDEX('HCW &amp; Staff'!$D$18:$BD$19,2,MATCH(M$114,'HCW &amp; Staff'!$D$15:$BD$15,0)),"")</f>
        <v>875.0784000000001</v>
      </c>
      <c r="N140" s="638">
        <f ca="1">IF(ISNUMBER(N$114),INDEX('HCW &amp; Staff'!$D$18:$BD$19,2,MATCH(N$114,'HCW &amp; Staff'!$D$15:$BD$15,0)),"")</f>
        <v>875.0784000000001</v>
      </c>
      <c r="O140" s="638">
        <f ca="1">IF(ISNUMBER(O$114),INDEX('HCW &amp; Staff'!$D$18:$BD$19,2,MATCH(O$114,'HCW &amp; Staff'!$D$15:$BD$15,0)),"")</f>
        <v>875.0784000000001</v>
      </c>
      <c r="P140" s="638">
        <f ca="1">IF(ISNUMBER(P$114),INDEX('HCW &amp; Staff'!$D$18:$BD$19,2,MATCH(P$114,'HCW &amp; Staff'!$D$15:$BD$15,0)),"")</f>
        <v>875.0784000000001</v>
      </c>
      <c r="Q140" s="638">
        <f ca="1">IF(ISNUMBER(Q$114),INDEX('HCW &amp; Staff'!$D$18:$BD$19,2,MATCH(Q$114,'HCW &amp; Staff'!$D$15:$BD$15,0)),"")</f>
        <v>875.0784000000001</v>
      </c>
      <c r="R140" s="638" t="str">
        <f>IF(ISNUMBER(R$114),INDEX('HCW &amp; Staff'!$D$18:$BD$19,2,MATCH(R$114,'HCW &amp; Staff'!$D$15:$BD$15,0)),"")</f>
        <v/>
      </c>
      <c r="S140" s="638" t="str">
        <f>IF(ISNUMBER(S$114),INDEX('HCW &amp; Staff'!$D$18:$BD$19,2,MATCH(S$114,'HCW &amp; Staff'!$D$15:$BD$15,0)),"")</f>
        <v/>
      </c>
      <c r="T140" s="638" t="str">
        <f>IF(ISNUMBER(T$114),INDEX('HCW &amp; Staff'!$D$18:$BD$19,2,MATCH(T$114,'HCW &amp; Staff'!$D$15:$BD$15,0)),"")</f>
        <v/>
      </c>
      <c r="U140" s="638" t="str">
        <f>IF(ISNUMBER(U$114),INDEX('HCW &amp; Staff'!$D$18:$BD$19,2,MATCH(U$114,'HCW &amp; Staff'!$D$15:$BD$15,0)),"")</f>
        <v/>
      </c>
      <c r="V140" s="638" t="str">
        <f>IF(ISNUMBER(V$114),INDEX('HCW &amp; Staff'!$D$18:$BD$19,2,MATCH(V$114,'HCW &amp; Staff'!$D$15:$BD$15,0)),"")</f>
        <v/>
      </c>
      <c r="W140" s="638" t="str">
        <f>IF(ISNUMBER(W$114),INDEX('HCW &amp; Staff'!$D$18:$BD$19,2,MATCH(W$114,'HCW &amp; Staff'!$D$15:$BD$15,0)),"")</f>
        <v/>
      </c>
      <c r="X140" s="952" t="str">
        <f>IF(ISNUMBER(X$114),INDEX('HCW &amp; Staff'!$D$18:$BD$19,2,MATCH(X$114,'HCW &amp; Staff'!$D$15:$BD$15,0)),"")</f>
        <v/>
      </c>
      <c r="Y140" s="638" t="str">
        <f>IF(ISNUMBER(Y$114),INDEX('HCW &amp; Staff'!$D$18:$BD$19,2,MATCH(Y$114,'HCW &amp; Staff'!$D$15:$BD$15,0)),"")</f>
        <v/>
      </c>
      <c r="Z140" s="638" t="str">
        <f>IF(ISNUMBER(Z$114),INDEX('HCW &amp; Staff'!$D$18:$BD$19,2,MATCH(Z$114,'HCW &amp; Staff'!$D$15:$BD$15,0)),"")</f>
        <v/>
      </c>
      <c r="AA140" s="638" t="str">
        <f>IF(ISNUMBER(AA$114),INDEX('HCW &amp; Staff'!$D$18:$BD$19,2,MATCH(AA$114,'HCW &amp; Staff'!$D$15:$BD$15,0)),"")</f>
        <v/>
      </c>
      <c r="AB140" s="638" t="str">
        <f>IF(ISNUMBER(AB$114),INDEX('HCW &amp; Staff'!$D$18:$BD$19,2,MATCH(AB$114,'HCW &amp; Staff'!$D$15:$BD$15,0)),"")</f>
        <v/>
      </c>
      <c r="AC140" s="638" t="str">
        <f>IF(ISNUMBER(AC$114),INDEX('HCW &amp; Staff'!$D$18:$BD$19,2,MATCH(AC$114,'HCW &amp; Staff'!$D$15:$BD$15,0)),"")</f>
        <v/>
      </c>
      <c r="AD140" s="638" t="str">
        <f>IF(ISNUMBER(AD$114),INDEX('HCW &amp; Staff'!$D$18:$BD$19,2,MATCH(AD$114,'HCW &amp; Staff'!$D$15:$BD$15,0)),"")</f>
        <v/>
      </c>
      <c r="AE140" s="638" t="str">
        <f>IF(ISNUMBER(AE$114),INDEX('HCW &amp; Staff'!$D$18:$BD$19,2,MATCH(AE$114,'HCW &amp; Staff'!$D$15:$BD$15,0)),"")</f>
        <v/>
      </c>
      <c r="AF140" s="638" t="str">
        <f>IF(ISNUMBER(AF$114),INDEX('HCW &amp; Staff'!$D$18:$BD$19,2,MATCH(AF$114,'HCW &amp; Staff'!$D$15:$BD$15,0)),"")</f>
        <v/>
      </c>
      <c r="AG140" s="638" t="str">
        <f>IF(ISNUMBER(AG$114),INDEX('HCW &amp; Staff'!$D$18:$BD$19,2,MATCH(AG$114,'HCW &amp; Staff'!$D$15:$BD$15,0)),"")</f>
        <v/>
      </c>
      <c r="AH140" s="638" t="str">
        <f>IF(ISNUMBER(AH$114),INDEX('HCW &amp; Staff'!$D$18:$BD$19,2,MATCH(AH$114,'HCW &amp; Staff'!$D$15:$BD$15,0)),"")</f>
        <v/>
      </c>
      <c r="AI140" s="638" t="str">
        <f>IF(ISNUMBER(AI$114),INDEX('HCW &amp; Staff'!$D$18:$BD$19,2,MATCH(AI$114,'HCW &amp; Staff'!$D$15:$BD$15,0)),"")</f>
        <v/>
      </c>
      <c r="AJ140" s="638" t="str">
        <f>IF(ISNUMBER(AJ$114),INDEX('HCW &amp; Staff'!$D$18:$BD$19,2,MATCH(AJ$114,'HCW &amp; Staff'!$D$15:$BD$15,0)),"")</f>
        <v/>
      </c>
      <c r="AK140" s="638" t="str">
        <f>IF(ISNUMBER(AK$114),INDEX('HCW &amp; Staff'!$D$18:$BD$19,2,MATCH(AK$114,'HCW &amp; Staff'!$D$15:$BD$15,0)),"")</f>
        <v/>
      </c>
      <c r="AL140" s="638" t="str">
        <f>IF(ISNUMBER(AL$114),INDEX('HCW &amp; Staff'!$D$18:$BD$19,2,MATCH(AL$114,'HCW &amp; Staff'!$D$15:$BD$15,0)),"")</f>
        <v/>
      </c>
      <c r="AM140" s="638" t="str">
        <f>IF(ISNUMBER(AM$114),INDEX('HCW &amp; Staff'!$D$18:$BD$19,2,MATCH(AM$114,'HCW &amp; Staff'!$D$15:$BD$15,0)),"")</f>
        <v/>
      </c>
      <c r="AN140" s="638" t="str">
        <f>IF(ISNUMBER(AN$114),INDEX('HCW &amp; Staff'!$D$18:$BD$19,2,MATCH(AN$114,'HCW &amp; Staff'!$D$15:$BD$15,0)),"")</f>
        <v/>
      </c>
      <c r="AO140" s="638" t="str">
        <f>IF(ISNUMBER(AO$114),INDEX('HCW &amp; Staff'!$D$18:$BD$19,2,MATCH(AO$114,'HCW &amp; Staff'!$D$15:$BD$15,0)),"")</f>
        <v/>
      </c>
      <c r="AP140" s="638" t="str">
        <f>IF(ISNUMBER(AP$114),INDEX('HCW &amp; Staff'!$D$18:$BD$19,2,MATCH(AP$114,'HCW &amp; Staff'!$D$15:$BD$15,0)),"")</f>
        <v/>
      </c>
      <c r="AQ140" s="638" t="str">
        <f>IF(ISNUMBER(AQ$114),INDEX('HCW &amp; Staff'!$D$18:$BD$19,2,MATCH(AQ$114,'HCW &amp; Staff'!$D$15:$BD$15,0)),"")</f>
        <v/>
      </c>
      <c r="AR140" s="638" t="str">
        <f>IF(ISNUMBER(AR$114),INDEX('HCW &amp; Staff'!$D$18:$BD$19,2,MATCH(AR$114,'HCW &amp; Staff'!$D$15:$BD$15,0)),"")</f>
        <v/>
      </c>
      <c r="AS140" s="638" t="str">
        <f>IF(ISNUMBER(AS$114),INDEX('HCW &amp; Staff'!$D$18:$BD$19,2,MATCH(AS$114,'HCW &amp; Staff'!$D$15:$BD$15,0)),"")</f>
        <v/>
      </c>
      <c r="AT140" s="638" t="str">
        <f>IF(ISNUMBER(AT$114),INDEX('HCW &amp; Staff'!$D$18:$BD$19,2,MATCH(AT$114,'HCW &amp; Staff'!$D$15:$BD$15,0)),"")</f>
        <v/>
      </c>
      <c r="AU140" s="638" t="str">
        <f>IF(ISNUMBER(AU$114),INDEX('HCW &amp; Staff'!$D$18:$BD$19,2,MATCH(AU$114,'HCW &amp; Staff'!$D$15:$BD$15,0)),"")</f>
        <v/>
      </c>
      <c r="AV140" s="638" t="str">
        <f>IF(ISNUMBER(AV$114),INDEX('HCW &amp; Staff'!$D$18:$BD$19,2,MATCH(AV$114,'HCW &amp; Staff'!$D$15:$BD$15,0)),"")</f>
        <v/>
      </c>
      <c r="AW140" s="638" t="str">
        <f>IF(ISNUMBER(AW$114),INDEX('HCW &amp; Staff'!$D$18:$BD$19,2,MATCH(AW$114,'HCW &amp; Staff'!$D$15:$BD$15,0)),"")</f>
        <v/>
      </c>
      <c r="AX140" s="638" t="str">
        <f>IF(ISNUMBER(AX$114),INDEX('HCW &amp; Staff'!$D$18:$BD$19,2,MATCH(AX$114,'HCW &amp; Staff'!$D$15:$BD$15,0)),"")</f>
        <v/>
      </c>
      <c r="AY140" s="638" t="str">
        <f>IF(ISNUMBER(AY$114),INDEX('HCW &amp; Staff'!$D$18:$BD$19,2,MATCH(AY$114,'HCW &amp; Staff'!$D$15:$BD$15,0)),"")</f>
        <v/>
      </c>
      <c r="AZ140" s="638" t="str">
        <f>IF(ISNUMBER(AZ$114),INDEX('HCW &amp; Staff'!$D$18:$BD$19,2,MATCH(AZ$114,'HCW &amp; Staff'!$D$15:$BD$15,0)),"")</f>
        <v/>
      </c>
      <c r="BA140" s="638" t="str">
        <f>IF(ISNUMBER(BA$114),INDEX('HCW &amp; Staff'!$D$18:$BD$19,2,MATCH(BA$114,'HCW &amp; Staff'!$D$15:$BD$15,0)),"")</f>
        <v/>
      </c>
      <c r="BB140" s="638" t="str">
        <f>IF(ISNUMBER(BB$114),INDEX('HCW &amp; Staff'!$D$18:$BD$19,2,MATCH(BB$114,'HCW &amp; Staff'!$D$15:$BD$15,0)),"")</f>
        <v/>
      </c>
      <c r="BC140" s="638" t="str">
        <f>IF(ISNUMBER(BC$114),INDEX('HCW &amp; Staff'!$D$18:$BD$19,2,MATCH(BC$114,'HCW &amp; Staff'!$D$15:$BD$15,0)),"")</f>
        <v/>
      </c>
      <c r="BD140" s="977" t="str">
        <f>IF(ISNUMBER(BD$114),INDEX('HCW &amp; Staff'!$D$18:$BD$19,2,MATCH(BD$114,'HCW &amp; Staff'!$D$15:$BD$15,0)),"")</f>
        <v/>
      </c>
      <c r="BE140"/>
    </row>
    <row r="141" spans="1:66" x14ac:dyDescent="0.75">
      <c r="B141" s="1465"/>
      <c r="C141" s="1107" t="s">
        <v>1640</v>
      </c>
      <c r="D141" s="1108"/>
      <c r="E141" s="1109"/>
      <c r="F141" s="639">
        <f ca="1">F140/Patients!$D$12</f>
        <v>2.2743033037934661E-4</v>
      </c>
      <c r="G141" s="639">
        <f ca="1">G140/Patients!$D$12</f>
        <v>7.5550443589239569E-4</v>
      </c>
      <c r="H141" s="639">
        <f ca="1">H140/Patients!$D$12</f>
        <v>2.5962772119803223E-3</v>
      </c>
      <c r="I141" s="639">
        <f ca="1">I140/Patients!$D$12</f>
        <v>8.921806139487282E-3</v>
      </c>
      <c r="J141" s="639">
        <f ca="1">J140/Patients!$D$12</f>
        <v>3.0655765253308046E-2</v>
      </c>
      <c r="K141" s="639">
        <f ca="1">K140/Patients!$D$12</f>
        <v>0.10529944391142335</v>
      </c>
      <c r="L141" s="639">
        <f ca="1">L140/Patients!$D$12</f>
        <v>0.36127724983545367</v>
      </c>
      <c r="M141" s="639">
        <f ca="1">M140/Patients!$D$12</f>
        <v>1</v>
      </c>
      <c r="N141" s="639">
        <f ca="1">N140/Patients!$D$12</f>
        <v>1</v>
      </c>
      <c r="O141" s="639">
        <f ca="1">O140/Patients!$D$12</f>
        <v>1</v>
      </c>
      <c r="P141" s="639">
        <f ca="1">P140/Patients!$D$12</f>
        <v>1</v>
      </c>
      <c r="Q141" s="639">
        <f ca="1">Q140/Patients!$D$12</f>
        <v>1</v>
      </c>
      <c r="R141" s="639" t="e">
        <f>R140/Patients!$D$12</f>
        <v>#VALUE!</v>
      </c>
      <c r="S141" s="639" t="e">
        <f>S140/Patients!$D$12</f>
        <v>#VALUE!</v>
      </c>
      <c r="T141" s="639" t="e">
        <f>T140/Patients!$D$12</f>
        <v>#VALUE!</v>
      </c>
      <c r="U141" s="639" t="e">
        <f>U140/Patients!$D$12</f>
        <v>#VALUE!</v>
      </c>
      <c r="V141" s="639" t="e">
        <f>V140/Patients!$D$12</f>
        <v>#VALUE!</v>
      </c>
      <c r="W141" s="639" t="e">
        <f>W140/Patients!$D$12</f>
        <v>#VALUE!</v>
      </c>
      <c r="X141" s="953" t="e">
        <f>X140/Patients!$D$12</f>
        <v>#VALUE!</v>
      </c>
      <c r="Y141" s="639" t="e">
        <f>Y140/Patients!$D$12</f>
        <v>#VALUE!</v>
      </c>
      <c r="Z141" s="639" t="e">
        <f>Z140/Patients!$D$12</f>
        <v>#VALUE!</v>
      </c>
      <c r="AA141" s="639" t="e">
        <f>AA140/Patients!$D$12</f>
        <v>#VALUE!</v>
      </c>
      <c r="AB141" s="639" t="e">
        <f>AB140/Patients!$D$12</f>
        <v>#VALUE!</v>
      </c>
      <c r="AC141" s="639" t="e">
        <f>AC140/Patients!$D$12</f>
        <v>#VALUE!</v>
      </c>
      <c r="AD141" s="639" t="e">
        <f>AD140/Patients!$D$12</f>
        <v>#VALUE!</v>
      </c>
      <c r="AE141" s="639" t="e">
        <f>AE140/Patients!$D$12</f>
        <v>#VALUE!</v>
      </c>
      <c r="AF141" s="639" t="e">
        <f>AF140/Patients!$D$12</f>
        <v>#VALUE!</v>
      </c>
      <c r="AG141" s="639" t="e">
        <f>AG140/Patients!$D$12</f>
        <v>#VALUE!</v>
      </c>
      <c r="AH141" s="639" t="e">
        <f>AH140/Patients!$D$12</f>
        <v>#VALUE!</v>
      </c>
      <c r="AI141" s="639" t="e">
        <f>AI140/Patients!$D$12</f>
        <v>#VALUE!</v>
      </c>
      <c r="AJ141" s="639" t="e">
        <f>AJ140/Patients!$D$12</f>
        <v>#VALUE!</v>
      </c>
      <c r="AK141" s="635" t="e">
        <f>AK140/Patients!$D$12</f>
        <v>#VALUE!</v>
      </c>
      <c r="AL141" s="635" t="e">
        <f>AL140/Patients!$D$12</f>
        <v>#VALUE!</v>
      </c>
      <c r="AM141" s="635" t="e">
        <f>AM140/Patients!$D$12</f>
        <v>#VALUE!</v>
      </c>
      <c r="AN141" s="635" t="e">
        <f>AN140/Patients!$D$12</f>
        <v>#VALUE!</v>
      </c>
      <c r="AO141" s="635" t="e">
        <f>AO140/Patients!$D$12</f>
        <v>#VALUE!</v>
      </c>
      <c r="AP141" s="635" t="e">
        <f>AP140/Patients!$D$12</f>
        <v>#VALUE!</v>
      </c>
      <c r="AQ141" s="635" t="e">
        <f>AQ140/Patients!$D$12</f>
        <v>#VALUE!</v>
      </c>
      <c r="AR141" s="635" t="e">
        <f>AR140/Patients!$D$12</f>
        <v>#VALUE!</v>
      </c>
      <c r="AS141" s="635" t="e">
        <f>AS140/Patients!$D$12</f>
        <v>#VALUE!</v>
      </c>
      <c r="AT141" s="635" t="e">
        <f>AT140/Patients!$D$12</f>
        <v>#VALUE!</v>
      </c>
      <c r="AU141" s="635" t="e">
        <f>AU140/Patients!$D$12</f>
        <v>#VALUE!</v>
      </c>
      <c r="AV141" s="635" t="e">
        <f>AV140/Patients!$D$12</f>
        <v>#VALUE!</v>
      </c>
      <c r="AW141" s="635" t="e">
        <f>AW140/Patients!$D$12</f>
        <v>#VALUE!</v>
      </c>
      <c r="AX141" s="635" t="e">
        <f>AX140/Patients!$D$12</f>
        <v>#VALUE!</v>
      </c>
      <c r="AY141" s="635" t="e">
        <f>AY140/Patients!$D$12</f>
        <v>#VALUE!</v>
      </c>
      <c r="AZ141" s="635" t="e">
        <f>AZ140/Patients!$D$12</f>
        <v>#VALUE!</v>
      </c>
      <c r="BA141" s="635" t="e">
        <f>BA140/Patients!$D$12</f>
        <v>#VALUE!</v>
      </c>
      <c r="BB141" s="635" t="e">
        <f>BB140/Patients!$D$12</f>
        <v>#VALUE!</v>
      </c>
      <c r="BC141" s="635" t="e">
        <f>BC140/Patients!$D$12</f>
        <v>#VALUE!</v>
      </c>
      <c r="BD141" s="978" t="e">
        <f>BD140/Patients!$D$12</f>
        <v>#VALUE!</v>
      </c>
      <c r="BE141" s="132"/>
    </row>
    <row r="142" spans="1:66" ht="15.5" thickBot="1" x14ac:dyDescent="0.9">
      <c r="B142" s="1466"/>
      <c r="C142" s="1330" t="s">
        <v>1641</v>
      </c>
      <c r="D142" s="1113"/>
      <c r="E142" s="1114"/>
      <c r="F142" s="979">
        <f ca="1">IFERROR(F139-F140,"")</f>
        <v>0</v>
      </c>
      <c r="G142" s="979">
        <f t="shared" ref="G142:BD142" ca="1" si="17">IFERROR(G139-G140,"")</f>
        <v>0</v>
      </c>
      <c r="H142" s="979">
        <f t="shared" ca="1" si="17"/>
        <v>0</v>
      </c>
      <c r="I142" s="979">
        <f t="shared" ca="1" si="17"/>
        <v>0</v>
      </c>
      <c r="J142" s="979">
        <f t="shared" ca="1" si="17"/>
        <v>0</v>
      </c>
      <c r="K142" s="979">
        <f t="shared" ca="1" si="17"/>
        <v>0</v>
      </c>
      <c r="L142" s="979">
        <f t="shared" ca="1" si="17"/>
        <v>0</v>
      </c>
      <c r="M142" s="979">
        <f t="shared" ca="1" si="17"/>
        <v>205.34002526746872</v>
      </c>
      <c r="N142" s="979">
        <f t="shared" ca="1" si="17"/>
        <v>2768.1744475864298</v>
      </c>
      <c r="O142" s="979">
        <f t="shared" ca="1" si="17"/>
        <v>10879.797889670695</v>
      </c>
      <c r="P142" s="979">
        <f t="shared" ca="1" si="17"/>
        <v>32320.406632685219</v>
      </c>
      <c r="Q142" s="979">
        <f t="shared" ca="1" si="17"/>
        <v>67379.722633791564</v>
      </c>
      <c r="R142" s="979" t="str">
        <f t="shared" si="17"/>
        <v/>
      </c>
      <c r="S142" s="979" t="str">
        <f t="shared" si="17"/>
        <v/>
      </c>
      <c r="T142" s="979" t="str">
        <f t="shared" si="17"/>
        <v/>
      </c>
      <c r="U142" s="979" t="str">
        <f t="shared" si="17"/>
        <v/>
      </c>
      <c r="V142" s="979" t="str">
        <f t="shared" si="17"/>
        <v/>
      </c>
      <c r="W142" s="979" t="str">
        <f t="shared" si="17"/>
        <v/>
      </c>
      <c r="X142" s="980" t="str">
        <f t="shared" si="17"/>
        <v/>
      </c>
      <c r="Y142" s="979" t="str">
        <f t="shared" si="17"/>
        <v/>
      </c>
      <c r="Z142" s="979" t="str">
        <f t="shared" si="17"/>
        <v/>
      </c>
      <c r="AA142" s="979" t="str">
        <f t="shared" si="17"/>
        <v/>
      </c>
      <c r="AB142" s="979" t="str">
        <f t="shared" si="17"/>
        <v/>
      </c>
      <c r="AC142" s="979" t="str">
        <f>IFERROR(AC139-AC140,"")</f>
        <v/>
      </c>
      <c r="AD142" s="979" t="str">
        <f t="shared" si="17"/>
        <v/>
      </c>
      <c r="AE142" s="979" t="str">
        <f t="shared" si="17"/>
        <v/>
      </c>
      <c r="AF142" s="979" t="str">
        <f t="shared" si="17"/>
        <v/>
      </c>
      <c r="AG142" s="979" t="str">
        <f t="shared" si="17"/>
        <v/>
      </c>
      <c r="AH142" s="979" t="str">
        <f t="shared" si="17"/>
        <v/>
      </c>
      <c r="AI142" s="979" t="str">
        <f t="shared" si="17"/>
        <v/>
      </c>
      <c r="AJ142" s="979" t="str">
        <f t="shared" si="17"/>
        <v/>
      </c>
      <c r="AK142" s="981" t="str">
        <f t="shared" si="17"/>
        <v/>
      </c>
      <c r="AL142" s="981" t="str">
        <f t="shared" si="17"/>
        <v/>
      </c>
      <c r="AM142" s="981" t="str">
        <f t="shared" si="17"/>
        <v/>
      </c>
      <c r="AN142" s="981" t="str">
        <f t="shared" si="17"/>
        <v/>
      </c>
      <c r="AO142" s="981" t="str">
        <f t="shared" si="17"/>
        <v/>
      </c>
      <c r="AP142" s="981" t="str">
        <f t="shared" si="17"/>
        <v/>
      </c>
      <c r="AQ142" s="981" t="str">
        <f t="shared" si="17"/>
        <v/>
      </c>
      <c r="AR142" s="981" t="str">
        <f t="shared" si="17"/>
        <v/>
      </c>
      <c r="AS142" s="981" t="str">
        <f t="shared" si="17"/>
        <v/>
      </c>
      <c r="AT142" s="981" t="str">
        <f t="shared" si="17"/>
        <v/>
      </c>
      <c r="AU142" s="981" t="str">
        <f t="shared" si="17"/>
        <v/>
      </c>
      <c r="AV142" s="981" t="str">
        <f t="shared" si="17"/>
        <v/>
      </c>
      <c r="AW142" s="981" t="str">
        <f t="shared" si="17"/>
        <v/>
      </c>
      <c r="AX142" s="981" t="str">
        <f t="shared" si="17"/>
        <v/>
      </c>
      <c r="AY142" s="981" t="str">
        <f t="shared" si="17"/>
        <v/>
      </c>
      <c r="AZ142" s="981" t="str">
        <f t="shared" si="17"/>
        <v/>
      </c>
      <c r="BA142" s="981" t="str">
        <f t="shared" si="17"/>
        <v/>
      </c>
      <c r="BB142" s="981" t="str">
        <f t="shared" si="17"/>
        <v/>
      </c>
      <c r="BC142" s="981" t="str">
        <f t="shared" si="17"/>
        <v/>
      </c>
      <c r="BD142" s="982" t="str">
        <f t="shared" si="17"/>
        <v/>
      </c>
      <c r="BE142" s="132"/>
    </row>
    <row r="143" spans="1:66" ht="24" customHeight="1" thickBot="1" x14ac:dyDescent="0.9">
      <c r="A143"/>
      <c r="B143" s="814" t="s">
        <v>1853</v>
      </c>
      <c r="C143" s="1108"/>
      <c r="D143" s="1108"/>
      <c r="E143" s="1108"/>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row>
    <row r="144" spans="1:66" s="127" customFormat="1" ht="30.65" customHeight="1" thickBot="1" x14ac:dyDescent="0.9">
      <c r="B144" s="975" t="s">
        <v>743</v>
      </c>
      <c r="C144" s="1438" t="s">
        <v>1785</v>
      </c>
      <c r="D144" s="1439"/>
      <c r="E144" s="1440"/>
      <c r="F144" s="634" t="str">
        <f>F134</f>
        <v>First week of forecast</v>
      </c>
      <c r="G144" s="634" t="str">
        <f t="shared" ref="G144:BD144" si="18">G134</f>
        <v>Week 2 of forecast</v>
      </c>
      <c r="H144" s="634" t="str">
        <f t="shared" si="18"/>
        <v>Week 3 of forecast</v>
      </c>
      <c r="I144" s="634" t="str">
        <f t="shared" si="18"/>
        <v>Week 4 of forecast</v>
      </c>
      <c r="J144" s="634" t="str">
        <f t="shared" si="18"/>
        <v>Week 5 of forecast</v>
      </c>
      <c r="K144" s="634" t="str">
        <f t="shared" si="18"/>
        <v>Week 6 of forecast</v>
      </c>
      <c r="L144" s="634" t="str">
        <f t="shared" si="18"/>
        <v>Week 7 of forecast</v>
      </c>
      <c r="M144" s="634" t="str">
        <f t="shared" si="18"/>
        <v>Week 8 of forecast</v>
      </c>
      <c r="N144" s="634" t="str">
        <f t="shared" si="18"/>
        <v>Week 9 of forecast</v>
      </c>
      <c r="O144" s="634" t="str">
        <f t="shared" si="18"/>
        <v>Week 10 of forecast</v>
      </c>
      <c r="P144" s="634" t="str">
        <f t="shared" si="18"/>
        <v>Week 11 of forecast</v>
      </c>
      <c r="Q144" s="634" t="str">
        <f t="shared" si="18"/>
        <v>Week 12 of forecast</v>
      </c>
      <c r="R144" s="634" t="str">
        <f t="shared" si="18"/>
        <v>Week 13 of forecast</v>
      </c>
      <c r="S144" s="634" t="str">
        <f t="shared" si="18"/>
        <v>Week 14 of forecast</v>
      </c>
      <c r="T144" s="634" t="str">
        <f t="shared" si="18"/>
        <v>Week 15 of forecast</v>
      </c>
      <c r="U144" s="634" t="str">
        <f t="shared" si="18"/>
        <v>Week 16 of forecast</v>
      </c>
      <c r="V144" s="634" t="str">
        <f t="shared" si="18"/>
        <v>Week 17 of forecast</v>
      </c>
      <c r="W144" s="634" t="str">
        <f t="shared" si="18"/>
        <v>Week 18 of forecast</v>
      </c>
      <c r="X144" s="634" t="str">
        <f t="shared" si="18"/>
        <v>Week 19 of forecast</v>
      </c>
      <c r="Y144" s="634" t="str">
        <f t="shared" si="18"/>
        <v>Week 20 of forecast</v>
      </c>
      <c r="Z144" s="634" t="str">
        <f t="shared" si="18"/>
        <v>Week 21 of forecast</v>
      </c>
      <c r="AA144" s="634" t="str">
        <f t="shared" si="18"/>
        <v>Week 22 of forecast</v>
      </c>
      <c r="AB144" s="634" t="str">
        <f t="shared" si="18"/>
        <v>Week 23 of forecast</v>
      </c>
      <c r="AC144" s="634" t="str">
        <f t="shared" si="18"/>
        <v>Week 24 of forecast</v>
      </c>
      <c r="AD144" s="634" t="str">
        <f t="shared" si="18"/>
        <v>Week 25 of forecast</v>
      </c>
      <c r="AE144" s="634" t="str">
        <f t="shared" si="18"/>
        <v>Week 26 of forecast</v>
      </c>
      <c r="AF144" s="634" t="str">
        <f t="shared" si="18"/>
        <v>Week 27 of forecast</v>
      </c>
      <c r="AG144" s="634" t="str">
        <f t="shared" si="18"/>
        <v>Week 28 of forecast</v>
      </c>
      <c r="AH144" s="634" t="str">
        <f t="shared" si="18"/>
        <v>Week 29 of forecast</v>
      </c>
      <c r="AI144" s="634" t="str">
        <f t="shared" si="18"/>
        <v>Week 30 of forecast</v>
      </c>
      <c r="AJ144" s="634" t="str">
        <f t="shared" si="18"/>
        <v>Week 31 of forecast</v>
      </c>
      <c r="AK144" s="634" t="str">
        <f t="shared" si="18"/>
        <v>Week 32 of forecast</v>
      </c>
      <c r="AL144" s="634" t="str">
        <f t="shared" si="18"/>
        <v>Week 33 of forecast</v>
      </c>
      <c r="AM144" s="634" t="str">
        <f t="shared" si="18"/>
        <v>Week 34 of forecast</v>
      </c>
      <c r="AN144" s="634" t="str">
        <f t="shared" si="18"/>
        <v>Week 35 of forecast</v>
      </c>
      <c r="AO144" s="634" t="str">
        <f t="shared" si="18"/>
        <v>Week 36 of forecast</v>
      </c>
      <c r="AP144" s="634" t="str">
        <f t="shared" si="18"/>
        <v>Week 37 of forecast</v>
      </c>
      <c r="AQ144" s="634" t="str">
        <f t="shared" si="18"/>
        <v>Week 38 of forecast</v>
      </c>
      <c r="AR144" s="634" t="str">
        <f t="shared" si="18"/>
        <v>Week 39 of forecast</v>
      </c>
      <c r="AS144" s="634" t="str">
        <f t="shared" si="18"/>
        <v>Week 40 of forecast</v>
      </c>
      <c r="AT144" s="634" t="str">
        <f t="shared" si="18"/>
        <v>Week 41 of forecast</v>
      </c>
      <c r="AU144" s="634" t="str">
        <f t="shared" si="18"/>
        <v>Week 42 of forecast</v>
      </c>
      <c r="AV144" s="634" t="str">
        <f t="shared" si="18"/>
        <v>Week 43 of forecast</v>
      </c>
      <c r="AW144" s="634" t="str">
        <f t="shared" si="18"/>
        <v>Week 44 of forecast</v>
      </c>
      <c r="AX144" s="634" t="str">
        <f t="shared" si="18"/>
        <v>Week 45 of forecast</v>
      </c>
      <c r="AY144" s="634" t="str">
        <f t="shared" si="18"/>
        <v>Week 46 of forecast</v>
      </c>
      <c r="AZ144" s="634" t="str">
        <f t="shared" si="18"/>
        <v>Week 47 of forecast</v>
      </c>
      <c r="BA144" s="634" t="str">
        <f t="shared" si="18"/>
        <v>Week 48 of forecast</v>
      </c>
      <c r="BB144" s="634" t="str">
        <f t="shared" si="18"/>
        <v>Week 49 of forecast</v>
      </c>
      <c r="BC144" s="634" t="str">
        <f t="shared" si="18"/>
        <v>Week 50 of forecast</v>
      </c>
      <c r="BD144" s="636" t="str">
        <f t="shared" si="18"/>
        <v>Week 51 of forecast</v>
      </c>
      <c r="BE144" s="804"/>
      <c r="BF144" s="804"/>
      <c r="BG144" s="804"/>
      <c r="BH144" s="804"/>
      <c r="BI144" s="804"/>
      <c r="BJ144" s="804"/>
      <c r="BK144" s="804"/>
      <c r="BL144" s="804"/>
      <c r="BM144" s="804"/>
      <c r="BN144" s="804"/>
    </row>
    <row r="145" spans="1:66" s="125" customFormat="1" x14ac:dyDescent="0.75">
      <c r="B145" s="1496" t="s">
        <v>1622</v>
      </c>
      <c r="C145" s="1108" t="s">
        <v>1782</v>
      </c>
      <c r="D145" s="1115"/>
      <c r="E145" s="1116"/>
      <c r="F145" s="638">
        <f>IF(ISNUMBER(F$114),INDEX('HCW &amp; Staff'!$D$38:$BD$38,1,MATCH(F$114,'HCW &amp; Staff'!$D$15:$BD$15,0)),"")</f>
        <v>0.11921549569586405</v>
      </c>
      <c r="G145" s="638">
        <f>IF(ISNUMBER(G$114),INDEX('HCW &amp; Staff'!$D$38:$BD$38,1,MATCH(G$114,'HCW &amp; Staff'!$D$15:$BD$15,0)),"")</f>
        <v>0.40968499466703223</v>
      </c>
      <c r="H145" s="638">
        <f>IF(ISNUMBER(H$114),INDEX('HCW &amp; Staff'!$D$38:$BD$38,1,MATCH(H$114,'HCW &amp; Staff'!$D$15:$BD$15,0)),"")</f>
        <v>1.4078718922259288</v>
      </c>
      <c r="I145" s="638">
        <f>IF(ISNUMBER(I$114),INDEX('HCW &amp; Staff'!$D$38:$BD$38,1,MATCH(I$114,'HCW &amp; Staff'!$D$15:$BD$15,0)),"")</f>
        <v>4.8379519810962375</v>
      </c>
      <c r="J145" s="638">
        <f>IF(ISNUMBER(J$114),INDEX('HCW &amp; Staff'!$D$38:$BD$38,1,MATCH(J$114,'HCW &amp; Staff'!$D$15:$BD$15,0)),"")</f>
        <v>16.623006425816083</v>
      </c>
      <c r="K145" s="638">
        <f>IF(ISNUMBER(K$114),INDEX('HCW &amp; Staff'!$D$38:$BD$38,1,MATCH(K$114,'HCW &amp; Staff'!$D$15:$BD$15,0)),"")</f>
        <v>57.093208693302394</v>
      </c>
      <c r="L145" s="638">
        <f>IF(ISNUMBER(L$114),INDEX('HCW &amp; Staff'!$D$38:$BD$38,1,MATCH(L$114,'HCW &amp; Staff'!$D$15:$BD$15,0)),"")</f>
        <v>195.8235255006249</v>
      </c>
      <c r="M145" s="638">
        <f>IF(ISNUMBER(M$114),INDEX('HCW &amp; Staff'!$D$38:$BD$38,1,MATCH(M$114,'HCW &amp; Staff'!$D$15:$BD$15,0)),"")</f>
        <v>668.51121471335011</v>
      </c>
      <c r="N145" s="638">
        <f>IF(ISNUMBER(N$114),INDEX('HCW &amp; Staff'!$D$38:$BD$38,1,MATCH(N$114,'HCW &amp; Staff'!$D$15:$BD$15,0)),"")</f>
        <v>2246.0910633557942</v>
      </c>
      <c r="O145" s="638">
        <f>IF(ISNUMBER(O$114),INDEX('HCW &amp; Staff'!$D$38:$BD$38,1,MATCH(O$114,'HCW &amp; Staff'!$D$15:$BD$15,0)),"")</f>
        <v>7157.8099683807632</v>
      </c>
      <c r="P145" s="638">
        <f>IF(ISNUMBER(P$114),INDEX('HCW &amp; Staff'!$D$38:$BD$38,1,MATCH(P$114,'HCW &amp; Staff'!$D$15:$BD$15,0)),"")</f>
        <v>19398.578057767416</v>
      </c>
      <c r="Q145" s="638">
        <f>IF(ISNUMBER(Q$114),INDEX('HCW &amp; Staff'!$D$38:$BD$38,1,MATCH(Q$114,'HCW &amp; Staff'!$D$15:$BD$15,0)),"")</f>
        <v>35205.262769265843</v>
      </c>
      <c r="R145" s="638" t="str">
        <f>IF(ISNUMBER(R$114),INDEX('HCW &amp; Staff'!$D$38:$BD$38,1,MATCH(R$114,'HCW &amp; Staff'!$D$15:$BD$15,0)),"")</f>
        <v/>
      </c>
      <c r="S145" s="638" t="str">
        <f>IF(ISNUMBER(S$114),INDEX('HCW &amp; Staff'!$D$38:$BD$38,1,MATCH(S$114,'HCW &amp; Staff'!$D$15:$BD$15,0)),"")</f>
        <v/>
      </c>
      <c r="T145" s="638" t="str">
        <f>IF(ISNUMBER(T$114),INDEX('HCW &amp; Staff'!$D$38:$BD$38,1,MATCH(T$114,'HCW &amp; Staff'!$D$15:$BD$15,0)),"")</f>
        <v/>
      </c>
      <c r="U145" s="638" t="str">
        <f>IF(ISNUMBER(U$114),INDEX('HCW &amp; Staff'!$D$38:$BD$38,1,MATCH(U$114,'HCW &amp; Staff'!$D$15:$BD$15,0)),"")</f>
        <v/>
      </c>
      <c r="V145" s="638" t="str">
        <f>IF(ISNUMBER(V$114),INDEX('HCW &amp; Staff'!$D$38:$BD$38,1,MATCH(V$114,'HCW &amp; Staff'!$D$15:$BD$15,0)),"")</f>
        <v/>
      </c>
      <c r="W145" s="638" t="str">
        <f>IF(ISNUMBER(W$114),INDEX('HCW &amp; Staff'!$D$38:$BD$38,1,MATCH(W$114,'HCW &amp; Staff'!$D$15:$BD$15,0)),"")</f>
        <v/>
      </c>
      <c r="X145" s="952" t="str">
        <f>IF(ISNUMBER(X$114),INDEX('HCW &amp; Staff'!$D$38:$BD$38,1,MATCH(X$114,'HCW &amp; Staff'!$D$15:$BD$15,0)),"")</f>
        <v/>
      </c>
      <c r="Y145" s="638" t="str">
        <f>IF(ISNUMBER(Y$114),INDEX('HCW &amp; Staff'!$D$38:$BD$38,1,MATCH(Y$114,'HCW &amp; Staff'!$D$15:$BD$15,0)),"")</f>
        <v/>
      </c>
      <c r="Z145" s="638" t="str">
        <f>IF(ISNUMBER(Z$114),INDEX('HCW &amp; Staff'!$D$38:$BD$38,1,MATCH(Z$114,'HCW &amp; Staff'!$D$15:$BD$15,0)),"")</f>
        <v/>
      </c>
      <c r="AA145" s="638" t="str">
        <f>IF(ISNUMBER(AA$114),INDEX('HCW &amp; Staff'!$D$38:$BD$38,1,MATCH(AA$114,'HCW &amp; Staff'!$D$15:$BD$15,0)),"")</f>
        <v/>
      </c>
      <c r="AB145" s="638" t="str">
        <f>IF(ISNUMBER(AB$114),INDEX('HCW &amp; Staff'!$D$38:$BD$38,1,MATCH(AB$114,'HCW &amp; Staff'!$D$15:$BD$15,0)),"")</f>
        <v/>
      </c>
      <c r="AC145" s="638" t="str">
        <f>IF(ISNUMBER(AC$114),INDEX('HCW &amp; Staff'!$D$38:$BD$38,1,MATCH(AC$114,'HCW &amp; Staff'!$D$15:$BD$15,0)),"")</f>
        <v/>
      </c>
      <c r="AD145" s="638" t="str">
        <f>IF(ISNUMBER(AD$114),INDEX('HCW &amp; Staff'!$D$38:$BD$38,1,MATCH(AD$114,'HCW &amp; Staff'!$D$15:$BD$15,0)),"")</f>
        <v/>
      </c>
      <c r="AE145" s="638" t="str">
        <f>IF(ISNUMBER(AE$114),INDEX('HCW &amp; Staff'!$D$38:$BD$38,1,MATCH(AE$114,'HCW &amp; Staff'!$D$15:$BD$15,0)),"")</f>
        <v/>
      </c>
      <c r="AF145" s="638" t="str">
        <f>IF(ISNUMBER(AF$114),INDEX('HCW &amp; Staff'!$D$38:$BD$38,1,MATCH(AF$114,'HCW &amp; Staff'!$D$15:$BD$15,0)),"")</f>
        <v/>
      </c>
      <c r="AG145" s="638" t="str">
        <f>IF(ISNUMBER(AG$114),INDEX('HCW &amp; Staff'!$D$38:$BD$38,1,MATCH(AG$114,'HCW &amp; Staff'!$D$15:$BD$15,0)),"")</f>
        <v/>
      </c>
      <c r="AH145" s="638" t="str">
        <f>IF(ISNUMBER(AH$114),INDEX('HCW &amp; Staff'!$D$38:$BD$38,1,MATCH(AH$114,'HCW &amp; Staff'!$D$15:$BD$15,0)),"")</f>
        <v/>
      </c>
      <c r="AI145" s="638" t="str">
        <f>IF(ISNUMBER(AI$114),INDEX('HCW &amp; Staff'!$D$38:$BD$38,1,MATCH(AI$114,'HCW &amp; Staff'!$D$15:$BD$15,0)),"")</f>
        <v/>
      </c>
      <c r="AJ145" s="638" t="str">
        <f>IF(ISNUMBER(AJ$114),INDEX('HCW &amp; Staff'!$D$38:$BD$38,1,MATCH(AJ$114,'HCW &amp; Staff'!$D$15:$BD$15,0)),"")</f>
        <v/>
      </c>
      <c r="AK145" s="638" t="str">
        <f>IF(ISNUMBER(AK$114),INDEX('HCW &amp; Staff'!$D$38:$BD$38,1,MATCH(AK$114,'HCW &amp; Staff'!$D$15:$BD$15,0)),"")</f>
        <v/>
      </c>
      <c r="AL145" s="638" t="str">
        <f>IF(ISNUMBER(AL$114),INDEX('HCW &amp; Staff'!$D$38:$BD$38,1,MATCH(AL$114,'HCW &amp; Staff'!$D$15:$BD$15,0)),"")</f>
        <v/>
      </c>
      <c r="AM145" s="638" t="str">
        <f>IF(ISNUMBER(AM$114),INDEX('HCW &amp; Staff'!$D$38:$BD$38,1,MATCH(AM$114,'HCW &amp; Staff'!$D$15:$BD$15,0)),"")</f>
        <v/>
      </c>
      <c r="AN145" s="638" t="str">
        <f>IF(ISNUMBER(AN$114),INDEX('HCW &amp; Staff'!$D$38:$BD$38,1,MATCH(AN$114,'HCW &amp; Staff'!$D$15:$BD$15,0)),"")</f>
        <v/>
      </c>
      <c r="AO145" s="638" t="str">
        <f>IF(ISNUMBER(AO$114),INDEX('HCW &amp; Staff'!$D$38:$BD$38,1,MATCH(AO$114,'HCW &amp; Staff'!$D$15:$BD$15,0)),"")</f>
        <v/>
      </c>
      <c r="AP145" s="638" t="str">
        <f>IF(ISNUMBER(AP$114),INDEX('HCW &amp; Staff'!$D$38:$BD$38,1,MATCH(AP$114,'HCW &amp; Staff'!$D$15:$BD$15,0)),"")</f>
        <v/>
      </c>
      <c r="AQ145" s="638" t="str">
        <f>IF(ISNUMBER(AQ$114),INDEX('HCW &amp; Staff'!$D$38:$BD$38,1,MATCH(AQ$114,'HCW &amp; Staff'!$D$15:$BD$15,0)),"")</f>
        <v/>
      </c>
      <c r="AR145" s="638" t="str">
        <f>IF(ISNUMBER(AR$114),INDEX('HCW &amp; Staff'!$D$38:$BD$38,1,MATCH(AR$114,'HCW &amp; Staff'!$D$15:$BD$15,0)),"")</f>
        <v/>
      </c>
      <c r="AS145" s="638" t="str">
        <f>IF(ISNUMBER(AS$114),INDEX('HCW &amp; Staff'!$D$38:$BD$38,1,MATCH(AS$114,'HCW &amp; Staff'!$D$15:$BD$15,0)),"")</f>
        <v/>
      </c>
      <c r="AT145" s="638" t="str">
        <f>IF(ISNUMBER(AT$114),INDEX('HCW &amp; Staff'!$D$38:$BD$38,1,MATCH(AT$114,'HCW &amp; Staff'!$D$15:$BD$15,0)),"")</f>
        <v/>
      </c>
      <c r="AU145" s="638" t="str">
        <f>IF(ISNUMBER(AU$114),INDEX('HCW &amp; Staff'!$D$38:$BD$38,1,MATCH(AU$114,'HCW &amp; Staff'!$D$15:$BD$15,0)),"")</f>
        <v/>
      </c>
      <c r="AV145" s="638" t="str">
        <f>IF(ISNUMBER(AV$114),INDEX('HCW &amp; Staff'!$D$38:$BD$38,1,MATCH(AV$114,'HCW &amp; Staff'!$D$15:$BD$15,0)),"")</f>
        <v/>
      </c>
      <c r="AW145" s="638" t="str">
        <f>IF(ISNUMBER(AW$114),INDEX('HCW &amp; Staff'!$D$38:$BD$38,1,MATCH(AW$114,'HCW &amp; Staff'!$D$15:$BD$15,0)),"")</f>
        <v/>
      </c>
      <c r="AX145" s="638" t="str">
        <f>IF(ISNUMBER(AX$114),INDEX('HCW &amp; Staff'!$D$38:$BD$38,1,MATCH(AX$114,'HCW &amp; Staff'!$D$15:$BD$15,0)),"")</f>
        <v/>
      </c>
      <c r="AY145" s="638" t="str">
        <f>IF(ISNUMBER(AY$114),INDEX('HCW &amp; Staff'!$D$38:$BD$38,1,MATCH(AY$114,'HCW &amp; Staff'!$D$15:$BD$15,0)),"")</f>
        <v/>
      </c>
      <c r="AZ145" s="638" t="str">
        <f>IF(ISNUMBER(AZ$114),INDEX('HCW &amp; Staff'!$D$38:$BD$38,1,MATCH(AZ$114,'HCW &amp; Staff'!$D$15:$BD$15,0)),"")</f>
        <v/>
      </c>
      <c r="BA145" s="638" t="str">
        <f>IF(ISNUMBER(BA$114),INDEX('HCW &amp; Staff'!$D$38:$BD$38,1,MATCH(BA$114,'HCW &amp; Staff'!$D$15:$BD$15,0)),"")</f>
        <v/>
      </c>
      <c r="BB145" s="638" t="str">
        <f>IF(ISNUMBER(BB$114),INDEX('HCW &amp; Staff'!$D$38:$BD$38,1,MATCH(BB$114,'HCW &amp; Staff'!$D$15:$BD$15,0)),"")</f>
        <v/>
      </c>
      <c r="BC145" s="638" t="str">
        <f>IF(ISNUMBER(BC$114),INDEX('HCW &amp; Staff'!$D$38:$BD$38,1,MATCH(BC$114,'HCW &amp; Staff'!$D$15:$BD$15,0)),"")</f>
        <v/>
      </c>
      <c r="BD145" s="977" t="str">
        <f>IF(ISNUMBER(BD$114),INDEX('HCW &amp; Staff'!$D$38:$BD$38,1,MATCH(BD$114,'HCW &amp; Staff'!$D$15:$BD$15,0)),"")</f>
        <v/>
      </c>
      <c r="BE145" s="132"/>
    </row>
    <row r="146" spans="1:66" ht="15.5" thickBot="1" x14ac:dyDescent="0.9">
      <c r="B146" s="1497"/>
      <c r="C146" s="1117" t="s">
        <v>1783</v>
      </c>
      <c r="D146" s="1117"/>
      <c r="E146" s="1118"/>
      <c r="F146" s="641">
        <f>IF(ISNUMBER(F$114),INDEX('HCW &amp; Staff'!$D$37:$BD$37,1,MATCH(F$114,'HCW &amp; Staff'!$D$15:$BD$15,0)),"")</f>
        <v>0.11921549569586405</v>
      </c>
      <c r="G146" s="641">
        <f>IF(ISNUMBER(G$114),INDEX('HCW &amp; Staff'!$D$37:$BD$37,1,MATCH(G$114,'HCW &amp; Staff'!$D$15:$BD$15,0)),"")</f>
        <v>0.40968499466703223</v>
      </c>
      <c r="H146" s="641">
        <f>IF(ISNUMBER(H$114),INDEX('HCW &amp; Staff'!$D$37:$BD$37,1,MATCH(H$114,'HCW &amp; Staff'!$D$15:$BD$15,0)),"")</f>
        <v>1.4078718922259288</v>
      </c>
      <c r="I146" s="641">
        <f>IF(ISNUMBER(I$114),INDEX('HCW &amp; Staff'!$D$37:$BD$37,1,MATCH(I$114,'HCW &amp; Staff'!$D$15:$BD$15,0)),"")</f>
        <v>4.8379519810962375</v>
      </c>
      <c r="J146" s="641">
        <f>IF(ISNUMBER(J$114),INDEX('HCW &amp; Staff'!$D$37:$BD$37,1,MATCH(J$114,'HCW &amp; Staff'!$D$15:$BD$15,0)),"")</f>
        <v>16.623006425816083</v>
      </c>
      <c r="K146" s="641">
        <f>IF(ISNUMBER(K$114),INDEX('HCW &amp; Staff'!$D$37:$BD$37,1,MATCH(K$114,'HCW &amp; Staff'!$D$15:$BD$15,0)),"")</f>
        <v>57.093208693302394</v>
      </c>
      <c r="L146" s="641">
        <f>IF(ISNUMBER(L$114),INDEX('HCW &amp; Staff'!$D$37:$BD$37,1,MATCH(L$114,'HCW &amp; Staff'!$D$15:$BD$15,0)),"")</f>
        <v>195.8235255006249</v>
      </c>
      <c r="M146" s="641">
        <f>IF(ISNUMBER(M$114),INDEX('HCW &amp; Staff'!$D$37:$BD$37,1,MATCH(M$114,'HCW &amp; Staff'!$D$15:$BD$15,0)),"")</f>
        <v>668.51121471335011</v>
      </c>
      <c r="N146" s="641">
        <f>IF(ISNUMBER(N$114),INDEX('HCW &amp; Staff'!$D$37:$BD$37,1,MATCH(N$114,'HCW &amp; Staff'!$D$15:$BD$15,0)),"")</f>
        <v>2246.0910633557942</v>
      </c>
      <c r="O146" s="641">
        <f>IF(ISNUMBER(O$114),INDEX('HCW &amp; Staff'!$D$37:$BD$37,1,MATCH(O$114,'HCW &amp; Staff'!$D$15:$BD$15,0)),"")</f>
        <v>7157.8099683807632</v>
      </c>
      <c r="P146" s="641">
        <f>IF(ISNUMBER(P$114),INDEX('HCW &amp; Staff'!$D$37:$BD$37,1,MATCH(P$114,'HCW &amp; Staff'!$D$15:$BD$15,0)),"")</f>
        <v>19398.578057767416</v>
      </c>
      <c r="Q146" s="641">
        <f>IF(ISNUMBER(Q$114),INDEX('HCW &amp; Staff'!$D$37:$BD$37,1,MATCH(Q$114,'HCW &amp; Staff'!$D$15:$BD$15,0)),"")</f>
        <v>35205.262769265843</v>
      </c>
      <c r="R146" s="641" t="str">
        <f>IF(ISNUMBER(R$114),INDEX('HCW &amp; Staff'!$D$37:$BD$37,1,MATCH(R$114,'HCW &amp; Staff'!$D$15:$BD$15,0)),"")</f>
        <v/>
      </c>
      <c r="S146" s="641" t="str">
        <f>IF(ISNUMBER(S$114),INDEX('HCW &amp; Staff'!$D$37:$BD$37,1,MATCH(S$114,'HCW &amp; Staff'!$D$15:$BD$15,0)),"")</f>
        <v/>
      </c>
      <c r="T146" s="641" t="str">
        <f>IF(ISNUMBER(T$114),INDEX('HCW &amp; Staff'!$D$37:$BD$37,1,MATCH(T$114,'HCW &amp; Staff'!$D$15:$BD$15,0)),"")</f>
        <v/>
      </c>
      <c r="U146" s="641" t="str">
        <f>IF(ISNUMBER(U$114),INDEX('HCW &amp; Staff'!$D$37:$BD$37,1,MATCH(U$114,'HCW &amp; Staff'!$D$15:$BD$15,0)),"")</f>
        <v/>
      </c>
      <c r="V146" s="641" t="str">
        <f>IF(ISNUMBER(V$114),INDEX('HCW &amp; Staff'!$D$37:$BD$37,1,MATCH(V$114,'HCW &amp; Staff'!$D$15:$BD$15,0)),"")</f>
        <v/>
      </c>
      <c r="W146" s="641" t="str">
        <f>IF(ISNUMBER(W$114),INDEX('HCW &amp; Staff'!$D$37:$BD$37,1,MATCH(W$114,'HCW &amp; Staff'!$D$15:$BD$15,0)),"")</f>
        <v/>
      </c>
      <c r="X146" s="956" t="str">
        <f>IF(ISNUMBER(X$114),INDEX('HCW &amp; Staff'!$D$37:$BD$37,1,MATCH(X$114,'HCW &amp; Staff'!$D$15:$BD$15,0)),"")</f>
        <v/>
      </c>
      <c r="Y146" s="641" t="str">
        <f>IF(ISNUMBER(Y$114),INDEX('HCW &amp; Staff'!$D$37:$BD$37,1,MATCH(Y$114,'HCW &amp; Staff'!$D$15:$BD$15,0)),"")</f>
        <v/>
      </c>
      <c r="Z146" s="641" t="str">
        <f>IF(ISNUMBER(Z$114),INDEX('HCW &amp; Staff'!$D$37:$BD$37,1,MATCH(Z$114,'HCW &amp; Staff'!$D$15:$BD$15,0)),"")</f>
        <v/>
      </c>
      <c r="AA146" s="641" t="str">
        <f>IF(ISNUMBER(AA$114),INDEX('HCW &amp; Staff'!$D$37:$BD$37,1,MATCH(AA$114,'HCW &amp; Staff'!$D$15:$BD$15,0)),"")</f>
        <v/>
      </c>
      <c r="AB146" s="641" t="str">
        <f>IF(ISNUMBER(AB$114),INDEX('HCW &amp; Staff'!$D$37:$BD$37,1,MATCH(AB$114,'HCW &amp; Staff'!$D$15:$BD$15,0)),"")</f>
        <v/>
      </c>
      <c r="AC146" s="641" t="str">
        <f>IF(ISNUMBER(AC$114),INDEX('HCW &amp; Staff'!$D$37:$BD$37,1,MATCH(AC$114,'HCW &amp; Staff'!$D$15:$BD$15,0)),"")</f>
        <v/>
      </c>
      <c r="AD146" s="641" t="str">
        <f>IF(ISNUMBER(AD$114),INDEX('HCW &amp; Staff'!$D$37:$BD$37,1,MATCH(AD$114,'HCW &amp; Staff'!$D$15:$BD$15,0)),"")</f>
        <v/>
      </c>
      <c r="AE146" s="641" t="str">
        <f>IF(ISNUMBER(AE$114),INDEX('HCW &amp; Staff'!$D$37:$BD$37,1,MATCH(AE$114,'HCW &amp; Staff'!$D$15:$BD$15,0)),"")</f>
        <v/>
      </c>
      <c r="AF146" s="641" t="str">
        <f>IF(ISNUMBER(AF$114),INDEX('HCW &amp; Staff'!$D$37:$BD$37,1,MATCH(AF$114,'HCW &amp; Staff'!$D$15:$BD$15,0)),"")</f>
        <v/>
      </c>
      <c r="AG146" s="641" t="str">
        <f>IF(ISNUMBER(AG$114),INDEX('HCW &amp; Staff'!$D$37:$BD$37,1,MATCH(AG$114,'HCW &amp; Staff'!$D$15:$BD$15,0)),"")</f>
        <v/>
      </c>
      <c r="AH146" s="641" t="str">
        <f>IF(ISNUMBER(AH$114),INDEX('HCW &amp; Staff'!$D$37:$BD$37,1,MATCH(AH$114,'HCW &amp; Staff'!$D$15:$BD$15,0)),"")</f>
        <v/>
      </c>
      <c r="AI146" s="641" t="str">
        <f>IF(ISNUMBER(AI$114),INDEX('HCW &amp; Staff'!$D$37:$BD$37,1,MATCH(AI$114,'HCW &amp; Staff'!$D$15:$BD$15,0)),"")</f>
        <v/>
      </c>
      <c r="AJ146" s="641" t="str">
        <f>IF(ISNUMBER(AJ$114),INDEX('HCW &amp; Staff'!$D$37:$BD$37,1,MATCH(AJ$114,'HCW &amp; Staff'!$D$15:$BD$15,0)),"")</f>
        <v/>
      </c>
      <c r="AK146" s="641" t="str">
        <f>IF(ISNUMBER(AK$114),INDEX('HCW &amp; Staff'!$D$37:$BD$37,1,MATCH(AK$114,'HCW &amp; Staff'!$D$15:$BD$15,0)),"")</f>
        <v/>
      </c>
      <c r="AL146" s="641" t="str">
        <f>IF(ISNUMBER(AL$114),INDEX('HCW &amp; Staff'!$D$37:$BD$37,1,MATCH(AL$114,'HCW &amp; Staff'!$D$15:$BD$15,0)),"")</f>
        <v/>
      </c>
      <c r="AM146" s="641" t="str">
        <f>IF(ISNUMBER(AM$114),INDEX('HCW &amp; Staff'!$D$37:$BD$37,1,MATCH(AM$114,'HCW &amp; Staff'!$D$15:$BD$15,0)),"")</f>
        <v/>
      </c>
      <c r="AN146" s="641" t="str">
        <f>IF(ISNUMBER(AN$114),INDEX('HCW &amp; Staff'!$D$37:$BD$37,1,MATCH(AN$114,'HCW &amp; Staff'!$D$15:$BD$15,0)),"")</f>
        <v/>
      </c>
      <c r="AO146" s="641" t="str">
        <f>IF(ISNUMBER(AO$114),INDEX('HCW &amp; Staff'!$D$37:$BD$37,1,MATCH(AO$114,'HCW &amp; Staff'!$D$15:$BD$15,0)),"")</f>
        <v/>
      </c>
      <c r="AP146" s="641" t="str">
        <f>IF(ISNUMBER(AP$114),INDEX('HCW &amp; Staff'!$D$37:$BD$37,1,MATCH(AP$114,'HCW &amp; Staff'!$D$15:$BD$15,0)),"")</f>
        <v/>
      </c>
      <c r="AQ146" s="641" t="str">
        <f>IF(ISNUMBER(AQ$114),INDEX('HCW &amp; Staff'!$D$37:$BD$37,1,MATCH(AQ$114,'HCW &amp; Staff'!$D$15:$BD$15,0)),"")</f>
        <v/>
      </c>
      <c r="AR146" s="641" t="str">
        <f>IF(ISNUMBER(AR$114),INDEX('HCW &amp; Staff'!$D$37:$BD$37,1,MATCH(AR$114,'HCW &amp; Staff'!$D$15:$BD$15,0)),"")</f>
        <v/>
      </c>
      <c r="AS146" s="641" t="str">
        <f>IF(ISNUMBER(AS$114),INDEX('HCW &amp; Staff'!$D$37:$BD$37,1,MATCH(AS$114,'HCW &amp; Staff'!$D$15:$BD$15,0)),"")</f>
        <v/>
      </c>
      <c r="AT146" s="641" t="str">
        <f>IF(ISNUMBER(AT$114),INDEX('HCW &amp; Staff'!$D$37:$BD$37,1,MATCH(AT$114,'HCW &amp; Staff'!$D$15:$BD$15,0)),"")</f>
        <v/>
      </c>
      <c r="AU146" s="641" t="str">
        <f>IF(ISNUMBER(AU$114),INDEX('HCW &amp; Staff'!$D$37:$BD$37,1,MATCH(AU$114,'HCW &amp; Staff'!$D$15:$BD$15,0)),"")</f>
        <v/>
      </c>
      <c r="AV146" s="641" t="str">
        <f>IF(ISNUMBER(AV$114),INDEX('HCW &amp; Staff'!$D$37:$BD$37,1,MATCH(AV$114,'HCW &amp; Staff'!$D$15:$BD$15,0)),"")</f>
        <v/>
      </c>
      <c r="AW146" s="641" t="str">
        <f>IF(ISNUMBER(AW$114),INDEX('HCW &amp; Staff'!$D$37:$BD$37,1,MATCH(AW$114,'HCW &amp; Staff'!$D$15:$BD$15,0)),"")</f>
        <v/>
      </c>
      <c r="AX146" s="641" t="str">
        <f>IF(ISNUMBER(AX$114),INDEX('HCW &amp; Staff'!$D$37:$BD$37,1,MATCH(AX$114,'HCW &amp; Staff'!$D$15:$BD$15,0)),"")</f>
        <v/>
      </c>
      <c r="AY146" s="641" t="str">
        <f>IF(ISNUMBER(AY$114),INDEX('HCW &amp; Staff'!$D$37:$BD$37,1,MATCH(AY$114,'HCW &amp; Staff'!$D$15:$BD$15,0)),"")</f>
        <v/>
      </c>
      <c r="AZ146" s="641" t="str">
        <f>IF(ISNUMBER(AZ$114),INDEX('HCW &amp; Staff'!$D$37:$BD$37,1,MATCH(AZ$114,'HCW &amp; Staff'!$D$15:$BD$15,0)),"")</f>
        <v/>
      </c>
      <c r="BA146" s="641" t="str">
        <f>IF(ISNUMBER(BA$114),INDEX('HCW &amp; Staff'!$D$37:$BD$37,1,MATCH(BA$114,'HCW &amp; Staff'!$D$15:$BD$15,0)),"")</f>
        <v/>
      </c>
      <c r="BB146" s="641" t="str">
        <f>IF(ISNUMBER(BB$114),INDEX('HCW &amp; Staff'!$D$37:$BD$37,1,MATCH(BB$114,'HCW &amp; Staff'!$D$15:$BD$15,0)),"")</f>
        <v/>
      </c>
      <c r="BC146" s="641" t="str">
        <f>IF(ISNUMBER(BC$114),INDEX('HCW &amp; Staff'!$D$37:$BD$37,1,MATCH(BC$114,'HCW &amp; Staff'!$D$15:$BD$15,0)),"")</f>
        <v/>
      </c>
      <c r="BD146" s="983" t="str">
        <f>IF(ISNUMBER(BD$114),INDEX('HCW &amp; Staff'!$D$37:$BD$37,1,MATCH(BD$114,'HCW &amp; Staff'!$D$15:$BD$15,0)),"")</f>
        <v/>
      </c>
      <c r="BE146"/>
    </row>
    <row r="148" spans="1:66" s="89" customFormat="1" ht="17.25" x14ac:dyDescent="0.85">
      <c r="B148" s="90" t="s">
        <v>627</v>
      </c>
      <c r="C148" s="91"/>
      <c r="D148" s="781" t="s">
        <v>1440</v>
      </c>
      <c r="X148" s="765"/>
    </row>
    <row r="149" spans="1:66" ht="19.25" thickBot="1" x14ac:dyDescent="1.05">
      <c r="D149" s="352"/>
      <c r="G149" s="132"/>
    </row>
    <row r="150" spans="1:66" x14ac:dyDescent="0.75">
      <c r="B150" s="776"/>
      <c r="C150" s="1019" t="s">
        <v>294</v>
      </c>
      <c r="D150" s="1414" t="str">
        <f>'Equipment List &amp; Usage'!D14</f>
        <v>Item</v>
      </c>
      <c r="E150" s="1415"/>
      <c r="F150" s="1073" t="s">
        <v>287</v>
      </c>
      <c r="G150" s="1012" t="s">
        <v>821</v>
      </c>
      <c r="H150" s="1001" t="s">
        <v>839</v>
      </c>
    </row>
    <row r="151" spans="1:66" x14ac:dyDescent="0.75">
      <c r="B151"/>
      <c r="C151" s="1030" t="str">
        <f>'Equipment List &amp; Usage'!C15</f>
        <v>Hygiene</v>
      </c>
      <c r="D151" s="1018" t="str">
        <f>'Equipment List &amp; Usage'!D15</f>
        <v>Chlorine, HTH 70%</v>
      </c>
      <c r="E151" s="1017"/>
      <c r="F151" s="1016" t="str">
        <f>'Equipment List &amp; Usage'!E15</f>
        <v>Kg</v>
      </c>
      <c r="G151" s="1007">
        <f ca="1">'Equipment List &amp; Usage'!BE15</f>
        <v>11422.79237326733</v>
      </c>
      <c r="H151" s="1008">
        <f ca="1">'Equipment List &amp; Usage'!BF15</f>
        <v>39979.773306435658</v>
      </c>
      <c r="I151" s="1125" t="str">
        <f ca="1">IF(H151=0,IF(G151&gt;0,"Reminder: please enter a unit price in the 'Equipment List &amp; Usage' tab. No price currently entered",""),"")</f>
        <v/>
      </c>
    </row>
    <row r="152" spans="1:66" x14ac:dyDescent="0.75">
      <c r="B152"/>
      <c r="C152" s="1030" t="str">
        <f>'Equipment List &amp; Usage'!C16</f>
        <v>Hygiene</v>
      </c>
      <c r="D152" s="1018" t="str">
        <f>'Equipment List &amp; Usage'!D16</f>
        <v>Alcohol-based hand rub</v>
      </c>
      <c r="E152" s="1017"/>
      <c r="F152" s="1016" t="str">
        <f>'Equipment List &amp; Usage'!E16</f>
        <v>Lt</v>
      </c>
      <c r="G152" s="1007">
        <f ca="1">'Equipment List &amp; Usage'!BE16</f>
        <v>117853.09445193733</v>
      </c>
      <c r="H152" s="1008">
        <f ca="1">'Equipment List &amp; Usage'!BF16</f>
        <v>978180.68395107996</v>
      </c>
      <c r="I152" s="1125" t="str">
        <f ca="1">IF(H152=0,IF(G152&gt;0,"Reminder: please enter a unit price in the 'Equipment List &amp; Usage' tab. No price currently entered",""),"")</f>
        <v/>
      </c>
    </row>
    <row r="153" spans="1:66" s="87" customFormat="1" x14ac:dyDescent="0.75">
      <c r="B153"/>
      <c r="C153" s="1030" t="str">
        <f>'Equipment List &amp; Usage'!C17</f>
        <v>Hygiene</v>
      </c>
      <c r="D153" s="1018" t="str">
        <f>'Equipment List &amp; Usage'!D17</f>
        <v>Liquid soap</v>
      </c>
      <c r="E153" s="1017"/>
      <c r="F153" s="1016" t="str">
        <f>'Equipment List &amp; Usage'!E17</f>
        <v>Lt</v>
      </c>
      <c r="G153" s="1007">
        <f ca="1">'Equipment List &amp; Usage'!BE17</f>
        <v>28907.581874983058</v>
      </c>
      <c r="H153" s="1008">
        <f ca="1">'Equipment List &amp; Usage'!BF17</f>
        <v>26016.823687484753</v>
      </c>
      <c r="I153" s="1125" t="str">
        <f ca="1">IF(H153=0,IF(G153&gt;0,"Reminder: please enter a unit price in the 'Equipment List &amp; Usage' tab. No price currently entered",""),"")</f>
        <v/>
      </c>
      <c r="X153" s="118"/>
    </row>
    <row r="154" spans="1:66" s="87" customFormat="1" ht="15.5" thickBot="1" x14ac:dyDescent="0.9">
      <c r="B154"/>
      <c r="C154" s="1031" t="str">
        <f>'Equipment List &amp; Usage'!C18</f>
        <v>Hygiene</v>
      </c>
      <c r="D154" s="1020" t="str">
        <f>'Equipment List &amp; Usage'!D18</f>
        <v>Bio-hazardous bag</v>
      </c>
      <c r="E154" s="1021"/>
      <c r="F154" s="1022" t="str">
        <f>'Equipment List &amp; Usage'!E18</f>
        <v>Each</v>
      </c>
      <c r="G154" s="1023">
        <f ca="1">'Equipment List &amp; Usage'!BE18</f>
        <v>313160.43225372978</v>
      </c>
      <c r="H154" s="1024">
        <f ca="1">'Equipment List &amp; Usage'!BF18</f>
        <v>46974.064838059465</v>
      </c>
      <c r="I154" s="1125" t="str">
        <f ca="1">IF(H154=0,IF(G154&gt;0,"Reminder: please enter a unit price in the 'Equipment List &amp; Usage' tab. No price currently entered",""),"")</f>
        <v/>
      </c>
      <c r="X154" s="118"/>
    </row>
    <row r="155" spans="1:66" ht="15.5" thickBot="1" x14ac:dyDescent="0.9">
      <c r="A155"/>
      <c r="B155"/>
      <c r="C155"/>
      <c r="D155"/>
      <c r="E155"/>
      <c r="F155"/>
      <c r="G155"/>
      <c r="H155"/>
      <c r="I155"/>
      <c r="J155"/>
      <c r="K155"/>
      <c r="L155"/>
      <c r="M155"/>
      <c r="N155"/>
      <c r="O155"/>
      <c r="P155"/>
      <c r="Q155"/>
      <c r="R155"/>
      <c r="S155"/>
      <c r="T155"/>
      <c r="U155"/>
      <c r="V155"/>
      <c r="W155"/>
      <c r="X155" s="9"/>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row>
    <row r="156" spans="1:66" s="87" customFormat="1" x14ac:dyDescent="0.75">
      <c r="B156"/>
      <c r="C156" s="408" t="str">
        <f>'Equipment List &amp; Usage'!C20</f>
        <v>PPE</v>
      </c>
      <c r="D156" s="374" t="str">
        <f>'Equipment List &amp; Usage'!D20</f>
        <v>Gown, protective</v>
      </c>
      <c r="E156" s="375"/>
      <c r="F156" s="376" t="str">
        <f>'Equipment List &amp; Usage'!E20</f>
        <v>Each</v>
      </c>
      <c r="G156" s="377">
        <f ca="1">'Equipment List &amp; Usage'!BE20</f>
        <v>680769.03123388451</v>
      </c>
      <c r="H156" s="378">
        <f ca="1">'Equipment List &amp; Usage'!BF20</f>
        <v>544615.22498710768</v>
      </c>
      <c r="I156" s="1125" t="str">
        <f t="shared" ref="I156:I169" ca="1" si="19">IF(H156=0,IF(G156&gt;0,"Reminder: please enter a unit price in the 'Equipment List &amp; Usage' tab. No price currently entered",""),"")</f>
        <v/>
      </c>
      <c r="X156" s="118"/>
    </row>
    <row r="157" spans="1:66" s="87" customFormat="1" x14ac:dyDescent="0.75">
      <c r="B157"/>
      <c r="C157" s="406" t="str">
        <f>'Equipment List &amp; Usage'!C21</f>
        <v>PPE</v>
      </c>
      <c r="D157" s="353" t="str">
        <f>'Equipment List &amp; Usage'!D21</f>
        <v>Scrubs, tops</v>
      </c>
      <c r="E157" s="351"/>
      <c r="F157" s="335" t="str">
        <f>'Equipment List &amp; Usage'!E21</f>
        <v>Each</v>
      </c>
      <c r="G157" s="243">
        <f ca="1">'Equipment List &amp; Usage'!BE21</f>
        <v>19107.016458857892</v>
      </c>
      <c r="H157" s="244">
        <f ca="1">'Equipment List &amp; Usage'!BF21</f>
        <v>49678.24279303052</v>
      </c>
      <c r="I157" s="1125" t="str">
        <f t="shared" ca="1" si="19"/>
        <v/>
      </c>
      <c r="X157" s="118"/>
    </row>
    <row r="158" spans="1:66" s="87" customFormat="1" ht="14.9" customHeight="1" x14ac:dyDescent="0.75">
      <c r="B158"/>
      <c r="C158" s="406" t="str">
        <f>'Equipment List &amp; Usage'!C22</f>
        <v>PPE</v>
      </c>
      <c r="D158" s="353" t="str">
        <f>'Equipment List &amp; Usage'!D22</f>
        <v>Scrubs, pants</v>
      </c>
      <c r="E158" s="351"/>
      <c r="F158" s="335" t="str">
        <f>'Equipment List &amp; Usage'!E22</f>
        <v>Each</v>
      </c>
      <c r="G158" s="243">
        <f ca="1">'Equipment List &amp; Usage'!BE22</f>
        <v>19107.016458857892</v>
      </c>
      <c r="H158" s="244">
        <f ca="1">'Equipment List &amp; Usage'!BF22</f>
        <v>49678.24279303052</v>
      </c>
      <c r="I158" s="1125" t="str">
        <f t="shared" ca="1" si="19"/>
        <v/>
      </c>
      <c r="X158" s="118"/>
    </row>
    <row r="159" spans="1:66" s="87" customFormat="1" x14ac:dyDescent="0.75">
      <c r="B159"/>
      <c r="C159" s="406" t="str">
        <f>'Equipment List &amp; Usage'!C23</f>
        <v>PPE</v>
      </c>
      <c r="D159" s="353" t="str">
        <f>'Equipment List &amp; Usage'!D23</f>
        <v>Apron, disposable</v>
      </c>
      <c r="E159" s="351"/>
      <c r="F159" s="335" t="str">
        <f>'Equipment List &amp; Usage'!E23</f>
        <v>Each</v>
      </c>
      <c r="G159" s="243">
        <f ca="1">'Equipment List &amp; Usage'!BE23</f>
        <v>288956.15200545709</v>
      </c>
      <c r="H159" s="244">
        <f ca="1">'Equipment List &amp; Usage'!BF23</f>
        <v>57791.230401091423</v>
      </c>
      <c r="I159" s="1125" t="str">
        <f t="shared" ca="1" si="19"/>
        <v/>
      </c>
      <c r="X159" s="118"/>
    </row>
    <row r="160" spans="1:66" s="87" customFormat="1" x14ac:dyDescent="0.75">
      <c r="B160"/>
      <c r="C160" s="406" t="str">
        <f>'Equipment List &amp; Usage'!C24</f>
        <v>PPE</v>
      </c>
      <c r="D160" s="353" t="str">
        <f>'Equipment List &amp; Usage'!D24</f>
        <v>Apron, heavy duty, reusable</v>
      </c>
      <c r="E160" s="351"/>
      <c r="F160" s="335" t="str">
        <f>'Equipment List &amp; Usage'!E24</f>
        <v>Each</v>
      </c>
      <c r="G160" s="243">
        <f ca="1">'Equipment List &amp; Usage'!BE24</f>
        <v>9822.6164588578959</v>
      </c>
      <c r="H160" s="244">
        <f ca="1">'Equipment List &amp; Usage'!BF24</f>
        <v>39290.465835431583</v>
      </c>
      <c r="I160" s="1125" t="str">
        <f t="shared" ca="1" si="19"/>
        <v/>
      </c>
      <c r="X160" s="118"/>
    </row>
    <row r="161" spans="1:66" s="87" customFormat="1" ht="15" customHeight="1" x14ac:dyDescent="0.75">
      <c r="B161"/>
      <c r="C161" s="406" t="str">
        <f>'Equipment List &amp; Usage'!C25</f>
        <v>PPE</v>
      </c>
      <c r="D161" s="353" t="str">
        <f>'Equipment List &amp; Usage'!D25</f>
        <v>Gum boots</v>
      </c>
      <c r="E161" s="351"/>
      <c r="F161" s="335" t="str">
        <f>'Equipment List &amp; Usage'!E25</f>
        <v>Pair</v>
      </c>
      <c r="G161" s="243">
        <f ca="1">'Equipment List &amp; Usage'!BE25</f>
        <v>9822.6164588578959</v>
      </c>
      <c r="H161" s="244">
        <f ca="1">'Equipment List &amp; Usage'!BF25</f>
        <v>45184.035710746321</v>
      </c>
      <c r="I161" s="1125" t="str">
        <f t="shared" ca="1" si="19"/>
        <v/>
      </c>
      <c r="X161" s="118"/>
    </row>
    <row r="162" spans="1:66" s="87" customFormat="1" ht="14.9" customHeight="1" x14ac:dyDescent="0.75">
      <c r="B162"/>
      <c r="C162" s="406" t="str">
        <f>'Equipment List &amp; Usage'!C26</f>
        <v>PPE</v>
      </c>
      <c r="D162" s="353" t="str">
        <f>'Equipment List &amp; Usage'!D26</f>
        <v>Gloves, heavy duty</v>
      </c>
      <c r="E162" s="351"/>
      <c r="F162" s="335" t="str">
        <f>'Equipment List &amp; Usage'!E26</f>
        <v>Pair</v>
      </c>
      <c r="G162" s="243">
        <f ca="1">'Equipment List &amp; Usage'!BE26</f>
        <v>9381.4004588578955</v>
      </c>
      <c r="H162" s="244">
        <f ca="1">'Equipment List &amp; Usage'!BF26</f>
        <v>16886.520825944212</v>
      </c>
      <c r="I162" s="1125" t="str">
        <f t="shared" ca="1" si="19"/>
        <v/>
      </c>
      <c r="X162" s="118"/>
    </row>
    <row r="163" spans="1:66" s="87" customFormat="1" ht="14.9" customHeight="1" x14ac:dyDescent="0.75">
      <c r="B163"/>
      <c r="C163" s="406" t="str">
        <f>'Equipment List &amp; Usage'!C27</f>
        <v>PPE</v>
      </c>
      <c r="D163" s="353" t="str">
        <f>'Equipment List &amp; Usage'!D27</f>
        <v>Gloves, examination</v>
      </c>
      <c r="E163" s="351"/>
      <c r="F163" s="335" t="str">
        <f>'Equipment List &amp; Usage'!E27</f>
        <v>Pair</v>
      </c>
      <c r="G163" s="243">
        <f ca="1">'Equipment List &amp; Usage'!BE27</f>
        <v>14760763.066881008</v>
      </c>
      <c r="H163" s="244">
        <f ca="1">'Equipment List &amp; Usage'!BF27</f>
        <v>885645.7840128605</v>
      </c>
      <c r="I163" s="1125" t="str">
        <f t="shared" ca="1" si="19"/>
        <v/>
      </c>
      <c r="X163" s="118"/>
    </row>
    <row r="164" spans="1:66" s="87" customFormat="1" ht="14.9" customHeight="1" x14ac:dyDescent="0.75">
      <c r="B164"/>
      <c r="C164" s="406" t="str">
        <f>'Equipment List &amp; Usage'!C28</f>
        <v>PPE</v>
      </c>
      <c r="D164" s="353" t="str">
        <f>'Equipment List &amp; Usage'!D28</f>
        <v>Gloves, surgical</v>
      </c>
      <c r="E164" s="351"/>
      <c r="F164" s="335" t="str">
        <f>'Equipment List &amp; Usage'!E28</f>
        <v>Pair</v>
      </c>
      <c r="G164" s="243">
        <f ca="1">'Equipment List &amp; Usage'!BE28</f>
        <v>288956.15200545709</v>
      </c>
      <c r="H164" s="244">
        <f ca="1">'Equipment List &amp; Usage'!BF28</f>
        <v>115582.46080218285</v>
      </c>
      <c r="I164" s="1125" t="str">
        <f t="shared" ca="1" si="19"/>
        <v/>
      </c>
      <c r="X164" s="118"/>
    </row>
    <row r="165" spans="1:66" s="87" customFormat="1" ht="14.9" customHeight="1" x14ac:dyDescent="0.75">
      <c r="B165"/>
      <c r="C165" s="406" t="str">
        <f>'Equipment List &amp; Usage'!C29</f>
        <v>PPE</v>
      </c>
      <c r="D165" s="353" t="str">
        <f>'Equipment List &amp; Usage'!D29</f>
        <v>Goggles, protective</v>
      </c>
      <c r="E165" s="351"/>
      <c r="F165" s="335" t="str">
        <f>'Equipment List &amp; Usage'!E29</f>
        <v>Each</v>
      </c>
      <c r="G165" s="243">
        <f ca="1">'Equipment List &amp; Usage'!BE29</f>
        <v>20301.448458857893</v>
      </c>
      <c r="H165" s="244">
        <f ca="1">'Equipment List &amp; Usage'!BF29</f>
        <v>56844.055684802093</v>
      </c>
      <c r="I165" s="1125" t="str">
        <f t="shared" ca="1" si="19"/>
        <v/>
      </c>
      <c r="X165" s="118"/>
    </row>
    <row r="166" spans="1:66" s="87" customFormat="1" x14ac:dyDescent="0.75">
      <c r="B166"/>
      <c r="C166" s="406" t="str">
        <f>'Equipment List &amp; Usage'!C30</f>
        <v>PPE</v>
      </c>
      <c r="D166" s="353" t="str">
        <f>'Equipment List &amp; Usage'!D30</f>
        <v>Face shield</v>
      </c>
      <c r="E166" s="351"/>
      <c r="F166" s="335" t="str">
        <f>'Equipment List &amp; Usage'!E30</f>
        <v>Each</v>
      </c>
      <c r="G166" s="243">
        <f ca="1">'Equipment List &amp; Usage'!BE30</f>
        <v>591787.1862173822</v>
      </c>
      <c r="H166" s="244">
        <f ca="1">'Equipment List &amp; Usage'!BF30</f>
        <v>355072.3117304293</v>
      </c>
      <c r="I166" s="1125" t="str">
        <f t="shared" ca="1" si="19"/>
        <v/>
      </c>
      <c r="X166" s="118"/>
    </row>
    <row r="167" spans="1:66" s="87" customFormat="1" x14ac:dyDescent="0.75">
      <c r="B167"/>
      <c r="C167" s="406" t="str">
        <f>'Equipment List &amp; Usage'!C31</f>
        <v>PPE</v>
      </c>
      <c r="D167" s="353" t="str">
        <f>'Equipment List &amp; Usage'!D31</f>
        <v>Respirator</v>
      </c>
      <c r="E167" s="351"/>
      <c r="F167" s="335" t="str">
        <f>'Equipment List &amp; Usage'!E31</f>
        <v>Each</v>
      </c>
      <c r="G167" s="243">
        <f ca="1">'Equipment List &amp; Usage'!BE31</f>
        <v>288956.15200545709</v>
      </c>
      <c r="H167" s="244">
        <f ca="1">'Equipment List &amp; Usage'!BF31</f>
        <v>433434.22800818563</v>
      </c>
      <c r="I167" s="1125" t="str">
        <f t="shared" ca="1" si="19"/>
        <v/>
      </c>
      <c r="X167" s="118"/>
    </row>
    <row r="168" spans="1:66" s="87" customFormat="1" x14ac:dyDescent="0.75">
      <c r="B168"/>
      <c r="C168" s="406" t="str">
        <f>'Equipment List &amp; Usage'!C32</f>
        <v>PPE</v>
      </c>
      <c r="D168" s="353" t="str">
        <f>'Equipment List &amp; Usage'!D32</f>
        <v>Mask, medical / surgical for healthworker</v>
      </c>
      <c r="E168" s="351"/>
      <c r="F168" s="335" t="str">
        <f>'Equipment List &amp; Usage'!E32</f>
        <v>Each</v>
      </c>
      <c r="G168" s="243">
        <f ca="1">'Equipment List &amp; Usage'!BE32</f>
        <v>6092888.9286203161</v>
      </c>
      <c r="H168" s="244">
        <f ca="1">'Equipment List &amp; Usage'!BF32</f>
        <v>4265022.2500342214</v>
      </c>
      <c r="I168" s="1125" t="str">
        <f t="shared" ca="1" si="19"/>
        <v/>
      </c>
      <c r="X168" s="118"/>
    </row>
    <row r="169" spans="1:66" s="87" customFormat="1" ht="16.399999999999999" customHeight="1" thickBot="1" x14ac:dyDescent="0.9">
      <c r="B169"/>
      <c r="C169" s="407" t="str">
        <f>'Equipment List &amp; Usage'!C33</f>
        <v>PPE</v>
      </c>
      <c r="D169" s="369" t="str">
        <f>'Equipment List &amp; Usage'!D33</f>
        <v>Mask, medical / surgical for patient</v>
      </c>
      <c r="E169" s="370"/>
      <c r="F169" s="371" t="str">
        <f>'Equipment List &amp; Usage'!E33</f>
        <v>Each</v>
      </c>
      <c r="G169" s="372">
        <f ca="1">'Equipment List &amp; Usage'!BE33</f>
        <v>4762167.5009425487</v>
      </c>
      <c r="H169" s="373">
        <f ca="1">'Equipment List &amp; Usage'!BF33</f>
        <v>3333517.2506597838</v>
      </c>
      <c r="I169" s="1125" t="str">
        <f t="shared" ca="1" si="19"/>
        <v/>
      </c>
      <c r="X169" s="118"/>
    </row>
    <row r="170" spans="1:66" ht="15.5" thickBot="1" x14ac:dyDescent="0.9">
      <c r="A170"/>
      <c r="B170"/>
      <c r="C170"/>
      <c r="D170"/>
      <c r="E170"/>
      <c r="F170"/>
      <c r="G170"/>
      <c r="H170"/>
      <c r="I170"/>
      <c r="J170"/>
      <c r="K170"/>
      <c r="L170"/>
      <c r="M170"/>
      <c r="N170"/>
      <c r="O170"/>
      <c r="P170"/>
      <c r="Q170"/>
      <c r="R170"/>
      <c r="S170"/>
      <c r="T170"/>
      <c r="U170"/>
      <c r="V170"/>
      <c r="W170"/>
      <c r="X170" s="9"/>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row>
    <row r="171" spans="1:66" s="87" customFormat="1" x14ac:dyDescent="0.75">
      <c r="B171"/>
      <c r="C171" s="408" t="str">
        <f>'Equipment List &amp; Usage'!C35</f>
        <v>Diagnostics</v>
      </c>
      <c r="D171" s="374" t="str">
        <f>'Equipment List &amp; Usage'!D35</f>
        <v>Triple packaging boxes</v>
      </c>
      <c r="E171" s="375"/>
      <c r="F171" s="376" t="str">
        <f>'Equipment List &amp; Usage'!E35</f>
        <v>Unit</v>
      </c>
      <c r="G171" s="377">
        <f ca="1">'Equipment List &amp; Usage'!BE35</f>
        <v>2208</v>
      </c>
      <c r="H171" s="378">
        <f ca="1">'Equipment List &amp; Usage'!BF35</f>
        <v>66240</v>
      </c>
      <c r="I171" s="1125" t="str">
        <f t="shared" ref="I171:I184" ca="1" si="20">IF(H171=0,IF(G171&gt;0,"Reminder: please enter a unit price in the 'Equipment List &amp; Usage' tab. No price currently entered",""),"")</f>
        <v/>
      </c>
      <c r="X171" s="118"/>
    </row>
    <row r="172" spans="1:66" s="87" customFormat="1" x14ac:dyDescent="0.75">
      <c r="B172"/>
      <c r="C172" s="406" t="str">
        <f>'Equipment List &amp; Usage'!C36</f>
        <v>Diagnostics</v>
      </c>
      <c r="D172" s="353" t="str">
        <f>'Equipment List &amp; Usage'!D36</f>
        <v>Swab and Viral transport medium</v>
      </c>
      <c r="E172" s="351"/>
      <c r="F172" s="335" t="str">
        <f>'Equipment List &amp; Usage'!E36</f>
        <v>Unit</v>
      </c>
      <c r="G172" s="243">
        <f ca="1">'Equipment List &amp; Usage'!BE36</f>
        <v>322517.5206073692</v>
      </c>
      <c r="H172" s="244">
        <f ca="1">'Equipment List &amp; Usage'!BF36</f>
        <v>225762.26442515841</v>
      </c>
      <c r="I172" s="1125" t="str">
        <f t="shared" ca="1" si="20"/>
        <v/>
      </c>
      <c r="X172" s="118"/>
    </row>
    <row r="173" spans="1:66" s="87" customFormat="1" ht="14.9" customHeight="1" x14ac:dyDescent="0.75">
      <c r="B173"/>
      <c r="C173" s="406" t="str">
        <f>'Equipment List &amp; Usage'!C37</f>
        <v>Diagnostics</v>
      </c>
      <c r="D173" s="353" t="str">
        <f>'Equipment List &amp; Usage'!D37</f>
        <v>Safety box</v>
      </c>
      <c r="E173" s="351"/>
      <c r="F173" s="335" t="str">
        <f>'Equipment List &amp; Usage'!E37</f>
        <v>Each</v>
      </c>
      <c r="G173" s="243">
        <f ca="1">'Equipment List &amp; Usage'!BE37</f>
        <v>16128</v>
      </c>
      <c r="H173" s="244">
        <f ca="1">'Equipment List &amp; Usage'!BF37</f>
        <v>12902.400000000001</v>
      </c>
      <c r="I173" s="1125" t="str">
        <f t="shared" ca="1" si="20"/>
        <v/>
      </c>
      <c r="X173" s="118"/>
    </row>
    <row r="174" spans="1:66" s="87" customFormat="1" x14ac:dyDescent="0.75">
      <c r="B174"/>
      <c r="C174" s="406" t="str">
        <f>'Equipment List &amp; Usage'!C38</f>
        <v>Diagnostics</v>
      </c>
      <c r="D174" s="353" t="str">
        <f>'Equipment List &amp; Usage'!D38</f>
        <v>Extraction kit</v>
      </c>
      <c r="E174" s="351"/>
      <c r="F174" s="335" t="str">
        <f>'Equipment List &amp; Usage'!E38</f>
        <v>Unit</v>
      </c>
      <c r="G174" s="243">
        <f ca="1">'Equipment List &amp; Usage'!BE38</f>
        <v>56</v>
      </c>
      <c r="H174" s="244">
        <f ca="1">'Equipment List &amp; Usage'!BF38</f>
        <v>53760</v>
      </c>
      <c r="I174" s="1125" t="str">
        <f t="shared" ca="1" si="20"/>
        <v/>
      </c>
      <c r="X174" s="118"/>
    </row>
    <row r="175" spans="1:66" s="87" customFormat="1" x14ac:dyDescent="0.75">
      <c r="B175"/>
      <c r="C175" s="406" t="str">
        <f>'Equipment List &amp; Usage'!C39</f>
        <v>Diagnostics</v>
      </c>
      <c r="D175" s="353" t="str">
        <f>'Equipment List &amp; Usage'!D39</f>
        <v>RT-PCR reaction kit (manual)</v>
      </c>
      <c r="E175" s="351"/>
      <c r="F175" s="335" t="str">
        <f>'Equipment List &amp; Usage'!E39</f>
        <v>100T/kit</v>
      </c>
      <c r="G175" s="243">
        <f ca="1">'Equipment List &amp; Usage'!BE39</f>
        <v>140</v>
      </c>
      <c r="H175" s="244">
        <f ca="1">'Equipment List &amp; Usage'!BF39</f>
        <v>36400</v>
      </c>
      <c r="I175" s="1125" t="str">
        <f t="shared" ca="1" si="20"/>
        <v/>
      </c>
      <c r="X175" s="118"/>
    </row>
    <row r="176" spans="1:66" s="87" customFormat="1" x14ac:dyDescent="0.75">
      <c r="B176" s="132"/>
      <c r="C176" s="406" t="str">
        <f>'Equipment List &amp; Usage'!C40</f>
        <v>Diagnostics</v>
      </c>
      <c r="D176" s="353" t="str">
        <f>'Equipment List &amp; Usage'!D40</f>
        <v>Test kits - high-throughput PCR</v>
      </c>
      <c r="E176" s="351"/>
      <c r="F176" s="335" t="str">
        <f>'Equipment List &amp; Usage'!E40</f>
        <v>1T/kit</v>
      </c>
      <c r="G176" s="243">
        <f ca="1">'Equipment List &amp; Usage'!BE40</f>
        <v>276606.20698209683</v>
      </c>
      <c r="H176" s="244">
        <f ca="1">'Equipment List &amp; Usage'!BF40</f>
        <v>4149093.1047314527</v>
      </c>
      <c r="I176" s="1125" t="str">
        <f t="shared" ca="1" si="20"/>
        <v/>
      </c>
      <c r="X176" s="118"/>
    </row>
    <row r="177" spans="1:66" s="87" customFormat="1" x14ac:dyDescent="0.75">
      <c r="B177" s="132"/>
      <c r="C177" s="406" t="str">
        <f>'Equipment List &amp; Usage'!C41</f>
        <v>Diagnostics</v>
      </c>
      <c r="D177" s="353" t="str">
        <f>'Equipment List &amp; Usage'!D41</f>
        <v>For near patient PCR machine - RT-PCR cartridge</v>
      </c>
      <c r="E177" s="351"/>
      <c r="F177" s="684" t="str">
        <f>'Equipment List &amp; Usage'!E41</f>
        <v>1T/kit</v>
      </c>
      <c r="G177" s="243">
        <f ca="1">'Equipment List &amp; Usage'!BE41</f>
        <v>33383.234866958512</v>
      </c>
      <c r="H177" s="244">
        <f ca="1">'Equipment List &amp; Usage'!BF41</f>
        <v>667664.69733917026</v>
      </c>
      <c r="I177" s="1125" t="str">
        <f t="shared" ca="1" si="20"/>
        <v/>
      </c>
      <c r="X177" s="118"/>
    </row>
    <row r="178" spans="1:66" s="87" customFormat="1" x14ac:dyDescent="0.75">
      <c r="B178" s="132"/>
      <c r="C178" s="1030" t="str">
        <f>'Equipment List &amp; Usage'!C42</f>
        <v>Diagnostics</v>
      </c>
      <c r="D178" s="1018" t="str">
        <f>'Equipment List &amp; Usage'!D42</f>
        <v>N/A - no additional platform entered</v>
      </c>
      <c r="E178" s="1017"/>
      <c r="F178" s="1016" t="str">
        <f>'Equipment List &amp; Usage'!E42</f>
        <v>Each</v>
      </c>
      <c r="G178" s="1007">
        <f ca="1">'Equipment List &amp; Usage'!BE42</f>
        <v>0</v>
      </c>
      <c r="H178" s="1008">
        <f ca="1">'Equipment List &amp; Usage'!BF42</f>
        <v>0</v>
      </c>
      <c r="I178" s="1125" t="str">
        <f t="shared" ca="1" si="20"/>
        <v/>
      </c>
      <c r="X178" s="118"/>
    </row>
    <row r="179" spans="1:66" s="997" customFormat="1" x14ac:dyDescent="0.75">
      <c r="B179" s="995"/>
      <c r="C179" s="1030" t="str">
        <f>'Equipment List &amp; Usage'!C43</f>
        <v>Diagnostics</v>
      </c>
      <c r="D179" s="1018" t="str">
        <f>'Equipment List &amp; Usage'!D43</f>
        <v>Thermocyclers for RT-PCR</v>
      </c>
      <c r="E179" s="1017"/>
      <c r="F179" s="1016" t="str">
        <f>'Equipment List &amp; Usage'!E43</f>
        <v>Each</v>
      </c>
      <c r="G179" s="1007">
        <f>'Equipment List &amp; Usage'!BE43</f>
        <v>0</v>
      </c>
      <c r="H179" s="1008">
        <f>'Equipment List &amp; Usage'!BF43</f>
        <v>0</v>
      </c>
      <c r="I179" s="1125" t="str">
        <f t="shared" si="20"/>
        <v/>
      </c>
      <c r="X179" s="998"/>
    </row>
    <row r="180" spans="1:66" s="997" customFormat="1" x14ac:dyDescent="0.75">
      <c r="B180" s="995"/>
      <c r="C180" s="1030" t="str">
        <f>'Equipment List &amp; Usage'!C44</f>
        <v>Diagnostics</v>
      </c>
      <c r="D180" s="1018" t="str">
        <f>'Equipment List &amp; Usage'!D44</f>
        <v>Near patient PCR machine, 2 modules instrument</v>
      </c>
      <c r="E180" s="1017"/>
      <c r="F180" s="1016" t="str">
        <f>'Equipment List &amp; Usage'!E44</f>
        <v>Each</v>
      </c>
      <c r="G180" s="1007">
        <f>'Equipment List &amp; Usage'!BE44</f>
        <v>0</v>
      </c>
      <c r="H180" s="1008">
        <f>'Equipment List &amp; Usage'!BF44</f>
        <v>0</v>
      </c>
      <c r="I180" s="1125" t="str">
        <f t="shared" si="20"/>
        <v/>
      </c>
      <c r="X180" s="998"/>
    </row>
    <row r="181" spans="1:66" s="997" customFormat="1" ht="15.5" thickBot="1" x14ac:dyDescent="0.9">
      <c r="B181" s="995"/>
      <c r="C181" s="1031" t="str">
        <f>'Equipment List &amp; Usage'!C45</f>
        <v>Diagnostics</v>
      </c>
      <c r="D181" s="1020" t="str">
        <f>'Equipment List &amp; Usage'!D45</f>
        <v>Near patient PCR machine, 4 modules instrument</v>
      </c>
      <c r="E181" s="1021"/>
      <c r="F181" s="1022" t="str">
        <f>'Equipment List &amp; Usage'!E45</f>
        <v>Each</v>
      </c>
      <c r="G181" s="1023">
        <f>'Equipment List &amp; Usage'!BE45</f>
        <v>0</v>
      </c>
      <c r="H181" s="1024">
        <f>'Equipment List &amp; Usage'!BF45</f>
        <v>0</v>
      </c>
      <c r="I181" s="1125" t="str">
        <f t="shared" si="20"/>
        <v/>
      </c>
      <c r="X181" s="998"/>
    </row>
    <row r="182" spans="1:66" ht="15.5" thickBot="1" x14ac:dyDescent="0.9">
      <c r="A182"/>
      <c r="B182"/>
      <c r="C182"/>
      <c r="D182"/>
      <c r="E182"/>
      <c r="F182"/>
      <c r="G182"/>
      <c r="H182"/>
      <c r="I182"/>
      <c r="J182"/>
      <c r="K182"/>
      <c r="L182"/>
      <c r="M182"/>
      <c r="N182"/>
      <c r="O182"/>
      <c r="P182"/>
      <c r="Q182"/>
      <c r="R182"/>
      <c r="S182"/>
      <c r="T182"/>
      <c r="U182"/>
      <c r="V182"/>
      <c r="W182"/>
      <c r="X182" s="9"/>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row>
    <row r="183" spans="1:66" s="132" customFormat="1" x14ac:dyDescent="0.75">
      <c r="C183" s="408" t="str">
        <f>'Equipment List &amp; Usage'!C47</f>
        <v>Drugs and consumables</v>
      </c>
      <c r="D183" s="374" t="str">
        <f>'Equipment List &amp; Usage'!D47</f>
        <v>Drugs modules 40 patients (severe + critical)</v>
      </c>
      <c r="E183" s="375"/>
      <c r="F183" s="399" t="str">
        <f>'Equipment List &amp; Usage'!E47</f>
        <v>Each</v>
      </c>
      <c r="G183" s="400">
        <f ca="1">'Equipment List &amp; Usage'!BE47</f>
        <v>1956.2237865200163</v>
      </c>
      <c r="H183" s="378">
        <f ca="1">'Equipment List &amp; Usage'!BF47</f>
        <v>15649790.292160131</v>
      </c>
      <c r="I183" s="1125" t="str">
        <f t="shared" ca="1" si="20"/>
        <v/>
      </c>
      <c r="X183" s="9"/>
    </row>
    <row r="184" spans="1:66" s="87" customFormat="1" ht="30" customHeight="1" thickBot="1" x14ac:dyDescent="0.9">
      <c r="B184"/>
      <c r="C184" s="407" t="str">
        <f>'Equipment List &amp; Usage'!C48</f>
        <v>Drugs and consumables</v>
      </c>
      <c r="D184" s="1411" t="str">
        <f>'Equipment List &amp; Usage'!D48</f>
        <v>Medical supply, consumables, 40 patients (severe + critical)</v>
      </c>
      <c r="E184" s="1412"/>
      <c r="F184" s="401" t="str">
        <f>'Equipment List &amp; Usage'!E48</f>
        <v>Each</v>
      </c>
      <c r="G184" s="402">
        <f ca="1">'Equipment List &amp; Usage'!BE48</f>
        <v>1956.2237865200163</v>
      </c>
      <c r="H184" s="373">
        <f ca="1">'Equipment List &amp; Usage'!BF48</f>
        <v>3521202.8157360293</v>
      </c>
      <c r="I184" s="1125" t="str">
        <f t="shared" ca="1" si="20"/>
        <v/>
      </c>
      <c r="X184" s="118"/>
    </row>
    <row r="185" spans="1:66" ht="29.25" customHeight="1" x14ac:dyDescent="0.75">
      <c r="A185"/>
      <c r="B185"/>
      <c r="C185" s="1469" t="s">
        <v>1805</v>
      </c>
      <c r="D185" s="1469"/>
      <c r="E185" s="1469"/>
      <c r="F185" s="1469"/>
      <c r="G185" s="1469"/>
      <c r="H185" s="1469"/>
      <c r="I185"/>
      <c r="J185"/>
      <c r="K185"/>
      <c r="L185"/>
      <c r="M185"/>
      <c r="N185"/>
      <c r="O185"/>
      <c r="P185"/>
      <c r="Q185"/>
      <c r="R185"/>
      <c r="S185"/>
      <c r="T185"/>
      <c r="U185"/>
      <c r="V185"/>
      <c r="W185"/>
      <c r="X185" s="9"/>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row>
    <row r="186" spans="1:66" s="995" customFormat="1" ht="20.25" customHeight="1" thickBot="1" x14ac:dyDescent="0.9">
      <c r="C186" s="1470"/>
      <c r="D186" s="1470"/>
      <c r="E186" s="1470"/>
      <c r="F186" s="1470"/>
      <c r="G186" s="1470"/>
      <c r="H186" s="1470"/>
      <c r="X186" s="9"/>
    </row>
    <row r="187" spans="1:66" ht="29.9" customHeight="1" x14ac:dyDescent="0.75">
      <c r="A187"/>
      <c r="B187" s="1156" t="str">
        <f>RIGHT('Equipment List &amp; Usage'!B51,9)</f>
        <v>equipment</v>
      </c>
      <c r="C187" s="1032" t="str">
        <f>'Equipment List &amp; Usage'!C51</f>
        <v>Monitoring</v>
      </c>
      <c r="D187" s="1467" t="str">
        <f>'Equipment List &amp; Usage'!D51</f>
        <v>Infrared thermometer</v>
      </c>
      <c r="E187" s="1468"/>
      <c r="F187" s="1026" t="str">
        <f>'Equipment List &amp; Usage'!E51</f>
        <v>Each</v>
      </c>
      <c r="G187" s="1027">
        <f ca="1">'Equipment List &amp; Usage'!BE51</f>
        <v>1103.04</v>
      </c>
      <c r="H187" s="1049">
        <f ca="1">'Equipment List &amp; Usage'!BF51</f>
        <v>27576</v>
      </c>
      <c r="I187" s="1125" t="str">
        <f t="shared" ref="I187:I221" ca="1" si="21">IF(H187=0,IF(G187&gt;0,"Reminder: please enter a unit price in the 'Equipment List &amp; Usage' tab. No price currently entered",""),"")</f>
        <v/>
      </c>
      <c r="J187"/>
      <c r="K187"/>
      <c r="L187"/>
      <c r="M187"/>
      <c r="N187"/>
      <c r="O187"/>
      <c r="P187"/>
      <c r="Q187"/>
      <c r="R187"/>
      <c r="S187"/>
      <c r="T187"/>
      <c r="U187"/>
      <c r="V187"/>
      <c r="W187"/>
      <c r="X187" s="9"/>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row>
    <row r="188" spans="1:66" s="87" customFormat="1" ht="31.5" customHeight="1" x14ac:dyDescent="0.75">
      <c r="B188" s="1156" t="str">
        <f>RIGHT('Equipment List &amp; Usage'!B52,9)</f>
        <v>equipment</v>
      </c>
      <c r="C188" s="1030" t="str">
        <f>'Equipment List &amp; Usage'!C52</f>
        <v>Monitoring</v>
      </c>
      <c r="D188" s="1405" t="str">
        <f>'Equipment List &amp; Usage'!D52</f>
        <v>Pulse oximeter (adult + paediatric probes)</v>
      </c>
      <c r="E188" s="1406"/>
      <c r="F188" s="1057" t="str">
        <f>'Equipment List &amp; Usage'!E52</f>
        <v>Each</v>
      </c>
      <c r="G188" s="1025">
        <f ca="1">'Equipment List &amp; Usage'!BE52</f>
        <v>22060.799999999999</v>
      </c>
      <c r="H188" s="1050">
        <f>'Equipment List &amp; Usage'!BF52</f>
        <v>0</v>
      </c>
      <c r="I188" s="1125" t="str">
        <f t="shared" ca="1" si="21"/>
        <v>Reminder: please enter a unit price in the 'Equipment List &amp; Usage' tab. No price currently entered</v>
      </c>
      <c r="J188"/>
      <c r="K188"/>
      <c r="L188"/>
      <c r="X188" s="118"/>
    </row>
    <row r="189" spans="1:66" s="87" customFormat="1" ht="35.9" customHeight="1" x14ac:dyDescent="0.75">
      <c r="B189" s="1156" t="str">
        <f>RIGHT('Equipment List &amp; Usage'!B53,9)</f>
        <v>equipment</v>
      </c>
      <c r="C189" s="1030" t="str">
        <f>'Equipment List &amp; Usage'!C53</f>
        <v>Monitoring</v>
      </c>
      <c r="D189" s="1405" t="str">
        <f>'Equipment List &amp; Usage'!D53</f>
        <v>Patient monitor, multiparametric with ECG, with accessories</v>
      </c>
      <c r="E189" s="1406"/>
      <c r="F189" s="1057" t="str">
        <f>'Equipment List &amp; Usage'!E53</f>
        <v>Each</v>
      </c>
      <c r="G189" s="1025">
        <f ca="1">'Equipment List &amp; Usage'!BE53</f>
        <v>875.0784000000001</v>
      </c>
      <c r="H189" s="1050">
        <f ca="1">'Equipment List &amp; Usage'!BF53</f>
        <v>6913994.4384000013</v>
      </c>
      <c r="I189" s="1125" t="str">
        <f t="shared" ca="1" si="21"/>
        <v/>
      </c>
      <c r="J189"/>
      <c r="K189"/>
      <c r="L189"/>
      <c r="X189" s="118"/>
    </row>
    <row r="190" spans="1:66" s="87" customFormat="1" ht="32.9" customHeight="1" x14ac:dyDescent="0.75">
      <c r="B190" s="1156" t="str">
        <f>RIGHT('Equipment List &amp; Usage'!B54,9)</f>
        <v>equipment</v>
      </c>
      <c r="C190" s="1030" t="str">
        <f>'Equipment List &amp; Usage'!C54</f>
        <v>Monitoring</v>
      </c>
      <c r="D190" s="1405" t="str">
        <f>'Equipment List &amp; Usage'!D54</f>
        <v>Patient monitor, multiparametric without ECG, with accessories</v>
      </c>
      <c r="E190" s="1406"/>
      <c r="F190" s="1057" t="str">
        <f>'Equipment List &amp; Usage'!E54</f>
        <v>Each</v>
      </c>
      <c r="G190" s="1025">
        <f ca="1">'Equipment List &amp; Usage'!BE54</f>
        <v>5296.4304000000002</v>
      </c>
      <c r="H190" s="1050">
        <f ca="1">'Equipment List &amp; Usage'!BF54</f>
        <v>6885359.5200000005</v>
      </c>
      <c r="I190" s="1125" t="str">
        <f t="shared" ca="1" si="21"/>
        <v/>
      </c>
      <c r="J190"/>
      <c r="K190"/>
      <c r="L190"/>
      <c r="X190" s="118"/>
    </row>
    <row r="191" spans="1:66" s="87" customFormat="1" ht="29.45" customHeight="1" x14ac:dyDescent="0.75">
      <c r="B191" s="1156" t="str">
        <f>RIGHT('Equipment List &amp; Usage'!B55,9)</f>
        <v>equipment</v>
      </c>
      <c r="C191" s="1030" t="str">
        <f>'Equipment List &amp; Usage'!C55</f>
        <v>Oxygen therapy</v>
      </c>
      <c r="D191" s="1405" t="str">
        <f>'Equipment List &amp; Usage'!D55</f>
        <v>Oxygen source (i.e., concentrator, cylinder, or pipe supply)</v>
      </c>
      <c r="E191" s="1406"/>
      <c r="F191" s="1057" t="str">
        <f>'Equipment List &amp; Usage'!E55</f>
        <v>Each</v>
      </c>
      <c r="G191" s="1025">
        <f ca="1">'Equipment List &amp; Usage'!BE55</f>
        <v>22060.799999999999</v>
      </c>
      <c r="H191" s="1050">
        <f>'Equipment List &amp; Usage'!BF55</f>
        <v>0</v>
      </c>
      <c r="I191" s="1125" t="str">
        <f t="shared" ca="1" si="21"/>
        <v>Reminder: please enter a unit price in the 'Equipment List &amp; Usage' tab. No price currently entered</v>
      </c>
      <c r="J191"/>
      <c r="K191"/>
      <c r="L191"/>
      <c r="X191" s="118"/>
    </row>
    <row r="192" spans="1:66" s="87" customFormat="1" ht="27" customHeight="1" x14ac:dyDescent="0.75">
      <c r="B192" s="1156" t="str">
        <f>RIGHT('Equipment List &amp; Usage'!B56,9)</f>
        <v>equipment</v>
      </c>
      <c r="C192" s="1030" t="str">
        <f>'Equipment List &amp; Usage'!C56</f>
        <v>Airway Management &amp; Intubation</v>
      </c>
      <c r="D192" s="1405" t="str">
        <f>'Equipment List &amp; Usage'!D56</f>
        <v>Laryngoscope (direct or video type)</v>
      </c>
      <c r="E192" s="1406"/>
      <c r="F192" s="1057" t="str">
        <f>'Equipment List &amp; Usage'!E56</f>
        <v>Each</v>
      </c>
      <c r="G192" s="1025">
        <f ca="1">'Equipment List &amp; Usage'!BE56</f>
        <v>583.38560000000007</v>
      </c>
      <c r="H192" s="1050">
        <f ca="1">'Equipment List &amp; Usage'!BF56</f>
        <v>46670.848000000005</v>
      </c>
      <c r="I192" s="1125" t="str">
        <f t="shared" ca="1" si="21"/>
        <v/>
      </c>
      <c r="J192"/>
      <c r="K192"/>
      <c r="L192"/>
      <c r="X192" s="118"/>
    </row>
    <row r="193" spans="2:24" s="87" customFormat="1" ht="32.15" customHeight="1" x14ac:dyDescent="0.75">
      <c r="B193" s="1156" t="str">
        <f>RIGHT('Equipment List &amp; Usage'!B57,9)</f>
        <v>equipment</v>
      </c>
      <c r="C193" s="1030" t="str">
        <f>'Equipment List &amp; Usage'!C57</f>
        <v>Mechanical Ventilation</v>
      </c>
      <c r="D193" s="1405" t="str">
        <f>'Equipment List &amp; Usage'!D57</f>
        <v>Patient ventilator, intensive care, with breathing circuits and patient interface</v>
      </c>
      <c r="E193" s="1406"/>
      <c r="F193" s="1057" t="str">
        <f>'Equipment List &amp; Usage'!E57</f>
        <v>Each</v>
      </c>
      <c r="G193" s="1025">
        <f ca="1">'Equipment List &amp; Usage'!BE57</f>
        <v>583.38560000000007</v>
      </c>
      <c r="H193" s="1050">
        <f ca="1">'Equipment List &amp; Usage'!BF57</f>
        <v>16558816.870400002</v>
      </c>
      <c r="I193" s="1125" t="str">
        <f t="shared" ca="1" si="21"/>
        <v/>
      </c>
      <c r="J193"/>
      <c r="K193"/>
      <c r="L193"/>
      <c r="X193" s="118"/>
    </row>
    <row r="194" spans="2:24" s="87" customFormat="1" ht="30.65" customHeight="1" x14ac:dyDescent="0.75">
      <c r="B194" s="1156" t="str">
        <f>RIGHT('Equipment List &amp; Usage'!B58,9)</f>
        <v>equipment</v>
      </c>
      <c r="C194" s="1030" t="str">
        <f>'Equipment List &amp; Usage'!C58</f>
        <v>Non-Invasive Ventilation</v>
      </c>
      <c r="D194" s="1405" t="str">
        <f>'Equipment List &amp; Usage'!D58</f>
        <v>CPAP, with tubing and patient interfaces, with accessories</v>
      </c>
      <c r="E194" s="1406"/>
      <c r="F194" s="1057" t="str">
        <f>'Equipment List &amp; Usage'!E58</f>
        <v>Each</v>
      </c>
      <c r="G194" s="1025">
        <f ca="1">'Equipment List &amp; Usage'!BE58</f>
        <v>145.84640000000002</v>
      </c>
      <c r="H194" s="1050">
        <f ca="1">'Equipment List &amp; Usage'!BF58</f>
        <v>817614.91840000008</v>
      </c>
      <c r="I194" s="1125" t="str">
        <f t="shared" ca="1" si="21"/>
        <v/>
      </c>
      <c r="J194"/>
      <c r="K194"/>
      <c r="L194"/>
      <c r="X194" s="118"/>
    </row>
    <row r="195" spans="2:24" s="87" customFormat="1" ht="15" customHeight="1" x14ac:dyDescent="0.75">
      <c r="B195" s="1156" t="str">
        <f>RIGHT('Equipment List &amp; Usage'!B59,9)</f>
        <v>equipment</v>
      </c>
      <c r="C195" s="1030" t="str">
        <f>'Equipment List &amp; Usage'!C59</f>
        <v>Non-Invasive Ventilation</v>
      </c>
      <c r="D195" s="1405" t="str">
        <f>'Equipment List &amp; Usage'!D59</f>
        <v>High Flow Nasal Cannula, with tubing and patient interfaces</v>
      </c>
      <c r="E195" s="1406"/>
      <c r="F195" s="1057" t="str">
        <f>'Equipment List &amp; Usage'!E59</f>
        <v>Each</v>
      </c>
      <c r="G195" s="1025">
        <f ca="1">'Equipment List &amp; Usage'!BE59</f>
        <v>145.84640000000002</v>
      </c>
      <c r="H195" s="1050">
        <f ca="1">'Equipment List &amp; Usage'!BF59</f>
        <v>291692.80000000005</v>
      </c>
      <c r="I195" s="1125" t="str">
        <f t="shared" ca="1" si="21"/>
        <v/>
      </c>
      <c r="J195"/>
      <c r="K195"/>
      <c r="L195"/>
      <c r="X195" s="118"/>
    </row>
    <row r="196" spans="2:24" s="87" customFormat="1" ht="29.15" customHeight="1" x14ac:dyDescent="0.75">
      <c r="B196" s="1156" t="str">
        <f>RIGHT('Equipment List &amp; Usage'!B60,9)</f>
        <v>equipment</v>
      </c>
      <c r="C196" s="1030" t="str">
        <f>'Equipment List &amp; Usage'!C60</f>
        <v>IV Infusion</v>
      </c>
      <c r="D196" s="1405" t="str">
        <f>'Equipment List &amp; Usage'!D60</f>
        <v xml:space="preserve">Electronic drop counter, IV fluids </v>
      </c>
      <c r="E196" s="1406"/>
      <c r="F196" s="1057" t="str">
        <f>'Equipment List &amp; Usage'!E60</f>
        <v>Each</v>
      </c>
      <c r="G196" s="1025">
        <f ca="1">'Equipment List &amp; Usage'!BE60</f>
        <v>21185.721600000001</v>
      </c>
      <c r="H196" s="1050">
        <f ca="1">'Equipment List &amp; Usage'!BF60</f>
        <v>3463865.4816000001</v>
      </c>
      <c r="I196" s="1125" t="str">
        <f t="shared" ca="1" si="21"/>
        <v/>
      </c>
      <c r="J196"/>
      <c r="K196"/>
      <c r="L196"/>
      <c r="X196" s="118"/>
    </row>
    <row r="197" spans="2:24" s="87" customFormat="1" x14ac:dyDescent="0.75">
      <c r="B197" s="1156" t="str">
        <f>RIGHT('Equipment List &amp; Usage'!B61,9)</f>
        <v>equipment</v>
      </c>
      <c r="C197" s="1030" t="str">
        <f>'Equipment List &amp; Usage'!C61</f>
        <v>IV Infusion</v>
      </c>
      <c r="D197" s="1405" t="str">
        <f>'Equipment List &amp; Usage'!D61</f>
        <v>Infusion pump</v>
      </c>
      <c r="E197" s="1406"/>
      <c r="F197" s="1057" t="str">
        <f>'Equipment List &amp; Usage'!E61</f>
        <v>Each</v>
      </c>
      <c r="G197" s="1025">
        <f ca="1">'Equipment List &amp; Usage'!BE61</f>
        <v>5296.4304000000002</v>
      </c>
      <c r="H197" s="1050">
        <f ca="1">'Equipment List &amp; Usage'!BF61</f>
        <v>5296430.4000000004</v>
      </c>
      <c r="I197" s="1125" t="str">
        <f t="shared" ca="1" si="21"/>
        <v/>
      </c>
      <c r="J197"/>
      <c r="K197"/>
      <c r="L197"/>
      <c r="X197" s="118"/>
    </row>
    <row r="198" spans="2:24" s="87" customFormat="1" ht="30.65" customHeight="1" x14ac:dyDescent="0.75">
      <c r="B198" s="1156" t="str">
        <f>RIGHT('Equipment List &amp; Usage'!B62,9)</f>
        <v>equipment</v>
      </c>
      <c r="C198" s="1030" t="str">
        <f>'Equipment List &amp; Usage'!C62</f>
        <v>Blood Chemistry</v>
      </c>
      <c r="D198" s="1405" t="str">
        <f>'Equipment List &amp; Usage'!D62</f>
        <v>Blood Gas Analyser, portable with cartridges and control solutions</v>
      </c>
      <c r="E198" s="1406"/>
      <c r="F198" s="1057" t="str">
        <f>'Equipment List &amp; Usage'!E62</f>
        <v>Each</v>
      </c>
      <c r="G198" s="1025">
        <f ca="1">'Equipment List &amp; Usage'!BE62</f>
        <v>551.52</v>
      </c>
      <c r="H198" s="1050">
        <f ca="1">'Equipment List &amp; Usage'!BF62</f>
        <v>264729.59999999998</v>
      </c>
      <c r="I198" s="1125" t="str">
        <f t="shared" ca="1" si="21"/>
        <v/>
      </c>
      <c r="J198"/>
      <c r="K198"/>
      <c r="L198"/>
      <c r="X198" s="118"/>
    </row>
    <row r="199" spans="2:24" s="87" customFormat="1" ht="21" customHeight="1" x14ac:dyDescent="0.75">
      <c r="B199" s="1156" t="str">
        <f>RIGHT('Equipment List &amp; Usage'!B63,9)</f>
        <v>equipment</v>
      </c>
      <c r="C199" s="1030" t="str">
        <f>'Equipment List &amp; Usage'!C63</f>
        <v>Imaging</v>
      </c>
      <c r="D199" s="1405" t="str">
        <f>'Equipment List &amp; Usage'!D63</f>
        <v>Ultrasound, portable, w/ transducers and trolley</v>
      </c>
      <c r="E199" s="1406"/>
      <c r="F199" s="1057" t="str">
        <f>'Equipment List &amp; Usage'!E63</f>
        <v>Each</v>
      </c>
      <c r="G199" s="1025">
        <f ca="1">'Equipment List &amp; Usage'!BE63</f>
        <v>551.52</v>
      </c>
      <c r="H199" s="1050">
        <f ca="1">'Equipment List &amp; Usage'!BF63</f>
        <v>4412160</v>
      </c>
      <c r="I199" s="1125" t="str">
        <f t="shared" ca="1" si="21"/>
        <v/>
      </c>
      <c r="J199"/>
      <c r="K199"/>
      <c r="L199"/>
      <c r="X199" s="118"/>
    </row>
    <row r="200" spans="2:24" s="87" customFormat="1" ht="32.9" customHeight="1" x14ac:dyDescent="0.75">
      <c r="B200" s="1156" t="str">
        <f>RIGHT('Equipment List &amp; Usage'!B64,9)</f>
        <v>equipment</v>
      </c>
      <c r="C200" s="1030" t="str">
        <f>'Equipment List &amp; Usage'!C64</f>
        <v>ICU</v>
      </c>
      <c r="D200" s="1405" t="str">
        <f>'Equipment List &amp; Usage'!D64</f>
        <v>Drill, for vascular access, w/accessories, w/transport bag</v>
      </c>
      <c r="E200" s="1406"/>
      <c r="F200" s="1057" t="str">
        <f>'Equipment List &amp; Usage'!E64</f>
        <v>Each</v>
      </c>
      <c r="G200" s="1025">
        <f ca="1">'Equipment List &amp; Usage'!BE64</f>
        <v>551.52</v>
      </c>
      <c r="H200" s="1050">
        <f ca="1">'Equipment List &amp; Usage'!BF64</f>
        <v>468792</v>
      </c>
      <c r="I200" s="1125" t="str">
        <f t="shared" ca="1" si="21"/>
        <v/>
      </c>
      <c r="J200"/>
      <c r="K200"/>
      <c r="L200"/>
      <c r="X200" s="118"/>
    </row>
    <row r="201" spans="2:24" s="87" customFormat="1" ht="18.649999999999999" customHeight="1" x14ac:dyDescent="0.75">
      <c r="B201" s="1156" t="str">
        <f>RIGHT('Equipment List &amp; Usage'!B65,9)</f>
        <v>equipment</v>
      </c>
      <c r="C201" s="1030" t="str">
        <f>'Equipment List &amp; Usage'!C65</f>
        <v>ICU</v>
      </c>
      <c r="D201" s="1405" t="str">
        <f>'Equipment List &amp; Usage'!D65</f>
        <v>Electrocardiograph, portable w/accessories</v>
      </c>
      <c r="E201" s="1406"/>
      <c r="F201" s="1057" t="str">
        <f>'Equipment List &amp; Usage'!E65</f>
        <v>Each</v>
      </c>
      <c r="G201" s="1025">
        <f ca="1">'Equipment List &amp; Usage'!BE65</f>
        <v>551.52</v>
      </c>
      <c r="H201" s="1050">
        <f ca="1">'Equipment List &amp; Usage'!BF65</f>
        <v>799704</v>
      </c>
      <c r="I201" s="1125" t="str">
        <f t="shared" ca="1" si="21"/>
        <v/>
      </c>
      <c r="J201"/>
      <c r="K201"/>
      <c r="L201"/>
      <c r="X201" s="118"/>
    </row>
    <row r="202" spans="2:24" s="87" customFormat="1" x14ac:dyDescent="0.75">
      <c r="B202" s="1156" t="str">
        <f>RIGHT('Equipment List &amp; Usage'!B66,9)</f>
        <v>equipment</v>
      </c>
      <c r="C202" s="1030" t="str">
        <f>'Equipment List &amp; Usage'!C66</f>
        <v>ICU</v>
      </c>
      <c r="D202" s="1405" t="str">
        <f>'Equipment List &amp; Usage'!D66</f>
        <v>Suction pump</v>
      </c>
      <c r="E202" s="1406"/>
      <c r="F202" s="1057" t="str">
        <f>'Equipment List &amp; Usage'!E66</f>
        <v>Each</v>
      </c>
      <c r="G202" s="1025">
        <f ca="1">'Equipment List &amp; Usage'!BE66</f>
        <v>6171.5088000000005</v>
      </c>
      <c r="H202" s="1050">
        <f ca="1">'Equipment List &amp; Usage'!BF66</f>
        <v>11108715.840000002</v>
      </c>
      <c r="I202" s="1125" t="str">
        <f t="shared" ca="1" si="21"/>
        <v/>
      </c>
      <c r="J202"/>
      <c r="K202"/>
      <c r="L202"/>
      <c r="X202" s="118"/>
    </row>
    <row r="203" spans="2:24" s="87" customFormat="1" ht="15" customHeight="1" x14ac:dyDescent="0.75">
      <c r="B203" s="1156" t="str">
        <f>RIGHT('Equipment List &amp; Usage'!B67,9)</f>
        <v>equipment</v>
      </c>
      <c r="C203" s="1030" t="str">
        <f>'Equipment List &amp; Usage'!C67</f>
        <v>Oxygen therapy</v>
      </c>
      <c r="D203" s="1405" t="str">
        <f>'Equipment List &amp; Usage'!D67</f>
        <v>Bubble humidifier, non-heated</v>
      </c>
      <c r="E203" s="1406"/>
      <c r="F203" s="1057" t="str">
        <f>'Equipment List &amp; Usage'!E67</f>
        <v>Each</v>
      </c>
      <c r="G203" s="1025">
        <f ca="1">'Equipment List &amp; Usage'!BE67</f>
        <v>23304.293760000004</v>
      </c>
      <c r="H203" s="1050">
        <f ca="1">'Equipment List &amp; Usage'!BF67</f>
        <v>81565.028160000016</v>
      </c>
      <c r="I203" s="1125" t="str">
        <f t="shared" ca="1" si="21"/>
        <v/>
      </c>
      <c r="J203"/>
      <c r="K203"/>
      <c r="L203"/>
      <c r="X203" s="118"/>
    </row>
    <row r="204" spans="2:24" s="87" customFormat="1" ht="14.9" customHeight="1" x14ac:dyDescent="0.75">
      <c r="B204" s="1156" t="str">
        <f>RIGHT('Equipment List &amp; Usage'!B68,9)</f>
        <v>nsumables</v>
      </c>
      <c r="C204" s="1030" t="str">
        <f>'Equipment List &amp; Usage'!C68</f>
        <v>Oxygen therapy</v>
      </c>
      <c r="D204" s="1405" t="str">
        <f>'Equipment List &amp; Usage'!D68</f>
        <v>Tubing, medical gases, int. diam. 5 mm</v>
      </c>
      <c r="E204" s="1406"/>
      <c r="F204" s="1057" t="str">
        <f>'Equipment List &amp; Usage'!E68</f>
        <v>Each</v>
      </c>
      <c r="G204" s="1025">
        <f ca="1">'Equipment List &amp; Usage'!BE68</f>
        <v>551.52</v>
      </c>
      <c r="H204" s="1050">
        <f ca="1">'Equipment List &amp; Usage'!BF68</f>
        <v>1489.104</v>
      </c>
      <c r="I204" s="1125" t="str">
        <f t="shared" ca="1" si="21"/>
        <v/>
      </c>
      <c r="J204"/>
      <c r="K204"/>
      <c r="L204"/>
      <c r="X204" s="118"/>
    </row>
    <row r="205" spans="2:24" s="87" customFormat="1" ht="17.45" customHeight="1" x14ac:dyDescent="0.75">
      <c r="B205" s="1156" t="str">
        <f>RIGHT('Equipment List &amp; Usage'!B69,9)</f>
        <v>nsumables</v>
      </c>
      <c r="C205" s="1030" t="str">
        <f>'Equipment List &amp; Usage'!C69</f>
        <v>Oxygen therapy</v>
      </c>
      <c r="D205" s="1405" t="str">
        <f>'Equipment List &amp; Usage'!D69</f>
        <v>Flow splitter, 5 flowmeters 0-2 L/min, for paediatric use</v>
      </c>
      <c r="E205" s="1406"/>
      <c r="F205" s="1057" t="str">
        <f>'Equipment List &amp; Usage'!E69</f>
        <v>Each</v>
      </c>
      <c r="G205" s="1025">
        <f ca="1">'Equipment List &amp; Usage'!BE69</f>
        <v>551.52</v>
      </c>
      <c r="H205" s="1050">
        <f ca="1">'Equipment List &amp; Usage'!BF69</f>
        <v>75558.239999999991</v>
      </c>
      <c r="I205" s="1125" t="str">
        <f t="shared" ca="1" si="21"/>
        <v/>
      </c>
      <c r="J205"/>
      <c r="K205"/>
      <c r="L205"/>
      <c r="X205" s="118"/>
    </row>
    <row r="206" spans="2:24" s="87" customFormat="1" ht="29.15" customHeight="1" x14ac:dyDescent="0.75">
      <c r="B206" s="1156" t="str">
        <f>RIGHT('Equipment List &amp; Usage'!B70,9)</f>
        <v>nsumables</v>
      </c>
      <c r="C206" s="1030" t="str">
        <f>'Equipment List &amp; Usage'!C70</f>
        <v>Oxygen therapy</v>
      </c>
      <c r="D206" s="1405" t="str">
        <f>'Equipment List &amp; Usage'!D70</f>
        <v>Flowmeter, Thorpe tube, for pipe oxygen 0-15 L/min</v>
      </c>
      <c r="E206" s="1406"/>
      <c r="F206" s="1057" t="str">
        <f>'Equipment List &amp; Usage'!E70</f>
        <v>Each</v>
      </c>
      <c r="G206" s="1025">
        <f ca="1">'Equipment List &amp; Usage'!BE70</f>
        <v>288.77587200000005</v>
      </c>
      <c r="H206" s="1050">
        <f ca="1">'Equipment List &amp; Usage'!BF70</f>
        <v>28877.587200000005</v>
      </c>
      <c r="I206" s="1125" t="str">
        <f t="shared" ca="1" si="21"/>
        <v/>
      </c>
      <c r="J206"/>
      <c r="K206"/>
      <c r="L206"/>
      <c r="X206" s="118"/>
    </row>
    <row r="207" spans="2:24" s="87" customFormat="1" ht="15" customHeight="1" x14ac:dyDescent="0.75">
      <c r="B207" s="1156" t="str">
        <f>RIGHT('Equipment List &amp; Usage'!B71,9)</f>
        <v>nsumables</v>
      </c>
      <c r="C207" s="1030" t="str">
        <f>'Equipment List &amp; Usage'!C71</f>
        <v>Oxygen therapy</v>
      </c>
      <c r="D207" s="1405" t="str">
        <f>'Equipment List &amp; Usage'!D71</f>
        <v xml:space="preserve">Filter, heat and moisture exchanger (HMEF), high efficiency, with connectors, for adult </v>
      </c>
      <c r="E207" s="1406"/>
      <c r="F207" s="1057" t="str">
        <f>'Equipment List &amp; Usage'!E71</f>
        <v>Each</v>
      </c>
      <c r="G207" s="1025">
        <f ca="1">'Equipment List &amp; Usage'!BE71</f>
        <v>5397.1807712199397</v>
      </c>
      <c r="H207" s="1050">
        <f ca="1">'Equipment List &amp; Usage'!BF71</f>
        <v>21588.723084879759</v>
      </c>
      <c r="I207" s="1125" t="str">
        <f t="shared" ca="1" si="21"/>
        <v/>
      </c>
      <c r="J207"/>
      <c r="K207"/>
      <c r="L207"/>
      <c r="X207" s="118"/>
    </row>
    <row r="208" spans="2:24" s="87" customFormat="1" ht="29.15" customHeight="1" x14ac:dyDescent="0.75">
      <c r="B208" s="1156" t="str">
        <f>RIGHT('Equipment List &amp; Usage'!B72,9)</f>
        <v>nsumables</v>
      </c>
      <c r="C208" s="1030" t="str">
        <f>'Equipment List &amp; Usage'!C72</f>
        <v>Imaging</v>
      </c>
      <c r="D208" s="1405" t="str">
        <f>'Equipment List &amp; Usage'!D72</f>
        <v>Conductive gel, container</v>
      </c>
      <c r="E208" s="1406"/>
      <c r="F208" s="1057" t="str">
        <f>'Equipment List &amp; Usage'!E72</f>
        <v>Each</v>
      </c>
      <c r="G208" s="1025">
        <f ca="1">'Equipment List &amp; Usage'!BE72</f>
        <v>136.29244371767524</v>
      </c>
      <c r="H208" s="1050">
        <f ca="1">'Equipment List &amp; Usage'!BF72</f>
        <v>166.27678133556378</v>
      </c>
      <c r="I208" s="1125" t="str">
        <f t="shared" ca="1" si="21"/>
        <v/>
      </c>
      <c r="J208"/>
      <c r="K208"/>
      <c r="L208"/>
      <c r="X208" s="118"/>
    </row>
    <row r="209" spans="1:66" s="87" customFormat="1" ht="45" customHeight="1" x14ac:dyDescent="0.75">
      <c r="B209" s="1156" t="str">
        <f>RIGHT('Equipment List &amp; Usage'!B73,9)</f>
        <v>nsumables</v>
      </c>
      <c r="C209" s="1030" t="str">
        <f>'Equipment List &amp; Usage'!C73</f>
        <v>Oxygen delivery devices</v>
      </c>
      <c r="D209" s="1405" t="str">
        <f>'Equipment List &amp; Usage'!D73</f>
        <v>Catheter, nasal, 40cm, with lateral eyes, sterile, single use; different sizes: 10 Fr, 12 Fr, 14 Fr, 16 Fr, 18 Fr</v>
      </c>
      <c r="E209" s="1406"/>
      <c r="F209" s="1057" t="str">
        <f>'Equipment List &amp; Usage'!E73</f>
        <v>Each</v>
      </c>
      <c r="G209" s="1025">
        <f ca="1">'Equipment List &amp; Usage'!BE73</f>
        <v>4017.2275671014977</v>
      </c>
      <c r="H209" s="1050">
        <f ca="1">'Equipment List &amp; Usage'!BF73</f>
        <v>30932.652266681533</v>
      </c>
      <c r="I209" s="1125" t="str">
        <f t="shared" ca="1" si="21"/>
        <v/>
      </c>
      <c r="J209"/>
      <c r="K209"/>
      <c r="L209"/>
      <c r="X209" s="118"/>
    </row>
    <row r="210" spans="1:66" s="87" customFormat="1" ht="29.15" customHeight="1" x14ac:dyDescent="0.75">
      <c r="B210" s="1156" t="str">
        <f>RIGHT('Equipment List &amp; Usage'!B74,9)</f>
        <v>nsumables</v>
      </c>
      <c r="C210" s="1030" t="str">
        <f>'Equipment List &amp; Usage'!C74</f>
        <v>Oxygen delivery devices</v>
      </c>
      <c r="D210" s="1405" t="str">
        <f>'Equipment List &amp; Usage'!D74</f>
        <v>Nasal oxygen cannula, with prongs, adult and paediatric</v>
      </c>
      <c r="E210" s="1406"/>
      <c r="F210" s="1057" t="str">
        <f>'Equipment List &amp; Usage'!E74</f>
        <v>Each</v>
      </c>
      <c r="G210" s="1025">
        <f ca="1">'Equipment List &amp; Usage'!BE74</f>
        <v>50348.735057631435</v>
      </c>
      <c r="H210" s="1050">
        <f ca="1">'Equipment List &amp; Usage'!BF74</f>
        <v>35244.114540342001</v>
      </c>
      <c r="I210" s="1125" t="str">
        <f t="shared" ca="1" si="21"/>
        <v/>
      </c>
      <c r="J210"/>
      <c r="K210"/>
      <c r="L210"/>
      <c r="X210" s="118"/>
    </row>
    <row r="211" spans="1:66" s="87" customFormat="1" ht="31.7" customHeight="1" x14ac:dyDescent="0.75">
      <c r="B211" s="1156" t="str">
        <f>RIGHT('Equipment List &amp; Usage'!B75,9)</f>
        <v>nsumables</v>
      </c>
      <c r="C211" s="1030" t="str">
        <f>'Equipment List &amp; Usage'!C75</f>
        <v>Oxygen delivery devices</v>
      </c>
      <c r="D211" s="1405" t="str">
        <f>'Equipment List &amp; Usage'!D75</f>
        <v>Mask, oxygen, with connection tube, reservoir bag and valve, high-concentration single use (adult)</v>
      </c>
      <c r="E211" s="1406"/>
      <c r="F211" s="1057" t="str">
        <f>'Equipment List &amp; Usage'!E75</f>
        <v>Each</v>
      </c>
      <c r="G211" s="1025">
        <f ca="1">'Equipment List &amp; Usage'!BE75</f>
        <v>50348.735057631435</v>
      </c>
      <c r="H211" s="1050">
        <f ca="1">'Equipment List &amp; Usage'!BF75</f>
        <v>95662.596609499727</v>
      </c>
      <c r="I211" s="1125" t="str">
        <f t="shared" ca="1" si="21"/>
        <v/>
      </c>
      <c r="J211"/>
      <c r="K211"/>
      <c r="L211"/>
      <c r="X211" s="118"/>
    </row>
    <row r="212" spans="1:66" s="87" customFormat="1" ht="29.15" customHeight="1" x14ac:dyDescent="0.75">
      <c r="B212" s="1156" t="str">
        <f>RIGHT('Equipment List &amp; Usage'!B76,9)</f>
        <v>nsumables</v>
      </c>
      <c r="C212" s="1030" t="str">
        <f>'Equipment List &amp; Usage'!C76</f>
        <v>Oxygen delivery devices</v>
      </c>
      <c r="D212" s="1405" t="str">
        <f>'Equipment List &amp; Usage'!D76</f>
        <v>Venturi Mask, with percent O2 Lock and tubing (adult)</v>
      </c>
      <c r="E212" s="1406"/>
      <c r="F212" s="1057" t="str">
        <f>'Equipment List &amp; Usage'!E76</f>
        <v>Each</v>
      </c>
      <c r="G212" s="1025">
        <f ca="1">'Equipment List &amp; Usage'!BE76</f>
        <v>50348.735057631435</v>
      </c>
      <c r="H212" s="1050">
        <f ca="1">'Equipment List &amp; Usage'!BF76</f>
        <v>65453.355574920868</v>
      </c>
      <c r="I212" s="1125" t="str">
        <f t="shared" ca="1" si="21"/>
        <v/>
      </c>
      <c r="J212"/>
      <c r="K212"/>
      <c r="L212"/>
      <c r="X212" s="118"/>
    </row>
    <row r="213" spans="1:66" s="87" customFormat="1" ht="29.15" customHeight="1" x14ac:dyDescent="0.75">
      <c r="B213" s="1156" t="str">
        <f>RIGHT('Equipment List &amp; Usage'!B77,9)</f>
        <v>nsumables</v>
      </c>
      <c r="C213" s="1030" t="str">
        <f>'Equipment List &amp; Usage'!C77</f>
        <v>Airway Management &amp; Intubation</v>
      </c>
      <c r="D213" s="1405" t="str">
        <f>'Equipment List &amp; Usage'!D77</f>
        <v>Compressible self-refilling ventilation bag, capacity &gt; 1500 mL, with masks (small, medium, large)</v>
      </c>
      <c r="E213" s="1406"/>
      <c r="F213" s="1057" t="str">
        <f>'Equipment List &amp; Usage'!E77</f>
        <v>Each</v>
      </c>
      <c r="G213" s="1025">
        <f ca="1">'Equipment List &amp; Usage'!BE77</f>
        <v>291.69280000000003</v>
      </c>
      <c r="H213" s="1050">
        <f ca="1">'Equipment List &amp; Usage'!BF77</f>
        <v>18084.953600000001</v>
      </c>
      <c r="I213" s="1125" t="str">
        <f t="shared" ca="1" si="21"/>
        <v/>
      </c>
      <c r="J213"/>
      <c r="K213"/>
      <c r="L213"/>
      <c r="X213" s="118"/>
    </row>
    <row r="214" spans="1:66" s="87" customFormat="1" ht="43.7" customHeight="1" x14ac:dyDescent="0.75">
      <c r="B214" s="1156" t="str">
        <f>RIGHT('Equipment List &amp; Usage'!B78,9)</f>
        <v>nsumables</v>
      </c>
      <c r="C214" s="1030" t="str">
        <f>'Equipment List &amp; Usage'!C78</f>
        <v>Airway Management &amp; Intubation</v>
      </c>
      <c r="D214" s="1405" t="str">
        <f>'Equipment List &amp; Usage'!D78</f>
        <v>Airway, nasopharyngeal, sterile, single use, set with sizes of: 20 Fr, 22 Fr, 24 Fr, 26 Fr, 28 Fr, 30 Fr, 32 Fr, 34 Fr, 36 Fr</v>
      </c>
      <c r="E214" s="1406"/>
      <c r="F214" s="1057" t="str">
        <f>'Equipment List &amp; Usage'!E78</f>
        <v>Each</v>
      </c>
      <c r="G214" s="1025">
        <f ca="1">'Equipment List &amp; Usage'!BE78</f>
        <v>3634.4651658046732</v>
      </c>
      <c r="H214" s="1050">
        <f ca="1">'Equipment List &amp; Usage'!BF78</f>
        <v>1490.130717979916</v>
      </c>
      <c r="I214" s="1125" t="str">
        <f t="shared" ca="1" si="21"/>
        <v/>
      </c>
      <c r="J214"/>
      <c r="K214"/>
      <c r="L214"/>
      <c r="X214" s="118"/>
    </row>
    <row r="215" spans="1:66" s="87" customFormat="1" ht="45" customHeight="1" x14ac:dyDescent="0.75">
      <c r="B215" s="1156" t="str">
        <f>RIGHT('Equipment List &amp; Usage'!B79,9)</f>
        <v>nsumables</v>
      </c>
      <c r="C215" s="1030" t="str">
        <f>'Equipment List &amp; Usage'!C79</f>
        <v>Airway Management &amp; Intubation</v>
      </c>
      <c r="D215" s="1405" t="str">
        <f>'Equipment List &amp; Usage'!D79</f>
        <v>Airway, oropharyngeal, Guedel, set with sizes of: No. 2 (70 mm), No. 3 (80 mm), No. 4 (90 mm), No. 5 (100 mm)</v>
      </c>
      <c r="E215" s="1406"/>
      <c r="F215" s="1057" t="str">
        <f>'Equipment List &amp; Usage'!E79</f>
        <v>Each</v>
      </c>
      <c r="G215" s="1025">
        <f ca="1">'Equipment List &amp; Usage'!BE79</f>
        <v>3634.4651658046732</v>
      </c>
      <c r="H215" s="1050">
        <f ca="1">'Equipment List &amp; Usage'!BF79</f>
        <v>726.89303316093469</v>
      </c>
      <c r="I215" s="1125" t="str">
        <f t="shared" ca="1" si="21"/>
        <v/>
      </c>
      <c r="J215"/>
      <c r="K215"/>
      <c r="L215"/>
      <c r="X215" s="118"/>
    </row>
    <row r="216" spans="1:66" s="87" customFormat="1" ht="29.15" customHeight="1" x14ac:dyDescent="0.75">
      <c r="B216" s="1156" t="str">
        <f>RIGHT('Equipment List &amp; Usage'!B80,9)</f>
        <v>nsumables</v>
      </c>
      <c r="C216" s="1030" t="str">
        <f>'Equipment List &amp; Usage'!C80</f>
        <v>Airway Management &amp; Intubation</v>
      </c>
      <c r="D216" s="1405" t="str">
        <f>'Equipment List &amp; Usage'!D80</f>
        <v>Colorimetric End Tidal CO2 detector single use (adult)</v>
      </c>
      <c r="E216" s="1406"/>
      <c r="F216" s="1057" t="str">
        <f>'Equipment List &amp; Usage'!E80</f>
        <v>Each</v>
      </c>
      <c r="G216" s="1025">
        <f ca="1">'Equipment List &amp; Usage'!BE80</f>
        <v>3634.4651658046732</v>
      </c>
      <c r="H216" s="1050">
        <f ca="1">'Equipment List &amp; Usage'!BF80</f>
        <v>47248.04715546075</v>
      </c>
      <c r="I216" s="1125" t="str">
        <f t="shared" ca="1" si="21"/>
        <v/>
      </c>
      <c r="J216"/>
      <c r="K216"/>
      <c r="L216"/>
      <c r="X216" s="118"/>
    </row>
    <row r="217" spans="1:66" s="87" customFormat="1" ht="32.9" customHeight="1" x14ac:dyDescent="0.75">
      <c r="B217" s="1156" t="str">
        <f>RIGHT('Equipment List &amp; Usage'!B81,9)</f>
        <v>nsumables</v>
      </c>
      <c r="C217" s="1030" t="str">
        <f>'Equipment List &amp; Usage'!C81</f>
        <v>Airway Management &amp; Intubation</v>
      </c>
      <c r="D217" s="1405" t="str">
        <f>'Equipment List &amp; Usage'!D81</f>
        <v>Cricothyrotomy, set, emergency, 6 mm, sterile, single use</v>
      </c>
      <c r="E217" s="1406"/>
      <c r="F217" s="1057" t="str">
        <f>'Equipment List &amp; Usage'!E81</f>
        <v>Each</v>
      </c>
      <c r="G217" s="1025">
        <f ca="1">'Equipment List &amp; Usage'!BE81</f>
        <v>583.38560000000007</v>
      </c>
      <c r="H217" s="1050">
        <f ca="1">'Equipment List &amp; Usage'!BF81</f>
        <v>320862.08000000002</v>
      </c>
      <c r="I217" s="1125" t="str">
        <f t="shared" ca="1" si="21"/>
        <v/>
      </c>
      <c r="J217"/>
      <c r="K217"/>
      <c r="L217"/>
      <c r="X217" s="118"/>
    </row>
    <row r="218" spans="1:66" s="87" customFormat="1" ht="30" customHeight="1" x14ac:dyDescent="0.75">
      <c r="B218" s="1156" t="str">
        <f>RIGHT('Equipment List &amp; Usage'!B82,9)</f>
        <v>nsumables</v>
      </c>
      <c r="C218" s="1030" t="str">
        <f>'Equipment List &amp; Usage'!C82</f>
        <v>Airway Management &amp; Intubation</v>
      </c>
      <c r="D218" s="1405" t="str">
        <f>'Equipment List &amp; Usage'!D82</f>
        <v>Endotracheal tube introducer</v>
      </c>
      <c r="E218" s="1406"/>
      <c r="F218" s="1057" t="str">
        <f>'Equipment List &amp; Usage'!E82</f>
        <v>Each</v>
      </c>
      <c r="G218" s="1025">
        <f ca="1">'Equipment List &amp; Usage'!BE82</f>
        <v>3634.4651658046732</v>
      </c>
      <c r="H218" s="1050">
        <f ca="1">'Equipment List &amp; Usage'!BF82</f>
        <v>2689.5042226954583</v>
      </c>
      <c r="I218" s="1125" t="str">
        <f t="shared" ca="1" si="21"/>
        <v/>
      </c>
      <c r="J218"/>
      <c r="K218"/>
      <c r="L218"/>
      <c r="X218" s="118"/>
    </row>
    <row r="219" spans="1:66" s="87" customFormat="1" ht="29.15" customHeight="1" x14ac:dyDescent="0.75">
      <c r="B219" s="1156" t="str">
        <f>RIGHT('Equipment List &amp; Usage'!B83,9)</f>
        <v>nsumables</v>
      </c>
      <c r="C219" s="1030" t="str">
        <f>'Equipment List &amp; Usage'!C83</f>
        <v>Airway Management &amp; Intubation</v>
      </c>
      <c r="D219" s="1405" t="str">
        <f>'Equipment List &amp; Usage'!D83</f>
        <v>Tube, endotracheal</v>
      </c>
      <c r="E219" s="1406"/>
      <c r="F219" s="1057" t="str">
        <f>'Equipment List &amp; Usage'!E83</f>
        <v>Each</v>
      </c>
      <c r="G219" s="1025">
        <f ca="1">'Equipment List &amp; Usage'!BE83</f>
        <v>3634.4651658046732</v>
      </c>
      <c r="H219" s="1050">
        <f ca="1">'Equipment List &amp; Usage'!BF83</f>
        <v>3961.5670307270943</v>
      </c>
      <c r="I219" s="1125" t="str">
        <f t="shared" ca="1" si="21"/>
        <v/>
      </c>
      <c r="J219"/>
      <c r="K219"/>
      <c r="L219"/>
      <c r="X219" s="118"/>
    </row>
    <row r="220" spans="1:66" s="87" customFormat="1" ht="30" customHeight="1" x14ac:dyDescent="0.75">
      <c r="B220" s="1156" t="str">
        <f>RIGHT('Equipment List &amp; Usage'!B84,9)</f>
        <v>nsumables</v>
      </c>
      <c r="C220" s="1030" t="str">
        <f>'Equipment List &amp; Usage'!C84</f>
        <v>Airway Management &amp; Intubation</v>
      </c>
      <c r="D220" s="1405" t="str">
        <f>'Equipment List &amp; Usage'!D84</f>
        <v>Laryngeal mask airway (LMA)</v>
      </c>
      <c r="E220" s="1406"/>
      <c r="F220" s="1057" t="str">
        <f>'Equipment List &amp; Usage'!E84</f>
        <v>Each</v>
      </c>
      <c r="G220" s="1025">
        <f ca="1">'Equipment List &amp; Usage'!BE84</f>
        <v>3634.4651658046732</v>
      </c>
      <c r="H220" s="1050">
        <f ca="1">'Equipment List &amp; Usage'!BF84</f>
        <v>10830.706194097926</v>
      </c>
      <c r="I220" s="1125" t="str">
        <f t="shared" ca="1" si="21"/>
        <v/>
      </c>
      <c r="J220"/>
      <c r="K220"/>
      <c r="L220"/>
      <c r="X220" s="118"/>
    </row>
    <row r="221" spans="1:66" s="87" customFormat="1" ht="33" customHeight="1" thickBot="1" x14ac:dyDescent="0.9">
      <c r="B221" s="1156" t="str">
        <f>RIGHT('Equipment List &amp; Usage'!B85,9)</f>
        <v>nsumables</v>
      </c>
      <c r="C221" s="1031" t="str">
        <f>'Equipment List &amp; Usage'!C85</f>
        <v>Airway Management &amp; Intubation</v>
      </c>
      <c r="D221" s="1411" t="str">
        <f>'Equipment List &amp; Usage'!D85</f>
        <v>Lubricating jelly - for critical patient gastro-enteral feeding and airway management &amp; intubation</v>
      </c>
      <c r="E221" s="1412"/>
      <c r="F221" s="1028" t="str">
        <f>'Equipment List &amp; Usage'!E85</f>
        <v>Each</v>
      </c>
      <c r="G221" s="1029">
        <f ca="1">'Equipment List &amp; Usage'!BE85</f>
        <v>136.29244371767524</v>
      </c>
      <c r="H221" s="1072">
        <f ca="1">'Equipment List &amp; Usage'!BF85</f>
        <v>468.84600638880283</v>
      </c>
      <c r="I221" s="1125" t="str">
        <f t="shared" ca="1" si="21"/>
        <v/>
      </c>
      <c r="J221" s="132"/>
      <c r="K221" s="132"/>
      <c r="L221" s="132"/>
      <c r="X221" s="118"/>
    </row>
    <row r="222" spans="1:66" x14ac:dyDescent="0.75">
      <c r="A222"/>
      <c r="B222"/>
      <c r="C222"/>
      <c r="D222"/>
      <c r="E222"/>
      <c r="F222"/>
      <c r="G222"/>
      <c r="H222"/>
      <c r="I222"/>
      <c r="J222"/>
      <c r="K222"/>
      <c r="L222"/>
      <c r="M222"/>
      <c r="N222"/>
      <c r="O222"/>
      <c r="P222"/>
      <c r="Q222"/>
      <c r="R222"/>
      <c r="S222"/>
      <c r="T222"/>
      <c r="U222"/>
      <c r="V222"/>
      <c r="W222"/>
      <c r="X222" s="9"/>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row>
    <row r="223" spans="1:66" s="87" customFormat="1" ht="15.5" thickBot="1" x14ac:dyDescent="0.9">
      <c r="B223" s="132"/>
      <c r="C223" s="132"/>
      <c r="D223" s="132"/>
      <c r="E223" s="132"/>
      <c r="F223" s="132"/>
      <c r="G223" s="132"/>
      <c r="H223" s="132"/>
      <c r="I223" s="132"/>
      <c r="X223" s="118"/>
    </row>
    <row r="224" spans="1:66" s="87" customFormat="1" x14ac:dyDescent="0.75">
      <c r="B224"/>
      <c r="C224"/>
      <c r="D224"/>
      <c r="E224"/>
      <c r="F224"/>
      <c r="G224" s="630" t="s">
        <v>297</v>
      </c>
      <c r="H224" s="378">
        <f ca="1">SUMIF($C$151:$C$221,"="&amp;G224,$H$151:$H$221)</f>
        <v>1091151.3457830597</v>
      </c>
      <c r="I224"/>
      <c r="X224" s="118"/>
    </row>
    <row r="225" spans="2:24" s="87" customFormat="1" x14ac:dyDescent="0.75">
      <c r="B225"/>
      <c r="C225"/>
      <c r="D225"/>
      <c r="E225"/>
      <c r="F225"/>
      <c r="G225" s="283" t="s">
        <v>263</v>
      </c>
      <c r="H225" s="244">
        <f ca="1">SUMIF($C$151:$C$221,"="&amp;G225,$H$151:$H$221)</f>
        <v>10248242.304278849</v>
      </c>
      <c r="I225"/>
      <c r="X225" s="118"/>
    </row>
    <row r="226" spans="2:24" s="87" customFormat="1" x14ac:dyDescent="0.75">
      <c r="B226"/>
      <c r="C226"/>
      <c r="D226"/>
      <c r="E226"/>
      <c r="F226"/>
      <c r="G226" s="283" t="s">
        <v>262</v>
      </c>
      <c r="H226" s="244">
        <f ca="1">SUMIF($C$151:$C$221,"="&amp;G226,$H$151:$H$221)</f>
        <v>5211822.4664957812</v>
      </c>
      <c r="I226"/>
      <c r="X226" s="118"/>
    </row>
    <row r="227" spans="2:24" s="87" customFormat="1" x14ac:dyDescent="0.75">
      <c r="B227"/>
      <c r="C227"/>
      <c r="D227"/>
      <c r="E227"/>
      <c r="F227"/>
      <c r="G227" s="283" t="s">
        <v>647</v>
      </c>
      <c r="H227" s="244">
        <f ca="1">SUMIF($C$151:$C$221,"="&amp;G227,$H$151:$H$221)</f>
        <v>19170993.10789616</v>
      </c>
      <c r="I227"/>
      <c r="X227" s="118"/>
    </row>
    <row r="228" spans="2:24" s="87" customFormat="1" x14ac:dyDescent="0.75">
      <c r="G228" s="631" t="s">
        <v>614</v>
      </c>
      <c r="H228" s="244">
        <f ca="1">SUMIF($B$151:$B$221,"equipment",$H$151:$H$221)</f>
        <v>57437687.74496001</v>
      </c>
      <c r="X228" s="118"/>
    </row>
    <row r="229" spans="2:24" s="87" customFormat="1" ht="15.5" thickBot="1" x14ac:dyDescent="0.9">
      <c r="G229" s="632" t="s">
        <v>1030</v>
      </c>
      <c r="H229" s="373">
        <f ca="1">SUMIF($B$151:$B$221,"nsumables",$H$151:$H$221)</f>
        <v>761335.37801817025</v>
      </c>
      <c r="X229" s="118"/>
    </row>
    <row r="230" spans="2:24" s="87" customFormat="1" ht="15.5" thickBot="1" x14ac:dyDescent="0.9">
      <c r="F230" s="96"/>
      <c r="G230" s="1338" t="s">
        <v>259</v>
      </c>
      <c r="X230" s="118"/>
    </row>
    <row r="231" spans="2:24" s="87" customFormat="1" ht="15.5" thickBot="1" x14ac:dyDescent="0.9">
      <c r="G231" s="1325" t="s">
        <v>839</v>
      </c>
      <c r="H231" s="379">
        <f ca="1">SUM(H224:H229)</f>
        <v>93921232.347432032</v>
      </c>
      <c r="X231" s="118"/>
    </row>
  </sheetData>
  <sheetProtection algorithmName="SHA-512" hashValue="kfwLetS9iF336uv3rkgzDrl6wuPLS4b7mekCS/JtClors3s4scPgm8uh9cY+sCvnMnW0SAGsvBmdOJls+yfEjA==" saltValue="0bvkYyxZUmT0eNYFpImyvg==" spinCount="100000" sheet="1" objects="1" scenarios="1"/>
  <mergeCells count="77">
    <mergeCell ref="Z8:AH10"/>
    <mergeCell ref="B120:B124"/>
    <mergeCell ref="D215:E215"/>
    <mergeCell ref="D216:E216"/>
    <mergeCell ref="T9:V10"/>
    <mergeCell ref="Q9:S10"/>
    <mergeCell ref="U14:W14"/>
    <mergeCell ref="U13:W13"/>
    <mergeCell ref="U12:W12"/>
    <mergeCell ref="O12:Q12"/>
    <mergeCell ref="O13:Q13"/>
    <mergeCell ref="O11:Q11"/>
    <mergeCell ref="J8:K8"/>
    <mergeCell ref="J10:K10"/>
    <mergeCell ref="J11:K11"/>
    <mergeCell ref="B145:B146"/>
    <mergeCell ref="B135:B142"/>
    <mergeCell ref="D187:E187"/>
    <mergeCell ref="D188:E188"/>
    <mergeCell ref="D189:E189"/>
    <mergeCell ref="C185:H186"/>
    <mergeCell ref="D220:E220"/>
    <mergeCell ref="D205:E205"/>
    <mergeCell ref="D206:E206"/>
    <mergeCell ref="D208:E208"/>
    <mergeCell ref="D193:E193"/>
    <mergeCell ref="D194:E194"/>
    <mergeCell ref="D210:E210"/>
    <mergeCell ref="D217:E217"/>
    <mergeCell ref="D221:E221"/>
    <mergeCell ref="D218:E218"/>
    <mergeCell ref="D219:E219"/>
    <mergeCell ref="D195:E195"/>
    <mergeCell ref="D196:E196"/>
    <mergeCell ref="D211:E211"/>
    <mergeCell ref="D213:E213"/>
    <mergeCell ref="D214:E214"/>
    <mergeCell ref="D212:E212"/>
    <mergeCell ref="D202:E202"/>
    <mergeCell ref="D207:E207"/>
    <mergeCell ref="D197:E197"/>
    <mergeCell ref="D198:E198"/>
    <mergeCell ref="D199:E199"/>
    <mergeCell ref="D200:E200"/>
    <mergeCell ref="D201:E201"/>
    <mergeCell ref="J9:K9"/>
    <mergeCell ref="I13:J13"/>
    <mergeCell ref="K12:L12"/>
    <mergeCell ref="D191:E191"/>
    <mergeCell ref="D209:E209"/>
    <mergeCell ref="C134:E134"/>
    <mergeCell ref="D190:E190"/>
    <mergeCell ref="A4:I4"/>
    <mergeCell ref="C120:E120"/>
    <mergeCell ref="C121:E121"/>
    <mergeCell ref="C128:E128"/>
    <mergeCell ref="B117:F117"/>
    <mergeCell ref="C22:I22"/>
    <mergeCell ref="C125:E125"/>
    <mergeCell ref="B125:B127"/>
    <mergeCell ref="C126:E126"/>
    <mergeCell ref="B129:B130"/>
    <mergeCell ref="D203:E203"/>
    <mergeCell ref="D204:E204"/>
    <mergeCell ref="D192:E192"/>
    <mergeCell ref="Z13:AG13"/>
    <mergeCell ref="O14:Q14"/>
    <mergeCell ref="D184:E184"/>
    <mergeCell ref="J14:L15"/>
    <mergeCell ref="D150:E150"/>
    <mergeCell ref="Z17:AB18"/>
    <mergeCell ref="O15:Q16"/>
    <mergeCell ref="R15:R16"/>
    <mergeCell ref="T15:T16"/>
    <mergeCell ref="U15:W16"/>
    <mergeCell ref="O17:U19"/>
    <mergeCell ref="C144:E144"/>
  </mergeCells>
  <conditionalFormatting sqref="B14:D14">
    <cfRule type="expression" dxfId="71" priority="121">
      <formula>IF(OR($C$12="manual entry",$C$12="sir model"),TRUE,FALSE)</formula>
    </cfRule>
  </conditionalFormatting>
  <conditionalFormatting sqref="D12">
    <cfRule type="expression" dxfId="70" priority="64">
      <formula>$C$12="SIR Model"</formula>
    </cfRule>
    <cfRule type="expression" dxfId="69" priority="124">
      <formula>IF($C$12="Manual Entry",TRUE,FALSE)</formula>
    </cfRule>
  </conditionalFormatting>
  <conditionalFormatting sqref="B16:C18">
    <cfRule type="expression" dxfId="68" priority="80">
      <formula>IF(OR($C$12="manual entry",$C$12="sir model"),TRUE,FALSE)</formula>
    </cfRule>
    <cfRule type="expression" dxfId="67" priority="116">
      <formula>IF($C$14&lt;&gt;"combined",TRUE,FALSE)</formula>
    </cfRule>
  </conditionalFormatting>
  <conditionalFormatting sqref="G119:BN119">
    <cfRule type="expression" dxfId="66" priority="107">
      <formula>IF(ISNUMBER($G$114),FALSE,TRUE)</formula>
    </cfRule>
  </conditionalFormatting>
  <conditionalFormatting sqref="G134:BD142 G119:BN130 G144:BD146">
    <cfRule type="expression" dxfId="65" priority="102">
      <formula>IF(ISNUMBER(G$114),FALSE,TRUE)</formula>
    </cfRule>
  </conditionalFormatting>
  <conditionalFormatting sqref="E12">
    <cfRule type="expression" dxfId="64" priority="83">
      <formula>IF($C$12&lt;&gt;"Manual Entry",TRUE,FALSE)</formula>
    </cfRule>
  </conditionalFormatting>
  <conditionalFormatting sqref="B13:D13">
    <cfRule type="expression" dxfId="63" priority="81">
      <formula>IF($C$12="manual entry",TRUE,FALSE)</formula>
    </cfRule>
  </conditionalFormatting>
  <conditionalFormatting sqref="B15">
    <cfRule type="expression" dxfId="62" priority="79">
      <formula>IF(OR($C$12="manual entry",$C$12="sir model"),TRUE,FALSE)</formula>
    </cfRule>
  </conditionalFormatting>
  <conditionalFormatting sqref="B13:C13">
    <cfRule type="expression" dxfId="61" priority="75">
      <formula>IF($C$12="manual entry",TRUE,FALSE)</formula>
    </cfRule>
  </conditionalFormatting>
  <conditionalFormatting sqref="G17:H17">
    <cfRule type="expression" dxfId="60" priority="66">
      <formula>$H$16="All Suspected Cases"</formula>
    </cfRule>
    <cfRule type="expression" dxfId="59" priority="67">
      <formula>$H$16&lt;&gt;"Targeted"</formula>
    </cfRule>
  </conditionalFormatting>
  <conditionalFormatting sqref="D11">
    <cfRule type="expression" dxfId="58" priority="63">
      <formula>IF($C$12&lt;&gt;"SIR Model",TRUE,FALSE)</formula>
    </cfRule>
  </conditionalFormatting>
  <conditionalFormatting sqref="AC142:BD142">
    <cfRule type="expression" dxfId="57" priority="60">
      <formula>IF(ISNUMBER(AC$114),FALSE,TRUE)</formula>
    </cfRule>
  </conditionalFormatting>
  <conditionalFormatting sqref="AJ15:AJ18 AL15:AN18">
    <cfRule type="expression" dxfId="56" priority="47">
      <formula>$AI15=""</formula>
    </cfRule>
  </conditionalFormatting>
  <conditionalFormatting sqref="AL14">
    <cfRule type="expression" dxfId="55" priority="16">
      <formula>$Z$12=1</formula>
    </cfRule>
    <cfRule type="expression" dxfId="54" priority="45">
      <formula>$E14=""</formula>
    </cfRule>
  </conditionalFormatting>
  <conditionalFormatting sqref="AL13">
    <cfRule type="expression" dxfId="53" priority="44">
      <formula>$E13=""</formula>
    </cfRule>
  </conditionalFormatting>
  <conditionalFormatting sqref="T12:T16">
    <cfRule type="expression" dxfId="52" priority="277">
      <formula>$W$9</formula>
    </cfRule>
  </conditionalFormatting>
  <conditionalFormatting sqref="R12:R16">
    <cfRule type="expression" dxfId="51" priority="278">
      <formula>$W$9</formula>
    </cfRule>
    <cfRule type="expression" dxfId="50" priority="279">
      <formula>$W$9</formula>
    </cfRule>
  </conditionalFormatting>
  <conditionalFormatting sqref="T9">
    <cfRule type="expression" dxfId="49" priority="280">
      <formula>$W$9</formula>
    </cfRule>
  </conditionalFormatting>
  <conditionalFormatting sqref="AK15:AK18">
    <cfRule type="expression" dxfId="48" priority="32">
      <formula>$AI15=""</formula>
    </cfRule>
  </conditionalFormatting>
  <conditionalFormatting sqref="AK14">
    <cfRule type="expression" dxfId="47" priority="17">
      <formula>$Z$12=1</formula>
    </cfRule>
    <cfRule type="expression" dxfId="46" priority="31">
      <formula>$E14=""</formula>
    </cfRule>
  </conditionalFormatting>
  <conditionalFormatting sqref="AK13">
    <cfRule type="expression" dxfId="45" priority="30">
      <formula>$E13=""</formula>
    </cfRule>
  </conditionalFormatting>
  <conditionalFormatting sqref="E13">
    <cfRule type="expression" dxfId="44" priority="10">
      <formula>$C$12="Manual Entry"</formula>
    </cfRule>
    <cfRule type="expression" dxfId="43" priority="24">
      <formula>AND($C$14="Manual",$C$12="Exponential Growth")</formula>
    </cfRule>
    <cfRule type="expression" dxfId="42" priority="27">
      <formula>$C$13&lt;&gt;"Manual"</formula>
    </cfRule>
  </conditionalFormatting>
  <conditionalFormatting sqref="E14">
    <cfRule type="expression" dxfId="41" priority="8">
      <formula>AND($C$12="SIR Model",$C$13="Manual")</formula>
    </cfRule>
    <cfRule type="expression" dxfId="40" priority="11">
      <formula>OR($C$12="Manual Entry",$C$12="SIR Model")</formula>
    </cfRule>
    <cfRule type="expression" dxfId="39" priority="25">
      <formula>$C$13="Manual"</formula>
    </cfRule>
    <cfRule type="expression" dxfId="38" priority="26">
      <formula>$C$14&lt;&gt;"Manual"</formula>
    </cfRule>
  </conditionalFormatting>
  <conditionalFormatting sqref="B14:C14">
    <cfRule type="expression" dxfId="37" priority="23">
      <formula>$C$12="SIR Model"</formula>
    </cfRule>
  </conditionalFormatting>
  <conditionalFormatting sqref="AI15:AI18">
    <cfRule type="expression" dxfId="36" priority="295">
      <formula>OR(AI14&gt;=$Z$12,AI14="""")</formula>
    </cfRule>
  </conditionalFormatting>
  <conditionalFormatting sqref="AI15:AN18 AI10:AN13 AJ9:AN9 AI7">
    <cfRule type="expression" dxfId="35" priority="20">
      <formula>$Z$12=1</formula>
    </cfRule>
  </conditionalFormatting>
  <conditionalFormatting sqref="AI14">
    <cfRule type="expression" dxfId="34" priority="19">
      <formula>$Z$12=1</formula>
    </cfRule>
  </conditionalFormatting>
  <conditionalFormatting sqref="AJ14">
    <cfRule type="expression" dxfId="33" priority="18" stopIfTrue="1">
      <formula>$Z$12=1</formula>
    </cfRule>
  </conditionalFormatting>
  <conditionalFormatting sqref="AM14">
    <cfRule type="expression" dxfId="32" priority="15">
      <formula>$Z$12=1</formula>
    </cfRule>
  </conditionalFormatting>
  <conditionalFormatting sqref="AN14">
    <cfRule type="expression" dxfId="31" priority="14">
      <formula>$Z$12=1</formula>
    </cfRule>
  </conditionalFormatting>
  <conditionalFormatting sqref="O15:U15 O16:T16 O11 O17 Z7:Z8 P9:Y10 O7 V17:AH18 R11 T11:AH11 O12:AH13 O14:AD14 AF14:AH14 X15:AH16 U16">
    <cfRule type="expression" dxfId="30" priority="13">
      <formula>$C$12&lt;&gt;"SIR Model"</formula>
    </cfRule>
  </conditionalFormatting>
  <conditionalFormatting sqref="AL15:AL18">
    <cfRule type="expression" dxfId="29" priority="297">
      <formula>$AE$15=1</formula>
    </cfRule>
    <cfRule type="expression" dxfId="28" priority="298">
      <formula>$AE$15=2</formula>
    </cfRule>
  </conditionalFormatting>
  <conditionalFormatting sqref="AL14">
    <cfRule type="expression" dxfId="27" priority="299">
      <formula>$AE$15=1</formula>
    </cfRule>
    <cfRule type="expression" dxfId="26" priority="300">
      <formula>$AE$15=2</formula>
    </cfRule>
  </conditionalFormatting>
  <conditionalFormatting sqref="AL13">
    <cfRule type="expression" dxfId="25" priority="301">
      <formula>$AE$15=1</formula>
    </cfRule>
    <cfRule type="expression" dxfId="24" priority="302">
      <formula>$AE$15=2</formula>
    </cfRule>
  </conditionalFormatting>
  <conditionalFormatting sqref="AK15:AK18">
    <cfRule type="expression" dxfId="23" priority="303">
      <formula>$AE$15=2</formula>
    </cfRule>
    <cfRule type="expression" dxfId="22" priority="304">
      <formula>$AE$15=1</formula>
    </cfRule>
  </conditionalFormatting>
  <conditionalFormatting sqref="AK14">
    <cfRule type="expression" dxfId="21" priority="305">
      <formula>$AE$15=2</formula>
    </cfRule>
    <cfRule type="expression" dxfId="20" priority="306">
      <formula>$AE$15=1</formula>
    </cfRule>
  </conditionalFormatting>
  <conditionalFormatting sqref="AK13">
    <cfRule type="expression" dxfId="19" priority="307">
      <formula>$AE$15=2</formula>
    </cfRule>
    <cfRule type="expression" dxfId="18" priority="308">
      <formula>$AE$15=1</formula>
    </cfRule>
  </conditionalFormatting>
  <conditionalFormatting sqref="Q7 AB7">
    <cfRule type="expression" dxfId="17" priority="7">
      <formula>$C$12&lt;&gt;"SIR Model"</formula>
    </cfRule>
  </conditionalFormatting>
  <conditionalFormatting sqref="AK13:AK18">
    <cfRule type="expression" dxfId="16" priority="6">
      <formula>$AE$15=2</formula>
    </cfRule>
  </conditionalFormatting>
  <conditionalFormatting sqref="AK13:AM18">
    <cfRule type="expression" dxfId="15" priority="4">
      <formula>$Z$12=1</formula>
    </cfRule>
  </conditionalFormatting>
  <conditionalFormatting sqref="G12">
    <cfRule type="expression" dxfId="14" priority="3">
      <formula>AND($C$13="",$C$12&lt;&gt;"Manual Entry")</formula>
    </cfRule>
  </conditionalFormatting>
  <conditionalFormatting sqref="AL13:AL18">
    <cfRule type="expression" dxfId="13" priority="1">
      <formula>$Z$12=1</formula>
    </cfRule>
    <cfRule type="expression" dxfId="12" priority="2">
      <formula>$AE$15=1</formula>
    </cfRule>
  </conditionalFormatting>
  <dataValidations count="12">
    <dataValidation type="list" allowBlank="1" showInputMessage="1" showErrorMessage="1" sqref="H13" xr:uid="{00000000-0002-0000-0500-000000000000}">
      <formula1>"0,1"</formula1>
    </dataValidation>
    <dataValidation type="decimal" allowBlank="1" showInputMessage="1" showErrorMessage="1" sqref="E13 H17 R15:R16" xr:uid="{00000000-0002-0000-0500-000001000000}">
      <formula1>0</formula1>
      <formula2>1</formula2>
    </dataValidation>
    <dataValidation type="list" allowBlank="1" showInputMessage="1" showErrorMessage="1" sqref="H16" xr:uid="{00000000-0002-0000-0500-000002000000}">
      <formula1>"Targeted, All Suspected Cases"</formula1>
    </dataValidation>
    <dataValidation type="decimal" allowBlank="1" showInputMessage="1" showErrorMessage="1" sqref="H18 C16:C18" xr:uid="{00000000-0002-0000-0500-000003000000}">
      <formula1>0</formula1>
      <formula2>1000000</formula2>
    </dataValidation>
    <dataValidation type="decimal" allowBlank="1" showInputMessage="1" showErrorMessage="1" sqref="J17:J18 K18" xr:uid="{00000000-0002-0000-0500-000004000000}">
      <formula1>0</formula1>
      <formula2>100000</formula2>
    </dataValidation>
    <dataValidation type="whole" allowBlank="1" showInputMessage="1" showErrorMessage="1" errorTitle="Error:" error="Must be less than or equal to &quot;Max # of weeks needed to forecast equipment (#)&quot; in cell above" sqref="I12" xr:uid="{00000000-0002-0000-0500-000005000000}">
      <formula1>1</formula1>
      <formula2>C46</formula2>
    </dataValidation>
    <dataValidation type="whole" errorStyle="warning" operator="greaterThanOrEqual" allowBlank="1" showInputMessage="1" sqref="R12" xr:uid="{00000000-0002-0000-0500-000006000000}">
      <formula1>1</formula1>
    </dataValidation>
    <dataValidation type="whole" operator="greaterThanOrEqual" allowBlank="1" showInputMessage="1" showErrorMessage="1" errorTitle="Please enter a positive integer" error="Please enter a positive integer" sqref="X16" xr:uid="{00000000-0002-0000-0500-000007000000}">
      <formula1>0</formula1>
    </dataValidation>
    <dataValidation type="whole" allowBlank="1" showInputMessage="1" showErrorMessage="1" sqref="Z12" xr:uid="{00000000-0002-0000-0500-000008000000}">
      <formula1>1</formula1>
      <formula2>5</formula2>
    </dataValidation>
    <dataValidation type="whole" operator="greaterThanOrEqual" allowBlank="1" showInputMessage="1" showErrorMessage="1" error="Stage start day must be on or after the previous stage's start day" sqref="AJ15:AJ18" xr:uid="{00000000-0002-0000-0500-000009000000}">
      <formula1>AJ14</formula1>
    </dataValidation>
    <dataValidation type="decimal" operator="greaterThanOrEqual" allowBlank="1" showInputMessage="1" showErrorMessage="1" sqref="R14 AK15:AL18" xr:uid="{00000000-0002-0000-0500-00000A000000}">
      <formula1>0</formula1>
    </dataValidation>
    <dataValidation type="whole" allowBlank="1" showInputMessage="1" showErrorMessage="1" error="Must be less than total number of cases input on 'Inputs' tab" sqref="R13" xr:uid="{00000000-0002-0000-0500-00000B000000}">
      <formula1>0</formula1>
      <formula2>Current_known_cases-1</formula2>
    </dataValidation>
  </dataValidations>
  <hyperlinks>
    <hyperlink ref="E12" location="'Patient Calcs'!B71" display="Jump to Manual Case Estimation" xr:uid="{00000000-0004-0000-0500-000000000000}"/>
    <hyperlink ref="D11" location="'User Dashboard'!Z7" display="Edit SIR Model" xr:uid="{00000000-0004-0000-0500-000001000000}"/>
    <hyperlink ref="Z17:AB18" location="'User Dashboard'!A7" display="Jump back to Dashboard inputs" xr:uid="{00000000-0004-0000-0500-000002000000}"/>
    <hyperlink ref="J10" location="Inputs!B17" display="Country/Territory Selection" xr:uid="{00000000-0004-0000-0500-000003000000}"/>
    <hyperlink ref="J11" location="Inputs!B33" display="Health Care Workers (HCW) and Care Staff" xr:uid="{00000000-0004-0000-0500-000004000000}"/>
    <hyperlink ref="G98" location="'User Dashboard'!A1" display="Back to top" xr:uid="{00000000-0004-0000-0500-000005000000}"/>
    <hyperlink ref="J9:K9" location="'User Dashboard'!B97" display="High-Level Summary" xr:uid="{00000000-0004-0000-0500-000006000000}"/>
    <hyperlink ref="J10:K10" location="'User Dashboard'!B118" display="Care Staff &amp; Patients" xr:uid="{00000000-0004-0000-0500-000007000000}"/>
    <hyperlink ref="J11:K11" location="'User Dashboard'!B147" display="Commodity Quantification" xr:uid="{00000000-0004-0000-0500-000008000000}"/>
    <hyperlink ref="D113" location="'User Dashboard'!A1" display="Back to top" xr:uid="{00000000-0004-0000-0500-000009000000}"/>
    <hyperlink ref="D148" location="'User Dashboard'!A1" display="Back to top" xr:uid="{00000000-0004-0000-0500-00000A000000}"/>
  </hyperlinks>
  <pageMargins left="0.7" right="0.7" top="0.75" bottom="0.75" header="0.3" footer="0.3"/>
  <pageSetup orientation="portrait" r:id="rId1"/>
  <ignoredErrors>
    <ignoredError sqref="I12:J12" unlockedFormula="1"/>
    <ignoredError sqref="L137:BD137 L141:BD14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locked="0" defaultSize="0" autoFill="0" autoLine="0" autoPict="0">
                <anchor moveWithCells="1">
                  <from>
                    <xdr:col>18</xdr:col>
                    <xdr:colOff>1057275</xdr:colOff>
                    <xdr:row>8</xdr:row>
                    <xdr:rowOff>28575</xdr:rowOff>
                  </from>
                  <to>
                    <xdr:col>22</xdr:col>
                    <xdr:colOff>66675</xdr:colOff>
                    <xdr:row>9</xdr:row>
                    <xdr:rowOff>142875</xdr:rowOff>
                  </to>
                </anchor>
              </controlPr>
            </control>
          </mc:Choice>
        </mc:AlternateContent>
        <mc:AlternateContent xmlns:mc="http://schemas.openxmlformats.org/markup-compatibility/2006">
          <mc:Choice Requires="x14">
            <control shapeId="2081" r:id="rId5" name="Option Button 33">
              <controlPr locked="0" defaultSize="0" autoFill="0" autoLine="0" autoPict="0">
                <anchor moveWithCells="1">
                  <from>
                    <xdr:col>25</xdr:col>
                    <xdr:colOff>219075</xdr:colOff>
                    <xdr:row>13</xdr:row>
                    <xdr:rowOff>66675</xdr:rowOff>
                  </from>
                  <to>
                    <xdr:col>28</xdr:col>
                    <xdr:colOff>180975</xdr:colOff>
                    <xdr:row>13</xdr:row>
                    <xdr:rowOff>390525</xdr:rowOff>
                  </to>
                </anchor>
              </controlPr>
            </control>
          </mc:Choice>
        </mc:AlternateContent>
        <mc:AlternateContent xmlns:mc="http://schemas.openxmlformats.org/markup-compatibility/2006">
          <mc:Choice Requires="x14">
            <control shapeId="2082" r:id="rId6" name="Option Button 34">
              <controlPr locked="0" defaultSize="0" autoFill="0" autoLine="0" autoPict="0">
                <anchor moveWithCells="1">
                  <from>
                    <xdr:col>25</xdr:col>
                    <xdr:colOff>219075</xdr:colOff>
                    <xdr:row>13</xdr:row>
                    <xdr:rowOff>485775</xdr:rowOff>
                  </from>
                  <to>
                    <xdr:col>27</xdr:col>
                    <xdr:colOff>323850</xdr:colOff>
                    <xdr:row>15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0" id="{6575FF29-47A9-4AE2-8780-A027D64E8FAD}">
            <xm:f>IF($G$117&lt;SUM('HCW &amp; Staff'!$D$9:$D$10),TRUE,FALSE)</xm:f>
            <x14:dxf>
              <font>
                <color theme="0"/>
              </font>
              <fill>
                <patternFill>
                  <bgColor theme="0"/>
                </patternFill>
              </fill>
              <border>
                <left/>
                <right/>
                <top/>
                <bottom/>
                <vertical/>
                <horizontal/>
              </border>
            </x14:dxf>
          </x14:cfRule>
          <xm:sqref>B117 G117:J117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C000000}">
          <x14:formula1>
            <xm:f>lists!$B$26:$B$30</xm:f>
          </x14:formula1>
          <xm:sqref>C13</xm:sqref>
        </x14:dataValidation>
        <x14:dataValidation type="list" allowBlank="1" showInputMessage="1" showErrorMessage="1" xr:uid="{00000000-0002-0000-0500-00000D000000}">
          <x14:formula1>
            <xm:f>lists!$B$33:$B$35</xm:f>
          </x14:formula1>
          <xm:sqref>C12</xm:sqref>
        </x14:dataValidation>
        <x14:dataValidation type="list" allowBlank="1" showInputMessage="1" showErrorMessage="1" xr:uid="{00000000-0002-0000-0500-00000E000000}">
          <x14:formula1>
            <xm:f>'Back Calculations'!$B$89:$B$95</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1E7FB8"/>
  </sheetPr>
  <dimension ref="A2:BG241"/>
  <sheetViews>
    <sheetView showGridLines="0" topLeftCell="A2" zoomScale="70" zoomScaleNormal="70" workbookViewId="0">
      <pane xSplit="4" ySplit="13" topLeftCell="E15" activePane="bottomRight" state="frozen"/>
      <selection activeCell="A2" sqref="A2"/>
      <selection pane="topRight" activeCell="E2" sqref="E2"/>
      <selection pane="bottomLeft" activeCell="A15" sqref="A15"/>
      <selection pane="bottomRight" activeCell="A2" sqref="A2"/>
    </sheetView>
  </sheetViews>
  <sheetFormatPr defaultColWidth="8.40625" defaultRowHeight="14.75" x14ac:dyDescent="0.75"/>
  <cols>
    <col min="1" max="1" width="5" customWidth="1"/>
    <col min="2" max="2" width="23.40625" style="84" customWidth="1"/>
    <col min="3" max="3" width="21.40625" style="84" bestFit="1" customWidth="1"/>
    <col min="4" max="4" width="41.40625" customWidth="1"/>
    <col min="5" max="5" width="10.40625" style="132" customWidth="1"/>
    <col min="6" max="6" width="14.40625" customWidth="1"/>
    <col min="7" max="7" width="39.40625" customWidth="1"/>
    <col min="8" max="8" width="25.1328125" style="132" customWidth="1"/>
    <col min="9" max="9" width="19.86328125" customWidth="1"/>
    <col min="10" max="10" width="14.40625" customWidth="1"/>
    <col min="11" max="12" width="13.40625" customWidth="1"/>
    <col min="13" max="13" width="14" customWidth="1"/>
    <col min="14" max="14" width="13.7265625" style="804" customWidth="1"/>
    <col min="15" max="15" width="14.40625" style="132" customWidth="1"/>
    <col min="16" max="16" width="15.40625" style="132" customWidth="1"/>
    <col min="17" max="17" width="13" customWidth="1"/>
    <col min="18" max="19" width="11.40625" style="132" customWidth="1"/>
    <col min="20" max="20" width="10.40625" style="132" customWidth="1"/>
    <col min="21" max="21" width="14.40625" customWidth="1"/>
    <col min="22" max="22" width="3" customWidth="1"/>
    <col min="23" max="23" width="12.40625" bestFit="1" customWidth="1"/>
    <col min="24" max="24" width="10" bestFit="1" customWidth="1"/>
    <col min="25" max="25" width="13.40625" bestFit="1" customWidth="1"/>
    <col min="26" max="26" width="6.40625" customWidth="1"/>
    <col min="28" max="28" width="10" bestFit="1" customWidth="1"/>
    <col min="29" max="29" width="12.40625" bestFit="1" customWidth="1"/>
    <col min="30" max="30" width="4.40625" customWidth="1"/>
    <col min="31" max="31" width="14.26953125" style="132" customWidth="1"/>
    <col min="32" max="32" width="12.40625" style="132" bestFit="1" customWidth="1"/>
    <col min="33" max="33" width="11.40625" style="132" bestFit="1" customWidth="1"/>
    <col min="34" max="34" width="3.40625" hidden="1" customWidth="1"/>
    <col min="35" max="39" width="8.40625" hidden="1" customWidth="1"/>
    <col min="40" max="40" width="15.40625" hidden="1" customWidth="1"/>
    <col min="41" max="41" width="8.40625" hidden="1" customWidth="1"/>
    <col min="42" max="46" width="8.40625" style="132" hidden="1" customWidth="1"/>
    <col min="47" max="47" width="15.40625" style="132" hidden="1" customWidth="1"/>
    <col min="48" max="48" width="8.40625" style="132" hidden="1" customWidth="1"/>
    <col min="49" max="55" width="8.40625" hidden="1" customWidth="1"/>
    <col min="56" max="56" width="8.40625" customWidth="1"/>
    <col min="57" max="57" width="13.40625" customWidth="1"/>
    <col min="58" max="58" width="16.40625" customWidth="1"/>
  </cols>
  <sheetData>
    <row r="2" spans="2:59" s="24" customFormat="1" ht="18.5" x14ac:dyDescent="0.9">
      <c r="B2" s="576" t="s">
        <v>1858</v>
      </c>
      <c r="C2" s="576"/>
      <c r="F2" s="25"/>
      <c r="G2" s="25"/>
      <c r="H2" s="25"/>
      <c r="I2" s="25"/>
    </row>
    <row r="3" spans="2:59" ht="15.5" thickBot="1" x14ac:dyDescent="0.9">
      <c r="B3" s="815" t="s">
        <v>1445</v>
      </c>
      <c r="F3" s="6"/>
      <c r="G3" s="34"/>
      <c r="H3" s="34"/>
    </row>
    <row r="4" spans="2:59" ht="15.5" thickBot="1" x14ac:dyDescent="0.9">
      <c r="B4" s="1376" t="s">
        <v>1859</v>
      </c>
      <c r="C4" s="1377"/>
      <c r="D4" s="1378"/>
      <c r="E4" s="297"/>
      <c r="G4" s="170" t="s">
        <v>1526</v>
      </c>
      <c r="H4"/>
      <c r="J4" s="1498" t="s">
        <v>1530</v>
      </c>
      <c r="K4" s="1499"/>
      <c r="M4" s="1490" t="s">
        <v>1527</v>
      </c>
      <c r="N4" s="1500"/>
      <c r="O4" s="1491"/>
    </row>
    <row r="5" spans="2:59" s="43" customFormat="1" ht="15" customHeight="1" x14ac:dyDescent="0.75">
      <c r="B5" s="1379"/>
      <c r="C5" s="1380"/>
      <c r="D5" s="1381"/>
      <c r="E5" s="297"/>
      <c r="F5" s="6"/>
      <c r="G5" s="169" t="s">
        <v>297</v>
      </c>
      <c r="H5" s="298"/>
      <c r="I5"/>
      <c r="J5" s="1492" t="s">
        <v>868</v>
      </c>
      <c r="K5" s="1493"/>
      <c r="M5" s="1492" t="s">
        <v>1528</v>
      </c>
      <c r="N5" s="1501"/>
      <c r="O5" s="1493"/>
      <c r="P5" s="132"/>
      <c r="R5" s="132"/>
      <c r="S5" s="132"/>
      <c r="T5" s="132"/>
      <c r="AE5" s="132"/>
      <c r="AF5" s="132"/>
      <c r="AG5" s="132"/>
      <c r="AH5"/>
      <c r="AP5" s="132"/>
      <c r="AQ5" s="132"/>
      <c r="AR5" s="132"/>
      <c r="AS5" s="132"/>
      <c r="AT5" s="132"/>
      <c r="AU5" s="132"/>
      <c r="AV5" s="132"/>
    </row>
    <row r="6" spans="2:59" s="142" customFormat="1" ht="15" customHeight="1" x14ac:dyDescent="0.75">
      <c r="B6" s="1379"/>
      <c r="C6" s="1380"/>
      <c r="D6" s="1381"/>
      <c r="E6" s="297"/>
      <c r="F6" s="143"/>
      <c r="G6" s="169" t="s">
        <v>263</v>
      </c>
      <c r="H6" s="298"/>
      <c r="I6"/>
      <c r="J6" s="1492" t="s">
        <v>869</v>
      </c>
      <c r="K6" s="1493"/>
      <c r="M6" s="1492" t="s">
        <v>1622</v>
      </c>
      <c r="N6" s="1501"/>
      <c r="O6" s="1493"/>
      <c r="AH6"/>
    </row>
    <row r="7" spans="2:59" s="142" customFormat="1" ht="15" customHeight="1" x14ac:dyDescent="0.75">
      <c r="B7" s="1379"/>
      <c r="C7" s="1380"/>
      <c r="D7" s="1381"/>
      <c r="E7" s="297"/>
      <c r="F7" s="143"/>
      <c r="G7" s="169" t="s">
        <v>262</v>
      </c>
      <c r="H7" s="298"/>
      <c r="I7"/>
      <c r="J7" s="1492" t="s">
        <v>865</v>
      </c>
      <c r="K7" s="1493"/>
      <c r="M7" s="1492" t="s">
        <v>1529</v>
      </c>
      <c r="N7" s="1501"/>
      <c r="O7" s="1493"/>
      <c r="AH7"/>
    </row>
    <row r="8" spans="2:59" ht="15.5" thickBot="1" x14ac:dyDescent="0.9">
      <c r="B8" s="1379"/>
      <c r="C8" s="1380"/>
      <c r="D8" s="1381"/>
      <c r="E8" s="5"/>
      <c r="F8" s="6"/>
      <c r="G8" s="779" t="s">
        <v>614</v>
      </c>
      <c r="H8" s="298"/>
      <c r="J8" s="1494" t="s">
        <v>866</v>
      </c>
      <c r="K8" s="1495"/>
      <c r="M8" s="1494" t="s">
        <v>286</v>
      </c>
      <c r="N8" s="1502"/>
      <c r="O8" s="1495"/>
      <c r="Q8" s="34"/>
      <c r="R8" s="34"/>
      <c r="S8" s="34"/>
      <c r="T8" s="34"/>
      <c r="U8" s="34"/>
      <c r="V8" s="34"/>
      <c r="W8" s="34"/>
      <c r="X8" s="34"/>
      <c r="Y8" s="34"/>
      <c r="Z8" s="34"/>
      <c r="AA8" s="34"/>
      <c r="AB8" s="34"/>
    </row>
    <row r="9" spans="2:59" s="804" customFormat="1" ht="15.5" thickBot="1" x14ac:dyDescent="0.9">
      <c r="B9" s="1382"/>
      <c r="C9" s="1383"/>
      <c r="D9" s="1384"/>
      <c r="E9" s="5"/>
      <c r="F9" s="6"/>
      <c r="G9" s="298"/>
      <c r="H9" s="298"/>
      <c r="Q9" s="34"/>
      <c r="R9" s="34"/>
      <c r="S9" s="34"/>
      <c r="T9" s="34"/>
      <c r="U9" s="34"/>
      <c r="V9" s="34"/>
      <c r="W9" s="34"/>
      <c r="X9" s="34"/>
      <c r="Y9" s="34"/>
      <c r="Z9" s="34"/>
      <c r="AA9" s="34"/>
      <c r="AB9" s="34"/>
    </row>
    <row r="11" spans="2:59" s="254" customFormat="1" ht="18.5" x14ac:dyDescent="0.75">
      <c r="B11" s="677" t="s">
        <v>1394</v>
      </c>
      <c r="C11" s="674"/>
    </row>
    <row r="12" spans="2:59" ht="14.9" customHeight="1" thickBot="1" x14ac:dyDescent="0.9">
      <c r="B12"/>
      <c r="C12"/>
      <c r="E12"/>
      <c r="H12"/>
      <c r="O12"/>
      <c r="P12"/>
      <c r="R12"/>
      <c r="S12"/>
      <c r="T12"/>
      <c r="AE12"/>
      <c r="AF12"/>
      <c r="AG12"/>
      <c r="AI12" s="432" t="s">
        <v>1402</v>
      </c>
      <c r="AJ12" s="432" t="s">
        <v>1402</v>
      </c>
      <c r="AK12" s="432" t="s">
        <v>1402</v>
      </c>
      <c r="AL12" s="432" t="s">
        <v>1402</v>
      </c>
      <c r="AM12" s="432" t="s">
        <v>1402</v>
      </c>
      <c r="AN12" s="432" t="s">
        <v>1402</v>
      </c>
      <c r="AO12" s="432" t="s">
        <v>1402</v>
      </c>
      <c r="AP12" s="432" t="s">
        <v>1402</v>
      </c>
      <c r="AQ12" s="432" t="s">
        <v>1402</v>
      </c>
      <c r="AR12" s="432" t="s">
        <v>1402</v>
      </c>
      <c r="AS12" s="432" t="s">
        <v>1402</v>
      </c>
      <c r="AT12" s="432" t="s">
        <v>1402</v>
      </c>
      <c r="AU12" s="432" t="s">
        <v>1402</v>
      </c>
      <c r="AV12" s="432" t="s">
        <v>1402</v>
      </c>
      <c r="AW12" s="432" t="s">
        <v>1402</v>
      </c>
      <c r="AX12" s="432" t="s">
        <v>1402</v>
      </c>
      <c r="AY12" s="432" t="s">
        <v>1402</v>
      </c>
      <c r="AZ12" s="432" t="s">
        <v>1402</v>
      </c>
      <c r="BA12" s="432" t="s">
        <v>1402</v>
      </c>
      <c r="BB12" s="432" t="s">
        <v>1402</v>
      </c>
      <c r="BC12" s="432" t="s">
        <v>1402</v>
      </c>
    </row>
    <row r="13" spans="2:59" s="132" customFormat="1" ht="30.65" customHeight="1" thickBot="1" x14ac:dyDescent="0.95">
      <c r="B13" s="84"/>
      <c r="C13" s="84"/>
      <c r="D13" s="350"/>
      <c r="E13" s="1505" t="s">
        <v>1395</v>
      </c>
      <c r="F13" s="1505"/>
      <c r="G13" s="1505"/>
      <c r="H13" s="1505"/>
      <c r="I13"/>
      <c r="J13" s="1511" t="s">
        <v>1872</v>
      </c>
      <c r="K13" s="1512"/>
      <c r="L13" s="1512"/>
      <c r="M13" s="1512"/>
      <c r="N13" s="1512"/>
      <c r="O13" s="1512"/>
      <c r="P13" s="1512"/>
      <c r="Q13" s="1512"/>
      <c r="R13" s="1513"/>
      <c r="S13" s="1513"/>
      <c r="T13" s="1513"/>
      <c r="U13" s="1514"/>
      <c r="W13" s="1518" t="s">
        <v>1875</v>
      </c>
      <c r="X13" s="1519"/>
      <c r="Y13" s="1520"/>
      <c r="Z13" s="70"/>
      <c r="AA13" s="1515" t="s">
        <v>1874</v>
      </c>
      <c r="AB13" s="1516"/>
      <c r="AC13" s="1517"/>
      <c r="AE13" s="1515" t="s">
        <v>1873</v>
      </c>
      <c r="AF13" s="1516"/>
      <c r="AG13" s="1517"/>
      <c r="AH13"/>
      <c r="AI13" s="1508" t="s">
        <v>968</v>
      </c>
      <c r="AJ13" s="1509"/>
      <c r="AK13" s="1509"/>
      <c r="AL13" s="1509"/>
      <c r="AM13" s="1509"/>
      <c r="AN13" s="1510"/>
      <c r="AP13" s="1508" t="s">
        <v>1026</v>
      </c>
      <c r="AQ13" s="1509"/>
      <c r="AR13" s="1509"/>
      <c r="AS13" s="1509"/>
      <c r="AT13" s="1509"/>
      <c r="AU13" s="1510"/>
      <c r="AW13" s="1508" t="s">
        <v>970</v>
      </c>
      <c r="AX13" s="1509"/>
      <c r="AY13" s="1509"/>
      <c r="AZ13" s="1509"/>
      <c r="BA13" s="1509"/>
      <c r="BB13" s="1509"/>
      <c r="BC13" s="1510"/>
      <c r="BE13" s="1503" t="s">
        <v>906</v>
      </c>
      <c r="BF13" s="1504"/>
    </row>
    <row r="14" spans="2:59" s="1" customFormat="1" ht="30.25" thickBot="1" x14ac:dyDescent="0.9">
      <c r="B14" s="855" t="s">
        <v>292</v>
      </c>
      <c r="C14" s="856" t="s">
        <v>294</v>
      </c>
      <c r="D14" s="856" t="s">
        <v>293</v>
      </c>
      <c r="E14" s="856" t="s">
        <v>287</v>
      </c>
      <c r="F14" s="856" t="s">
        <v>276</v>
      </c>
      <c r="G14" s="857" t="s">
        <v>795</v>
      </c>
      <c r="H14" s="858" t="s">
        <v>828</v>
      </c>
      <c r="J14" s="860" t="s">
        <v>270</v>
      </c>
      <c r="K14" s="861" t="s">
        <v>1262</v>
      </c>
      <c r="L14" s="861" t="s">
        <v>1592</v>
      </c>
      <c r="M14" s="861" t="s">
        <v>1614</v>
      </c>
      <c r="N14" s="861" t="s">
        <v>1618</v>
      </c>
      <c r="O14" s="859" t="s">
        <v>1005</v>
      </c>
      <c r="P14" s="859" t="s">
        <v>1006</v>
      </c>
      <c r="Q14" s="859" t="s">
        <v>1015</v>
      </c>
      <c r="R14" s="859" t="s">
        <v>1016</v>
      </c>
      <c r="S14" s="859" t="s">
        <v>1017</v>
      </c>
      <c r="T14" s="859" t="s">
        <v>1018</v>
      </c>
      <c r="U14" s="728" t="s">
        <v>906</v>
      </c>
      <c r="W14" s="860" t="s">
        <v>1592</v>
      </c>
      <c r="X14" s="859" t="s">
        <v>282</v>
      </c>
      <c r="Y14" s="728" t="s">
        <v>906</v>
      </c>
      <c r="AA14" s="860" t="s">
        <v>270</v>
      </c>
      <c r="AB14" s="859" t="s">
        <v>282</v>
      </c>
      <c r="AC14" s="728" t="s">
        <v>906</v>
      </c>
      <c r="AE14" s="860" t="s">
        <v>1593</v>
      </c>
      <c r="AF14" s="861" t="s">
        <v>1262</v>
      </c>
      <c r="AG14" s="728" t="s">
        <v>906</v>
      </c>
      <c r="AI14" s="585" t="s">
        <v>270</v>
      </c>
      <c r="AJ14" s="586" t="s">
        <v>271</v>
      </c>
      <c r="AK14" s="586" t="s">
        <v>283</v>
      </c>
      <c r="AL14" s="849" t="s">
        <v>282</v>
      </c>
      <c r="AM14" s="589" t="s">
        <v>309</v>
      </c>
      <c r="AN14" s="587" t="s">
        <v>906</v>
      </c>
      <c r="AP14" s="585" t="s">
        <v>270</v>
      </c>
      <c r="AQ14" s="586" t="s">
        <v>271</v>
      </c>
      <c r="AR14" s="586" t="s">
        <v>283</v>
      </c>
      <c r="AS14" s="849" t="s">
        <v>282</v>
      </c>
      <c r="AT14" s="589" t="s">
        <v>309</v>
      </c>
      <c r="AU14" s="587" t="s">
        <v>906</v>
      </c>
      <c r="AW14" s="585" t="s">
        <v>270</v>
      </c>
      <c r="AX14" s="586" t="s">
        <v>271</v>
      </c>
      <c r="AY14" s="586" t="s">
        <v>283</v>
      </c>
      <c r="AZ14" s="586" t="s">
        <v>284</v>
      </c>
      <c r="BA14" s="588" t="s">
        <v>282</v>
      </c>
      <c r="BB14" s="589" t="s">
        <v>309</v>
      </c>
      <c r="BC14" s="587" t="s">
        <v>906</v>
      </c>
      <c r="BE14" s="866" t="s">
        <v>969</v>
      </c>
      <c r="BF14" s="728" t="s">
        <v>912</v>
      </c>
    </row>
    <row r="15" spans="2:59" x14ac:dyDescent="0.75">
      <c r="B15" s="685" t="s">
        <v>295</v>
      </c>
      <c r="C15" s="686" t="s">
        <v>297</v>
      </c>
      <c r="D15" s="687" t="s">
        <v>298</v>
      </c>
      <c r="E15" s="687" t="s">
        <v>274</v>
      </c>
      <c r="F15" s="1180" t="s">
        <v>592</v>
      </c>
      <c r="G15" s="688" t="s">
        <v>893</v>
      </c>
      <c r="H15" s="898">
        <v>3.5</v>
      </c>
      <c r="J15" s="904"/>
      <c r="K15" s="905">
        <v>0.03</v>
      </c>
      <c r="L15" s="905"/>
      <c r="M15" s="905">
        <v>0.03</v>
      </c>
      <c r="N15" s="905">
        <v>0.03</v>
      </c>
      <c r="O15" s="665"/>
      <c r="P15" s="666"/>
      <c r="Q15" s="667"/>
      <c r="R15" s="667"/>
      <c r="S15" s="667"/>
      <c r="T15" s="668"/>
      <c r="U15" s="290">
        <f ca="1">IFERROR(IF($F15="yes",MMULT(--(J15:N15&gt;0),--('HCW &amp; Staff'!$BH$22:$BH$26))*$C$113,MMULT(--(J15:N15),--('HCW &amp; Staff'!$BF$22:$BF$26))*$C$114),0)+IF('Equipment List &amp; Usage'!$F15="yes",$C$113,$C$114)*Total_Inpatients_in_beds_over_time*Q15</f>
        <v>8524.7923732673298</v>
      </c>
      <c r="W15" s="906"/>
      <c r="X15" s="907"/>
      <c r="Y15" s="290">
        <f>Total_caretaker*SelfQuarantine_Mild*7*W15+(Total_Mild_Outpatient*SelfQuarantine_Mild*7*X15)+(Total_moderate_outpatient*SelfQuarantine_Moderate*7*X15)</f>
        <v>0</v>
      </c>
      <c r="AA15" s="919"/>
      <c r="AB15" s="671"/>
      <c r="AC15" s="290">
        <f ca="1">IFERROR(IF($F15="yes",IF(AA15&gt;0,Max_HCW_for_outpatient*$C$113,0),Total_HCW_for_outpatient_over_time*'Equipment List &amp; Usage'!AA15*$C$114)+(Total_Mild_Outpatient*SelfQuarantine_Mild*7*AB15)+(Total_moderate_outpatient*7*AB15*SelfQuarantine_Moderate),0)</f>
        <v>0</v>
      </c>
      <c r="AE15" s="919">
        <v>0.1</v>
      </c>
      <c r="AF15" s="921">
        <v>0.03</v>
      </c>
      <c r="AG15" s="290">
        <f>IFERROR(IF($F15="yes",IF(AE15&gt;0,Max_Lab_HCWs*$C$113,0),Total_HCW_labs_over_time*'Equipment List &amp; Usage'!AE15*$C$114)+IF($F15="yes",IF(AF15&gt;0,Max_Lab_hygienists*$C$113,0),Total_hygienist_labs_over_time*'Equipment List &amp; Usage'!AF15*$C$114),0)</f>
        <v>2898</v>
      </c>
      <c r="AI15" s="841"/>
      <c r="AJ15" s="842">
        <v>0.03</v>
      </c>
      <c r="AK15" s="843"/>
      <c r="AL15" s="848"/>
      <c r="AM15" s="843"/>
      <c r="AN15" s="290"/>
      <c r="AP15" s="850"/>
      <c r="AQ15" s="835">
        <v>0.03</v>
      </c>
      <c r="AR15" s="851"/>
      <c r="AS15" s="851"/>
      <c r="AT15" s="851"/>
      <c r="AU15" s="290"/>
      <c r="AW15" s="288"/>
      <c r="AX15" s="286"/>
      <c r="AY15" s="286"/>
      <c r="AZ15" s="286"/>
      <c r="BA15" s="286"/>
      <c r="BB15" s="286"/>
      <c r="BC15" s="289"/>
      <c r="BE15" s="867">
        <f ca="1">SUM(BC15,AN15,AG15,AC15,Y15,U15)</f>
        <v>11422.79237326733</v>
      </c>
      <c r="BF15" s="868">
        <f ca="1">BE15*H15</f>
        <v>39979.773306435658</v>
      </c>
      <c r="BG15" s="132"/>
    </row>
    <row r="16" spans="2:59" x14ac:dyDescent="0.75">
      <c r="B16" s="582" t="s">
        <v>295</v>
      </c>
      <c r="C16" s="577" t="s">
        <v>297</v>
      </c>
      <c r="D16" s="235" t="s">
        <v>267</v>
      </c>
      <c r="E16" s="232" t="s">
        <v>272</v>
      </c>
      <c r="F16" s="1181" t="s">
        <v>592</v>
      </c>
      <c r="G16" s="233" t="s">
        <v>893</v>
      </c>
      <c r="H16" s="898">
        <v>8.3000000000000007</v>
      </c>
      <c r="J16" s="906">
        <v>3.3333333333333333E-2</v>
      </c>
      <c r="K16" s="907">
        <v>3.3333333333333333E-2</v>
      </c>
      <c r="L16" s="907"/>
      <c r="M16" s="907">
        <v>3.3333333333333333E-2</v>
      </c>
      <c r="N16" s="907">
        <v>3.3333333333333333E-2</v>
      </c>
      <c r="O16" s="669"/>
      <c r="P16" s="658"/>
      <c r="Q16" s="659"/>
      <c r="R16" s="659"/>
      <c r="S16" s="659"/>
      <c r="T16" s="670"/>
      <c r="U16" s="290">
        <f ca="1">IFERROR(IF($F16="yes",MMULT(--(J16:N16&gt;0),--('HCW &amp; Staff'!$BH$22:$BH$26))*$C$113,MMULT(--(J16:N16),--('HCW &amp; Staff'!$BF$22:$BF$26))*$C$114),0)+IF('Equipment List &amp; Usage'!$F16="yes",$C$113,$C$114)*Total_Inpatients_in_beds_over_time*Q16</f>
        <v>19103.863259367827</v>
      </c>
      <c r="W16" s="906">
        <v>3.3333333333333333E-2</v>
      </c>
      <c r="X16" s="907">
        <v>0.01</v>
      </c>
      <c r="Y16" s="290">
        <f>Total_caretaker*SelfQuarantine_Mild*7*W16+(Total_Mild_Outpatient*SelfQuarantine_Mild*7*X16)+(Total_moderate_outpatient*SelfQuarantine_Moderate*7*X16)</f>
        <v>78809.115280006125</v>
      </c>
      <c r="AA16" s="919">
        <v>0.03</v>
      </c>
      <c r="AB16" s="921">
        <v>0.01</v>
      </c>
      <c r="AC16" s="290">
        <f ca="1">IFERROR(IF($F16="yes",IF(AA16&gt;0,Max_HCW_for_outpatient*$C$113,0),Total_HCW_for_outpatient_over_time*'Equipment List &amp; Usage'!AA16*$C$114)+(Total_Mild_Outpatient*SelfQuarantine_Mild*7*AB16)+(Total_moderate_outpatient*7*AB16*SelfQuarantine_Moderate),0)</f>
        <v>18876.675912563394</v>
      </c>
      <c r="AE16" s="919">
        <v>0.03</v>
      </c>
      <c r="AF16" s="921">
        <v>0.03</v>
      </c>
      <c r="AG16" s="292">
        <f>IFERROR(IF($F16="yes",IF(AE16&gt;0,Max_Lab_HCWs*$C$113,0),Total_HCW_labs_over_time*'Equipment List &amp; Usage'!AE16*$C$114)+IF($F16="yes",IF(AF16&gt;0,Max_Lab_hygienists*$C$113,0),Total_hygienist_labs_over_time*'Equipment List &amp; Usage'!AF16*$C$114),0)</f>
        <v>1063.44</v>
      </c>
      <c r="AI16" s="841">
        <v>3.3333333333333333E-2</v>
      </c>
      <c r="AJ16" s="842">
        <v>3.3333333333333333E-2</v>
      </c>
      <c r="AK16" s="843">
        <v>0.01</v>
      </c>
      <c r="AL16" s="843">
        <v>0.01</v>
      </c>
      <c r="AM16" s="843"/>
      <c r="AN16" s="290"/>
      <c r="AP16" s="852">
        <v>0.03</v>
      </c>
      <c r="AQ16" s="837">
        <v>3.3333333333333333E-2</v>
      </c>
      <c r="AR16" s="836"/>
      <c r="AS16" s="836">
        <v>0.01</v>
      </c>
      <c r="AT16" s="836"/>
      <c r="AU16" s="290"/>
      <c r="AW16" s="283"/>
      <c r="AX16" s="270"/>
      <c r="AY16" s="270"/>
      <c r="AZ16" s="270"/>
      <c r="BA16" s="270"/>
      <c r="BB16" s="270"/>
      <c r="BC16" s="284"/>
      <c r="BE16" s="867">
        <f ca="1">SUM(BC16,AN16,AG16,AC16,Y16,U16)</f>
        <v>117853.09445193733</v>
      </c>
      <c r="BF16" s="868">
        <f ca="1">BE16*H16</f>
        <v>978180.68395107996</v>
      </c>
      <c r="BG16" s="132"/>
    </row>
    <row r="17" spans="2:59" x14ac:dyDescent="0.75">
      <c r="B17" s="582" t="s">
        <v>295</v>
      </c>
      <c r="C17" s="577" t="s">
        <v>297</v>
      </c>
      <c r="D17" s="235" t="s">
        <v>273</v>
      </c>
      <c r="E17" s="232" t="s">
        <v>272</v>
      </c>
      <c r="F17" s="1181" t="s">
        <v>592</v>
      </c>
      <c r="G17" s="233" t="s">
        <v>893</v>
      </c>
      <c r="H17" s="898">
        <v>0.9</v>
      </c>
      <c r="J17" s="906">
        <f>1/60</f>
        <v>1.6666666666666666E-2</v>
      </c>
      <c r="K17" s="908">
        <f>1/60</f>
        <v>1.6666666666666666E-2</v>
      </c>
      <c r="L17" s="907">
        <v>0.01</v>
      </c>
      <c r="M17" s="909">
        <f>1/60</f>
        <v>1.6666666666666666E-2</v>
      </c>
      <c r="N17" s="909">
        <f>1/60</f>
        <v>1.6666666666666666E-2</v>
      </c>
      <c r="O17" s="669"/>
      <c r="P17" s="658"/>
      <c r="Q17" s="295"/>
      <c r="R17" s="295"/>
      <c r="S17" s="295"/>
      <c r="T17" s="647"/>
      <c r="U17" s="290">
        <f ca="1">IFERROR(IF($F17="yes",MMULT(--(J17:N17&gt;0),--('HCW &amp; Staff'!$BH$22:$BH$26))*$C$113,MMULT(--(J17:N17),--('HCW &amp; Staff'!$BF$22:$BF$26))*$C$114),0)+IF('Equipment List &amp; Usage'!$F17="yes",$C$113,$C$114)*Total_Inpatients_in_beds_over_time*Q17</f>
        <v>9551.9316296839133</v>
      </c>
      <c r="W17" s="906"/>
      <c r="X17" s="907"/>
      <c r="Y17" s="290">
        <f>Total_caretaker*SelfQuarantine_Mild*7*W17+(Total_Mild_Outpatient*SelfQuarantine_Mild*7*X17)+(Total_moderate_outpatient*SelfQuarantine_Moderate*7*X17)</f>
        <v>0</v>
      </c>
      <c r="AA17" s="919">
        <v>0.02</v>
      </c>
      <c r="AB17" s="921">
        <v>0.01</v>
      </c>
      <c r="AC17" s="290">
        <f ca="1">IFERROR(IF($F17="yes",IF(AA17&gt;0,Max_HCW_for_outpatient*$C$113,0),Total_HCW_for_outpatient_over_time*'Equipment List &amp; Usage'!AA17*$C$114)+(Total_Mild_Outpatient*SelfQuarantine_Mild*7*AB17)+(Total_moderate_outpatient*7*AB17*SelfQuarantine_Moderate),0)</f>
        <v>18646.690245299145</v>
      </c>
      <c r="AE17" s="919">
        <v>0.02</v>
      </c>
      <c r="AF17" s="921">
        <v>0.02</v>
      </c>
      <c r="AG17" s="292">
        <f>IFERROR(IF($F17="yes",IF(AE17&gt;0,Max_Lab_HCWs*$C$113,0),Total_HCW_labs_over_time*'Equipment List &amp; Usage'!AE17*$C$114)+IF($F17="yes",IF(AF17&gt;0,Max_Lab_hygienists*$C$113,0),Total_hygienist_labs_over_time*'Equipment List &amp; Usage'!AF17*$C$114),0)</f>
        <v>708.96</v>
      </c>
      <c r="AI17" s="841">
        <f>1/60</f>
        <v>1.6666666666666666E-2</v>
      </c>
      <c r="AJ17" s="842">
        <f>1/60</f>
        <v>1.6666666666666666E-2</v>
      </c>
      <c r="AK17" s="843">
        <v>0.01</v>
      </c>
      <c r="AL17" s="843">
        <v>0.01</v>
      </c>
      <c r="AM17" s="843"/>
      <c r="AN17" s="290"/>
      <c r="AP17" s="852">
        <v>0.03</v>
      </c>
      <c r="AQ17" s="837">
        <f>1/60</f>
        <v>1.6666666666666666E-2</v>
      </c>
      <c r="AR17" s="836"/>
      <c r="AS17" s="836">
        <v>0.01</v>
      </c>
      <c r="AT17" s="836"/>
      <c r="AU17" s="290"/>
      <c r="AW17" s="283"/>
      <c r="AX17" s="270"/>
      <c r="AY17" s="270"/>
      <c r="AZ17" s="270"/>
      <c r="BA17" s="270"/>
      <c r="BB17" s="270"/>
      <c r="BC17" s="284"/>
      <c r="BE17" s="867">
        <f ca="1">SUM(BC17,AN17,AG17,AC17,Y17,U17)</f>
        <v>28907.581874983058</v>
      </c>
      <c r="BF17" s="868">
        <f ca="1">BE17*H17</f>
        <v>26016.823687484753</v>
      </c>
      <c r="BG17" s="132"/>
    </row>
    <row r="18" spans="2:59" ht="15.5" thickBot="1" x14ac:dyDescent="0.9">
      <c r="B18" s="689" t="s">
        <v>295</v>
      </c>
      <c r="C18" s="690" t="s">
        <v>297</v>
      </c>
      <c r="D18" s="691" t="s">
        <v>268</v>
      </c>
      <c r="E18" s="692" t="s">
        <v>289</v>
      </c>
      <c r="F18" s="1182" t="s">
        <v>592</v>
      </c>
      <c r="G18" s="693" t="s">
        <v>893</v>
      </c>
      <c r="H18" s="899">
        <v>0.15</v>
      </c>
      <c r="J18" s="910">
        <v>0.5</v>
      </c>
      <c r="K18" s="911">
        <v>0.5</v>
      </c>
      <c r="L18" s="911"/>
      <c r="M18" s="911">
        <v>0.5</v>
      </c>
      <c r="N18" s="911">
        <v>0.5</v>
      </c>
      <c r="O18" s="657"/>
      <c r="P18" s="661"/>
      <c r="Q18" s="864"/>
      <c r="R18" s="864"/>
      <c r="S18" s="864"/>
      <c r="T18" s="865"/>
      <c r="U18" s="334">
        <f ca="1">IFERROR(IF($F18="yes",MMULT(--(J18:N18&gt;0),--('HCW &amp; Staff'!$BH$22:$BH$26))*$C$113,MMULT(--(J18:N18),--('HCW &amp; Staff'!$BF$22:$BF$26))*$C$114),0)+IF('Equipment List &amp; Usage'!$F18="yes",$C$113,$C$114)*Total_Inpatients_in_beds_over_time*Q18</f>
        <v>286557.94889051735</v>
      </c>
      <c r="W18" s="915"/>
      <c r="X18" s="916"/>
      <c r="Y18" s="334">
        <f>Total_caretaker*SelfQuarantine_Mild*7*W18+(Total_Mild_Outpatient*SelfQuarantine_Mild*7*X18)+(Total_moderate_outpatient*SelfQuarantine_Moderate*7*X18)</f>
        <v>0</v>
      </c>
      <c r="AA18" s="920">
        <v>0.5</v>
      </c>
      <c r="AB18" s="863"/>
      <c r="AC18" s="334">
        <f ca="1">IFERROR(IF($F18="yes",IF(AA18&gt;0,Max_HCW_for_outpatient*$C$113,0),Total_HCW_for_outpatient_over_time*'Equipment List &amp; Usage'!AA18*$C$114)+(Total_Mild_Outpatient*SelfQuarantine_Mild*7*AB18)+(Total_moderate_outpatient*7*AB18*SelfQuarantine_Moderate),0)</f>
        <v>11499.28336321246</v>
      </c>
      <c r="AE18" s="920">
        <v>0.4</v>
      </c>
      <c r="AF18" s="917">
        <v>0.5</v>
      </c>
      <c r="AG18" s="862">
        <f>IFERROR(IF($F18="yes",IF(AE18&gt;0,Max_Lab_HCWs*$C$113,0),Total_HCW_labs_over_time*'Equipment List &amp; Usage'!AE18*$C$114)+IF($F18="yes",IF(AF18&gt;0,Max_Lab_hygienists*$C$113,0),Total_hygienist_labs_over_time*'Equipment List &amp; Usage'!AF18*$C$114),0)</f>
        <v>15103.2</v>
      </c>
      <c r="AI18" s="841">
        <v>0.5</v>
      </c>
      <c r="AJ18" s="842">
        <v>0.5</v>
      </c>
      <c r="AK18" s="843"/>
      <c r="AL18" s="843"/>
      <c r="AM18" s="843"/>
      <c r="AN18" s="290"/>
      <c r="AP18" s="852">
        <v>0.5</v>
      </c>
      <c r="AQ18" s="835">
        <v>0.5</v>
      </c>
      <c r="AR18" s="836"/>
      <c r="AS18" s="836"/>
      <c r="AT18" s="836"/>
      <c r="AU18" s="290"/>
      <c r="AW18" s="283"/>
      <c r="AX18" s="270"/>
      <c r="AY18" s="270"/>
      <c r="AZ18" s="270"/>
      <c r="BA18" s="270"/>
      <c r="BB18" s="270"/>
      <c r="BC18" s="284"/>
      <c r="BE18" s="869">
        <f ca="1">SUM(BC18,AN18,AG18,AC18,Y18,U18)</f>
        <v>313160.43225372978</v>
      </c>
      <c r="BF18" s="870">
        <f ca="1">BE18*H18</f>
        <v>46974.064838059465</v>
      </c>
      <c r="BG18" s="132"/>
    </row>
    <row r="19" spans="2:59" ht="15.5" thickBot="1" x14ac:dyDescent="0.9">
      <c r="E19"/>
      <c r="H19"/>
      <c r="O19" s="6"/>
      <c r="P19" s="6"/>
      <c r="R19"/>
      <c r="S19"/>
      <c r="T19"/>
      <c r="AB19" s="7"/>
      <c r="AE19"/>
      <c r="AG19"/>
      <c r="AI19" s="844"/>
      <c r="AJ19" s="844"/>
      <c r="AK19" s="844"/>
      <c r="AL19" s="844"/>
      <c r="AM19" s="844"/>
      <c r="AP19" s="838"/>
      <c r="AQ19" s="838"/>
      <c r="AR19" s="838"/>
      <c r="AS19" s="838"/>
      <c r="AT19" s="838"/>
      <c r="BG19" s="132"/>
    </row>
    <row r="20" spans="2:59" x14ac:dyDescent="0.75">
      <c r="B20" s="685" t="s">
        <v>295</v>
      </c>
      <c r="C20" s="686" t="s">
        <v>263</v>
      </c>
      <c r="D20" s="1180" t="s">
        <v>301</v>
      </c>
      <c r="E20" s="1180" t="s">
        <v>289</v>
      </c>
      <c r="F20" s="1180" t="s">
        <v>592</v>
      </c>
      <c r="G20" s="688" t="s">
        <v>893</v>
      </c>
      <c r="H20" s="900">
        <v>0.8</v>
      </c>
      <c r="J20" s="912">
        <v>1</v>
      </c>
      <c r="K20" s="913">
        <v>1</v>
      </c>
      <c r="L20" s="913">
        <v>1</v>
      </c>
      <c r="M20" s="913">
        <v>1</v>
      </c>
      <c r="N20" s="913">
        <v>1</v>
      </c>
      <c r="O20" s="884"/>
      <c r="P20" s="884"/>
      <c r="Q20" s="885"/>
      <c r="R20" s="885"/>
      <c r="S20" s="885"/>
      <c r="T20" s="885"/>
      <c r="U20" s="876">
        <f ca="1">IFERROR(IF($F20="yes",MMULT(--(J20:N20&gt;0),--('HCW &amp; Staff'!$BH$22:$BH$26))*$C$113,MMULT(--(J20:N20),--('HCW &amp; Staff'!$BF$22:$BF$26))*$C$114),0)+IF('Equipment List &amp; Usage'!$F20="yes",$C$113,$C$114)*Total_Inpatients_in_beds_over_time*Q20</f>
        <v>573115.8977810347</v>
      </c>
      <c r="W20" s="912"/>
      <c r="X20" s="913"/>
      <c r="Y20" s="876">
        <f t="shared" ref="Y20:Y33" si="0">Total_caretaker*SelfQuarantine_Mild*7*W20+(Total_Mild_Outpatient*SelfQuarantine_Mild*7*X20)+(Total_moderate_outpatient*SelfQuarantine_Moderate*7*X20)</f>
        <v>0</v>
      </c>
      <c r="AA20" s="918">
        <v>2</v>
      </c>
      <c r="AB20" s="882"/>
      <c r="AC20" s="876">
        <f ca="1">IFERROR(IF($F20="yes",IF(AA20&gt;0,Max_HCW_for_outpatient*$C$113,0),Total_HCW_for_outpatient_over_time*'Equipment List &amp; Usage'!AA20*$C$114)+(Total_Mild_Outpatient*SelfQuarantine_Mild*7*AB20)+(Total_moderate_outpatient*7*AB20*SelfQuarantine_Moderate),0)</f>
        <v>45997.133452849841</v>
      </c>
      <c r="AE20" s="918">
        <v>2</v>
      </c>
      <c r="AF20" s="922">
        <v>1</v>
      </c>
      <c r="AG20" s="879">
        <f>IFERROR(IF($F20="yes",IF(AE20&gt;0,Max_Lab_HCWs*$C$113,0),Total_HCW_labs_over_time*'Equipment List &amp; Usage'!AE20*$C$114)+IF($F20="yes",IF(AF20&gt;0,Max_Lab_hygienists*$C$113,0),Total_hygienist_labs_over_time*'Equipment List &amp; Usage'!AF20*$C$114),0)</f>
        <v>61656</v>
      </c>
      <c r="AI20" s="841">
        <v>1</v>
      </c>
      <c r="AJ20" s="842">
        <v>1</v>
      </c>
      <c r="AK20" s="843">
        <v>1</v>
      </c>
      <c r="AL20" s="843"/>
      <c r="AM20" s="843"/>
      <c r="AN20" s="290"/>
      <c r="AP20" s="852">
        <v>1</v>
      </c>
      <c r="AQ20" s="837">
        <v>1</v>
      </c>
      <c r="AR20" s="836"/>
      <c r="AS20" s="836"/>
      <c r="AT20" s="836"/>
      <c r="AU20" s="290"/>
      <c r="AW20" s="283"/>
      <c r="AX20" s="270"/>
      <c r="AY20" s="270"/>
      <c r="AZ20" s="270"/>
      <c r="BA20" s="270"/>
      <c r="BB20" s="270"/>
      <c r="BC20" s="284"/>
      <c r="BE20" s="871">
        <f t="shared" ref="BE20:BE33" ca="1" si="1">SUM(BC20,AN20,AG20,AC20,Y20,U20)</f>
        <v>680769.03123388451</v>
      </c>
      <c r="BF20" s="872">
        <f t="shared" ref="BF20:BF33" ca="1" si="2">BE20*H20</f>
        <v>544615.22498710768</v>
      </c>
      <c r="BG20" s="132"/>
    </row>
    <row r="21" spans="2:59" x14ac:dyDescent="0.75">
      <c r="B21" s="582" t="s">
        <v>295</v>
      </c>
      <c r="C21" s="577" t="s">
        <v>263</v>
      </c>
      <c r="D21" s="235" t="s">
        <v>265</v>
      </c>
      <c r="E21" s="232" t="s">
        <v>289</v>
      </c>
      <c r="F21" s="1181" t="s">
        <v>591</v>
      </c>
      <c r="G21" s="233" t="s">
        <v>893</v>
      </c>
      <c r="H21" s="898">
        <v>2.6</v>
      </c>
      <c r="J21" s="906">
        <v>3.3333333333333333E-2</v>
      </c>
      <c r="K21" s="907">
        <v>3.3333333333333333E-2</v>
      </c>
      <c r="L21" s="907"/>
      <c r="M21" s="907"/>
      <c r="N21" s="907">
        <v>0.03</v>
      </c>
      <c r="O21" s="658"/>
      <c r="P21" s="658"/>
      <c r="Q21" s="659"/>
      <c r="R21" s="659"/>
      <c r="S21" s="659"/>
      <c r="T21" s="659"/>
      <c r="U21" s="290">
        <f ca="1">IFERROR(IF($F21="yes",MMULT(--(J21:N21&gt;0),--('HCW &amp; Staff'!$BH$22:$BH$26))*$C$113,MMULT(--(J21:N21),--('HCW &amp; Staff'!$BF$22:$BF$26))*$C$114),0)+IF('Equipment List &amp; Usage'!$F21="yes",$C$113,$C$114)*Total_Inpatients_in_beds_over_time*Q21</f>
        <v>18193.179948075755</v>
      </c>
      <c r="W21" s="906"/>
      <c r="X21" s="907"/>
      <c r="Y21" s="290">
        <f t="shared" si="0"/>
        <v>0</v>
      </c>
      <c r="AA21" s="919">
        <v>0.03</v>
      </c>
      <c r="AB21" s="672"/>
      <c r="AC21" s="290">
        <f ca="1">IFERROR(IF($F21="yes",IF(AA21&gt;0,Max_HCW_for_outpatient*$C$113,0),Total_HCW_for_outpatient_over_time*'Equipment List &amp; Usage'!AA21*$C$114)+(Total_Mild_Outpatient*SelfQuarantine_Mild*7*AB21)+(Total_moderate_outpatient*7*AB21*SelfQuarantine_Moderate),0)</f>
        <v>913.83651078213904</v>
      </c>
      <c r="AE21" s="919"/>
      <c r="AF21" s="921"/>
      <c r="AG21" s="292">
        <f>IFERROR(IF($F21="yes",IF(AE21&gt;0,Max_Lab_HCWs*$C$113,0),Total_HCW_labs_over_time*'Equipment List &amp; Usage'!AE21*$C$114)+IF($F21="yes",IF(AF21&gt;0,Max_Lab_hygienists*$C$113,0),Total_hygienist_labs_over_time*'Equipment List &amp; Usage'!AF21*$C$114),0)</f>
        <v>0</v>
      </c>
      <c r="AI21" s="841">
        <v>3.3333333333333333E-2</v>
      </c>
      <c r="AJ21" s="842">
        <v>3.3333333333333333E-2</v>
      </c>
      <c r="AK21" s="843"/>
      <c r="AL21" s="843"/>
      <c r="AM21" s="843"/>
      <c r="AN21" s="290"/>
      <c r="AP21" s="852"/>
      <c r="AQ21" s="837"/>
      <c r="AR21" s="836"/>
      <c r="AS21" s="836"/>
      <c r="AT21" s="836"/>
      <c r="AU21" s="290"/>
      <c r="AW21" s="283"/>
      <c r="AX21" s="270"/>
      <c r="AY21" s="270"/>
      <c r="AZ21" s="270"/>
      <c r="BA21" s="270"/>
      <c r="BB21" s="270"/>
      <c r="BC21" s="284"/>
      <c r="BE21" s="867">
        <f t="shared" ca="1" si="1"/>
        <v>19107.016458857892</v>
      </c>
      <c r="BF21" s="868">
        <f t="shared" ca="1" si="2"/>
        <v>49678.24279303052</v>
      </c>
      <c r="BG21" s="132"/>
    </row>
    <row r="22" spans="2:59" x14ac:dyDescent="0.75">
      <c r="B22" s="582" t="s">
        <v>295</v>
      </c>
      <c r="C22" s="577" t="s">
        <v>263</v>
      </c>
      <c r="D22" s="235" t="s">
        <v>266</v>
      </c>
      <c r="E22" s="232" t="s">
        <v>289</v>
      </c>
      <c r="F22" s="1181" t="s">
        <v>591</v>
      </c>
      <c r="G22" s="233" t="s">
        <v>893</v>
      </c>
      <c r="H22" s="898">
        <v>2.6</v>
      </c>
      <c r="J22" s="906">
        <v>3.3333333333333333E-2</v>
      </c>
      <c r="K22" s="907">
        <v>3.3333333333333333E-2</v>
      </c>
      <c r="L22" s="907"/>
      <c r="M22" s="907"/>
      <c r="N22" s="907">
        <v>0.03</v>
      </c>
      <c r="O22" s="658"/>
      <c r="P22" s="658"/>
      <c r="Q22" s="659"/>
      <c r="R22" s="659"/>
      <c r="S22" s="659"/>
      <c r="T22" s="659"/>
      <c r="U22" s="290">
        <f ca="1">IFERROR(IF($F22="yes",MMULT(--(J22:N22&gt;0),--('HCW &amp; Staff'!$BH$22:$BH$26))*$C$113,MMULT(--(J22:N22),--('HCW &amp; Staff'!$BF$22:$BF$26))*$C$114),0)+IF('Equipment List &amp; Usage'!$F22="yes",$C$113,$C$114)*Total_Inpatients_in_beds_over_time*Q22</f>
        <v>18193.179948075755</v>
      </c>
      <c r="W22" s="906"/>
      <c r="X22" s="907"/>
      <c r="Y22" s="290">
        <f t="shared" si="0"/>
        <v>0</v>
      </c>
      <c r="AA22" s="919">
        <v>0.03</v>
      </c>
      <c r="AB22" s="672"/>
      <c r="AC22" s="290">
        <f ca="1">IFERROR(IF($F22="yes",IF(AA22&gt;0,Max_HCW_for_outpatient*$C$113,0),Total_HCW_for_outpatient_over_time*'Equipment List &amp; Usage'!AA22*$C$114)+(Total_Mild_Outpatient*SelfQuarantine_Mild*7*AB22)+(Total_moderate_outpatient*7*AB22*SelfQuarantine_Moderate),0)</f>
        <v>913.83651078213904</v>
      </c>
      <c r="AE22" s="919"/>
      <c r="AF22" s="921"/>
      <c r="AG22" s="292">
        <f>IFERROR(IF($F22="yes",IF(AE22&gt;0,Max_Lab_HCWs*$C$113,0),Total_HCW_labs_over_time*'Equipment List &amp; Usage'!AE22*$C$114)+IF($F22="yes",IF(AF22&gt;0,Max_Lab_hygienists*$C$113,0),Total_hygienist_labs_over_time*'Equipment List &amp; Usage'!AF22*$C$114),0)</f>
        <v>0</v>
      </c>
      <c r="AI22" s="841">
        <v>3.3333333333333333E-2</v>
      </c>
      <c r="AJ22" s="842">
        <v>3.3333333333333333E-2</v>
      </c>
      <c r="AK22" s="843"/>
      <c r="AL22" s="843"/>
      <c r="AM22" s="843"/>
      <c r="AN22" s="290"/>
      <c r="AP22" s="852"/>
      <c r="AQ22" s="837"/>
      <c r="AR22" s="836"/>
      <c r="AS22" s="836"/>
      <c r="AT22" s="836"/>
      <c r="AU22" s="290"/>
      <c r="AW22" s="283"/>
      <c r="AX22" s="270"/>
      <c r="AY22" s="270"/>
      <c r="AZ22" s="270"/>
      <c r="BA22" s="270"/>
      <c r="BB22" s="270"/>
      <c r="BC22" s="284"/>
      <c r="BE22" s="867">
        <f t="shared" ca="1" si="1"/>
        <v>19107.016458857892</v>
      </c>
      <c r="BF22" s="868">
        <f t="shared" ca="1" si="2"/>
        <v>49678.24279303052</v>
      </c>
      <c r="BG22" s="132"/>
    </row>
    <row r="23" spans="2:59" x14ac:dyDescent="0.75">
      <c r="B23" s="582" t="s">
        <v>295</v>
      </c>
      <c r="C23" s="577" t="s">
        <v>263</v>
      </c>
      <c r="D23" s="235" t="s">
        <v>300</v>
      </c>
      <c r="E23" s="232" t="s">
        <v>289</v>
      </c>
      <c r="F23" s="1181" t="s">
        <v>592</v>
      </c>
      <c r="G23" s="233" t="s">
        <v>893</v>
      </c>
      <c r="H23" s="898">
        <v>0.2</v>
      </c>
      <c r="J23" s="906">
        <v>1</v>
      </c>
      <c r="K23" s="907"/>
      <c r="L23" s="907"/>
      <c r="M23" s="907"/>
      <c r="N23" s="907"/>
      <c r="O23" s="660"/>
      <c r="P23" s="660"/>
      <c r="Q23" s="1003"/>
      <c r="R23" s="1003"/>
      <c r="S23" s="1003"/>
      <c r="T23" s="1003"/>
      <c r="U23" s="290">
        <f ca="1">IFERROR(IF($F23="yes",MMULT(--(J23:N23&gt;0),--('HCW &amp; Staff'!$BH$22:$BH$26))*$C$113,MMULT(--(J23:N23),--('HCW &amp; Staff'!$BF$22:$BF$26))*$C$114),0)+IF('Equipment List &amp; Usage'!$F23="yes",$C$113,$C$114)*Total_Inpatients_in_beds_over_time*Q23</f>
        <v>288956.15200545709</v>
      </c>
      <c r="W23" s="906"/>
      <c r="X23" s="907"/>
      <c r="Y23" s="290">
        <f t="shared" si="0"/>
        <v>0</v>
      </c>
      <c r="AA23" s="919"/>
      <c r="AB23" s="672"/>
      <c r="AC23" s="290">
        <f ca="1">IFERROR(IF($F23="yes",IF(AA23&gt;0,Max_HCW_for_outpatient*$C$113,0),Total_HCW_for_outpatient_over_time*'Equipment List &amp; Usage'!AA23*$C$114)+(Total_Mild_Outpatient*SelfQuarantine_Mild*7*AB23)+(Total_moderate_outpatient*7*AB23*SelfQuarantine_Moderate),0)</f>
        <v>0</v>
      </c>
      <c r="AE23" s="919"/>
      <c r="AF23" s="921"/>
      <c r="AG23" s="292">
        <f>IFERROR(IF($F23="yes",IF(AE23&gt;0,Max_Lab_HCWs*$C$113,0),Total_HCW_labs_over_time*'Equipment List &amp; Usage'!AE23*$C$114)+IF($F23="yes",IF(AF23&gt;0,Max_Lab_hygienists*$C$113,0),Total_hygienist_labs_over_time*'Equipment List &amp; Usage'!AF23*$C$114),0)</f>
        <v>0</v>
      </c>
      <c r="AI23" s="845"/>
      <c r="AJ23" s="842"/>
      <c r="AK23" s="843"/>
      <c r="AL23" s="843"/>
      <c r="AM23" s="843"/>
      <c r="AN23" s="290"/>
      <c r="AP23" s="852"/>
      <c r="AQ23" s="835"/>
      <c r="AR23" s="836"/>
      <c r="AS23" s="836"/>
      <c r="AT23" s="836"/>
      <c r="AU23" s="290"/>
      <c r="AW23" s="283"/>
      <c r="AX23" s="270"/>
      <c r="AY23" s="270"/>
      <c r="AZ23" s="270"/>
      <c r="BA23" s="270"/>
      <c r="BB23" s="270"/>
      <c r="BC23" s="284"/>
      <c r="BE23" s="867">
        <f t="shared" ca="1" si="1"/>
        <v>288956.15200545709</v>
      </c>
      <c r="BF23" s="868">
        <f t="shared" ca="1" si="2"/>
        <v>57791.230401091423</v>
      </c>
      <c r="BG23" s="132"/>
    </row>
    <row r="24" spans="2:59" x14ac:dyDescent="0.75">
      <c r="B24" s="582" t="s">
        <v>295</v>
      </c>
      <c r="C24" s="577" t="s">
        <v>263</v>
      </c>
      <c r="D24" s="235" t="s">
        <v>291</v>
      </c>
      <c r="E24" s="232" t="s">
        <v>289</v>
      </c>
      <c r="F24" s="1181" t="s">
        <v>591</v>
      </c>
      <c r="G24" s="233" t="s">
        <v>893</v>
      </c>
      <c r="H24" s="898">
        <v>4</v>
      </c>
      <c r="J24" s="906"/>
      <c r="K24" s="907">
        <v>0.05</v>
      </c>
      <c r="L24" s="907"/>
      <c r="M24" s="907"/>
      <c r="N24" s="907">
        <v>0.05</v>
      </c>
      <c r="O24" s="660"/>
      <c r="P24" s="660"/>
      <c r="Q24" s="1003"/>
      <c r="R24" s="1003"/>
      <c r="S24" s="1003"/>
      <c r="T24" s="1003"/>
      <c r="U24" s="290">
        <f ca="1">IFERROR(IF($F24="yes",MMULT(--(J24:N24&gt;0),--('HCW &amp; Staff'!$BH$22:$BH$26))*$C$113,MMULT(--(J24:N24),--('HCW &amp; Staff'!$BF$22:$BF$26))*$C$114),0)+IF('Equipment List &amp; Usage'!$F24="yes",$C$113,$C$114)*Total_Inpatients_in_beds_over_time*Q24</f>
        <v>9822.6164588578959</v>
      </c>
      <c r="W24" s="906"/>
      <c r="X24" s="907"/>
      <c r="Y24" s="290">
        <f t="shared" si="0"/>
        <v>0</v>
      </c>
      <c r="AA24" s="919"/>
      <c r="AB24" s="672"/>
      <c r="AC24" s="290">
        <f>IFERROR(IF($F24="yes",IF(AA24&gt;0,Max_HCW_for_outpatient*$C$113,0),Total_HCW_for_outpatient_over_time*'Equipment List &amp; Usage'!AA24*$C$114)+(Total_Mild_Outpatient*SelfQuarantine_Mild*7*AB24)+(Total_moderate_outpatient*7*AB24*SelfQuarantine_Moderate),0)</f>
        <v>0</v>
      </c>
      <c r="AE24" s="919"/>
      <c r="AF24" s="921"/>
      <c r="AG24" s="292">
        <f>IFERROR(IF($F24="yes",IF(AE24&gt;0,Max_Lab_HCWs*$C$113,0),Total_HCW_labs_over_time*'Equipment List &amp; Usage'!AE24*$C$114)+IF($F24="yes",IF(AF24&gt;0,Max_Lab_hygienists*$C$113,0),Total_hygienist_labs_over_time*'Equipment List &amp; Usage'!AF24*$C$114),0)</f>
        <v>0</v>
      </c>
      <c r="AI24" s="845"/>
      <c r="AJ24" s="842">
        <v>0.05</v>
      </c>
      <c r="AK24" s="843"/>
      <c r="AL24" s="843"/>
      <c r="AM24" s="843"/>
      <c r="AN24" s="290"/>
      <c r="AP24" s="852"/>
      <c r="AQ24" s="835">
        <v>0.05</v>
      </c>
      <c r="AR24" s="836"/>
      <c r="AS24" s="836"/>
      <c r="AT24" s="836"/>
      <c r="AU24" s="290"/>
      <c r="AW24" s="283"/>
      <c r="AX24" s="270"/>
      <c r="AY24" s="270"/>
      <c r="AZ24" s="270"/>
      <c r="BA24" s="270"/>
      <c r="BB24" s="270"/>
      <c r="BC24" s="284"/>
      <c r="BE24" s="867">
        <f t="shared" ca="1" si="1"/>
        <v>9822.6164588578959</v>
      </c>
      <c r="BF24" s="868">
        <f t="shared" ca="1" si="2"/>
        <v>39290.465835431583</v>
      </c>
      <c r="BG24" s="132"/>
    </row>
    <row r="25" spans="2:59" x14ac:dyDescent="0.75">
      <c r="B25" s="582" t="s">
        <v>295</v>
      </c>
      <c r="C25" s="577" t="s">
        <v>263</v>
      </c>
      <c r="D25" s="235" t="s">
        <v>269</v>
      </c>
      <c r="E25" s="232" t="s">
        <v>288</v>
      </c>
      <c r="F25" s="1181" t="s">
        <v>591</v>
      </c>
      <c r="G25" s="233" t="s">
        <v>893</v>
      </c>
      <c r="H25" s="898">
        <v>4.5999999999999996</v>
      </c>
      <c r="J25" s="906"/>
      <c r="K25" s="907">
        <v>0.01</v>
      </c>
      <c r="L25" s="907"/>
      <c r="M25" s="907"/>
      <c r="N25" s="907">
        <v>0.01</v>
      </c>
      <c r="O25" s="660"/>
      <c r="P25" s="660"/>
      <c r="Q25" s="1003"/>
      <c r="R25" s="1003"/>
      <c r="S25" s="1003"/>
      <c r="T25" s="1003"/>
      <c r="U25" s="290">
        <f ca="1">IFERROR(IF($F25="yes",MMULT(--(J25:N25&gt;0),--('HCW &amp; Staff'!$BH$22:$BH$26))*$C$113,MMULT(--(J25:N25),--('HCW &amp; Staff'!$BF$22:$BF$26))*$C$114),0)+IF('Equipment List &amp; Usage'!$F25="yes",$C$113,$C$114)*Total_Inpatients_in_beds_over_time*Q25</f>
        <v>9822.6164588578959</v>
      </c>
      <c r="W25" s="906"/>
      <c r="X25" s="907"/>
      <c r="Y25" s="290">
        <f t="shared" si="0"/>
        <v>0</v>
      </c>
      <c r="AA25" s="919"/>
      <c r="AB25" s="672"/>
      <c r="AC25" s="290">
        <f>IFERROR(IF($F25="yes",IF(AA25&gt;0,Max_HCW_for_outpatient*$C$113,0),Total_HCW_for_outpatient_over_time*'Equipment List &amp; Usage'!AA25*$C$114)+(Total_Mild_Outpatient*SelfQuarantine_Mild*7*AB25)+(Total_moderate_outpatient*7*AB25*SelfQuarantine_Moderate),0)</f>
        <v>0</v>
      </c>
      <c r="AE25" s="919"/>
      <c r="AF25" s="921"/>
      <c r="AG25" s="292">
        <f>IFERROR(IF($F25="yes",IF(AE25&gt;0,Max_Lab_HCWs*$C$113,0),Total_HCW_labs_over_time*'Equipment List &amp; Usage'!AE25*$C$114)+IF($F25="yes",IF(AF25&gt;0,Max_Lab_hygienists*$C$113,0),Total_hygienist_labs_over_time*'Equipment List &amp; Usage'!AF25*$C$114),0)</f>
        <v>0</v>
      </c>
      <c r="AI25" s="845"/>
      <c r="AJ25" s="842">
        <v>0.01</v>
      </c>
      <c r="AK25" s="843"/>
      <c r="AL25" s="843"/>
      <c r="AM25" s="843"/>
      <c r="AN25" s="290"/>
      <c r="AP25" s="852"/>
      <c r="AQ25" s="835"/>
      <c r="AR25" s="836"/>
      <c r="AS25" s="836"/>
      <c r="AT25" s="836"/>
      <c r="AU25" s="290"/>
      <c r="AW25" s="283"/>
      <c r="AX25" s="270"/>
      <c r="AY25" s="270"/>
      <c r="AZ25" s="270"/>
      <c r="BA25" s="270"/>
      <c r="BB25" s="270"/>
      <c r="BC25" s="284"/>
      <c r="BE25" s="867">
        <f t="shared" ca="1" si="1"/>
        <v>9822.6164588578959</v>
      </c>
      <c r="BF25" s="868">
        <f t="shared" ca="1" si="2"/>
        <v>45184.035710746321</v>
      </c>
      <c r="BG25" s="132"/>
    </row>
    <row r="26" spans="2:59" x14ac:dyDescent="0.75">
      <c r="B26" s="582" t="s">
        <v>295</v>
      </c>
      <c r="C26" s="577" t="s">
        <v>263</v>
      </c>
      <c r="D26" s="235" t="s">
        <v>296</v>
      </c>
      <c r="E26" s="232" t="s">
        <v>288</v>
      </c>
      <c r="F26" s="1181" t="s">
        <v>591</v>
      </c>
      <c r="G26" s="233" t="s">
        <v>893</v>
      </c>
      <c r="H26" s="898">
        <v>1.8</v>
      </c>
      <c r="J26" s="906"/>
      <c r="K26" s="907">
        <v>0.1</v>
      </c>
      <c r="L26" s="907"/>
      <c r="M26" s="907"/>
      <c r="N26" s="907"/>
      <c r="O26" s="660"/>
      <c r="P26" s="660"/>
      <c r="Q26" s="1003"/>
      <c r="R26" s="1003"/>
      <c r="S26" s="1003"/>
      <c r="T26" s="1003"/>
      <c r="U26" s="290">
        <f ca="1">IFERROR(IF($F26="yes",MMULT(--(J26:N26&gt;0),--('HCW &amp; Staff'!$BH$22:$BH$26))*$C$113,MMULT(--(J26:N26),--('HCW &amp; Staff'!$BF$22:$BF$26))*$C$114),0)+IF('Equipment List &amp; Usage'!$F26="yes",$C$113,$C$114)*Total_Inpatients_in_beds_over_time*Q26</f>
        <v>9381.4004588578955</v>
      </c>
      <c r="W26" s="906"/>
      <c r="X26" s="907"/>
      <c r="Y26" s="290">
        <f t="shared" si="0"/>
        <v>0</v>
      </c>
      <c r="AA26" s="919"/>
      <c r="AB26" s="672"/>
      <c r="AC26" s="290">
        <f>IFERROR(IF($F26="yes",IF(AA26&gt;0,Max_HCW_for_outpatient*$C$113,0),Total_HCW_for_outpatient_over_time*'Equipment List &amp; Usage'!AA26*$C$114)+(Total_Mild_Outpatient*SelfQuarantine_Mild*7*AB26)+(Total_moderate_outpatient*7*AB26*SelfQuarantine_Moderate),0)</f>
        <v>0</v>
      </c>
      <c r="AE26" s="919"/>
      <c r="AF26" s="921"/>
      <c r="AG26" s="292">
        <f>IFERROR(IF($F26="yes",IF(AE26&gt;0,Max_Lab_HCWs*$C$113,0),Total_HCW_labs_over_time*'Equipment List &amp; Usage'!AE26*$C$114)+IF($F26="yes",IF(AF26&gt;0,Max_Lab_hygienists*$C$113,0),Total_hygienist_labs_over_time*'Equipment List &amp; Usage'!AF26*$C$114),0)</f>
        <v>0</v>
      </c>
      <c r="AI26" s="845"/>
      <c r="AJ26" s="842">
        <v>0.1</v>
      </c>
      <c r="AK26" s="843"/>
      <c r="AL26" s="843"/>
      <c r="AM26" s="843"/>
      <c r="AN26" s="290"/>
      <c r="AP26" s="852"/>
      <c r="AQ26" s="835">
        <v>0.1</v>
      </c>
      <c r="AR26" s="836"/>
      <c r="AS26" s="836"/>
      <c r="AT26" s="836"/>
      <c r="AU26" s="290"/>
      <c r="AW26" s="283"/>
      <c r="AX26" s="270"/>
      <c r="AY26" s="270"/>
      <c r="AZ26" s="270"/>
      <c r="BA26" s="270"/>
      <c r="BB26" s="270"/>
      <c r="BC26" s="284"/>
      <c r="BE26" s="867">
        <f t="shared" ca="1" si="1"/>
        <v>9381.4004588578955</v>
      </c>
      <c r="BF26" s="868">
        <f t="shared" ca="1" si="2"/>
        <v>16886.520825944212</v>
      </c>
      <c r="BG26" s="132"/>
    </row>
    <row r="27" spans="2:59" x14ac:dyDescent="0.75">
      <c r="B27" s="582" t="s">
        <v>295</v>
      </c>
      <c r="C27" s="577" t="s">
        <v>263</v>
      </c>
      <c r="D27" s="235" t="s">
        <v>285</v>
      </c>
      <c r="E27" s="232" t="s">
        <v>288</v>
      </c>
      <c r="F27" s="1181" t="s">
        <v>592</v>
      </c>
      <c r="G27" s="233" t="s">
        <v>893</v>
      </c>
      <c r="H27" s="898">
        <v>0.06</v>
      </c>
      <c r="J27" s="906">
        <v>24</v>
      </c>
      <c r="K27" s="907"/>
      <c r="L27" s="907">
        <v>4</v>
      </c>
      <c r="M27" s="907">
        <v>4</v>
      </c>
      <c r="N27" s="907">
        <v>2</v>
      </c>
      <c r="O27" s="660"/>
      <c r="P27" s="660"/>
      <c r="Q27" s="1003"/>
      <c r="R27" s="1003"/>
      <c r="S27" s="1003"/>
      <c r="T27" s="1003"/>
      <c r="U27" s="290">
        <f ca="1">IFERROR(IF($F27="yes",MMULT(--(J27:N27&gt;0),--('HCW &amp; Staff'!$BH$22:$BH$26))*$C$113,MMULT(--(J27:N27),--('HCW &amp; Staff'!$BF$22:$BF$26))*$C$114),0)+IF('Equipment List &amp; Usage'!$F27="yes",$C$113,$C$114)*Total_Inpatients_in_beds_over_time*Q27</f>
        <v>7092422.9687613491</v>
      </c>
      <c r="W27" s="906">
        <v>4</v>
      </c>
      <c r="X27" s="907"/>
      <c r="Y27" s="290">
        <f t="shared" si="0"/>
        <v>7274687.5643082587</v>
      </c>
      <c r="AA27" s="919">
        <v>8</v>
      </c>
      <c r="AB27" s="672"/>
      <c r="AC27" s="290">
        <f ca="1">IFERROR(IF($F27="yes",IF(AA27&gt;0,Max_HCW_for_outpatient*$C$113,0),Total_HCW_for_outpatient_over_time*'Equipment List &amp; Usage'!AA27*$C$114)+(Total_Mild_Outpatient*SelfQuarantine_Mild*7*AB27)+(Total_moderate_outpatient*7*AB27*SelfQuarantine_Moderate),0)</f>
        <v>183988.53381139936</v>
      </c>
      <c r="AE27" s="919">
        <v>8</v>
      </c>
      <c r="AF27" s="921"/>
      <c r="AG27" s="292">
        <f>IFERROR(IF($F27="yes",IF(AE27&gt;0,Max_Lab_HCWs*$C$113,0),Total_HCW_labs_over_time*'Equipment List &amp; Usage'!AE27*$C$114)+IF($F27="yes",IF(AF27&gt;0,Max_Lab_hygienists*$C$113,0),Total_hygienist_labs_over_time*'Equipment List &amp; Usage'!AF27*$C$114),0)</f>
        <v>209664</v>
      </c>
      <c r="AI27" s="845">
        <v>12</v>
      </c>
      <c r="AJ27" s="842"/>
      <c r="AK27" s="843">
        <v>2</v>
      </c>
      <c r="AL27" s="843"/>
      <c r="AM27" s="843"/>
      <c r="AN27" s="290"/>
      <c r="AP27" s="852">
        <v>6</v>
      </c>
      <c r="AQ27" s="835"/>
      <c r="AR27" s="836"/>
      <c r="AS27" s="836"/>
      <c r="AT27" s="836"/>
      <c r="AU27" s="290"/>
      <c r="AW27" s="283"/>
      <c r="AX27" s="270"/>
      <c r="AY27" s="270"/>
      <c r="AZ27" s="270"/>
      <c r="BA27" s="270"/>
      <c r="BB27" s="270"/>
      <c r="BC27" s="284"/>
      <c r="BE27" s="867">
        <f t="shared" ca="1" si="1"/>
        <v>14760763.066881008</v>
      </c>
      <c r="BF27" s="868">
        <f t="shared" ca="1" si="2"/>
        <v>885645.7840128605</v>
      </c>
      <c r="BG27" s="132"/>
    </row>
    <row r="28" spans="2:59" x14ac:dyDescent="0.75">
      <c r="B28" s="582" t="s">
        <v>295</v>
      </c>
      <c r="C28" s="577" t="s">
        <v>263</v>
      </c>
      <c r="D28" s="235" t="s">
        <v>275</v>
      </c>
      <c r="E28" s="232" t="s">
        <v>288</v>
      </c>
      <c r="F28" s="1181" t="s">
        <v>592</v>
      </c>
      <c r="G28" s="233" t="s">
        <v>893</v>
      </c>
      <c r="H28" s="898">
        <v>0.4</v>
      </c>
      <c r="J28" s="906">
        <v>1</v>
      </c>
      <c r="K28" s="907"/>
      <c r="L28" s="907"/>
      <c r="M28" s="907"/>
      <c r="N28" s="907"/>
      <c r="O28" s="660"/>
      <c r="P28" s="660"/>
      <c r="Q28" s="1003"/>
      <c r="R28" s="1003"/>
      <c r="S28" s="1003"/>
      <c r="T28" s="1003"/>
      <c r="U28" s="290">
        <f ca="1">IFERROR(IF($F28="yes",MMULT(--(J28:N28&gt;0),--('HCW &amp; Staff'!$BH$22:$BH$26))*$C$113,MMULT(--(J28:N28),--('HCW &amp; Staff'!$BF$22:$BF$26))*$C$114),0)+IF('Equipment List &amp; Usage'!$F28="yes",$C$113,$C$114)*Total_Inpatients_in_beds_over_time*Q28</f>
        <v>288956.15200545709</v>
      </c>
      <c r="W28" s="906"/>
      <c r="X28" s="907"/>
      <c r="Y28" s="290">
        <f t="shared" si="0"/>
        <v>0</v>
      </c>
      <c r="AA28" s="919"/>
      <c r="AB28" s="672"/>
      <c r="AC28" s="290">
        <f ca="1">IFERROR(IF($F28="yes",IF(AA28&gt;0,Max_HCW_for_outpatient*$C$113,0),Total_HCW_for_outpatient_over_time*'Equipment List &amp; Usage'!AA28*$C$114)+(Total_Mild_Outpatient*SelfQuarantine_Mild*7*AB28)+(Total_moderate_outpatient*7*AB28*SelfQuarantine_Moderate),0)</f>
        <v>0</v>
      </c>
      <c r="AE28" s="919"/>
      <c r="AF28" s="921"/>
      <c r="AG28" s="292">
        <f>IFERROR(IF($F28="yes",IF(AE28&gt;0,Max_Lab_HCWs*$C$113,0),Total_HCW_labs_over_time*'Equipment List &amp; Usage'!AE28*$C$114)+IF($F28="yes",IF(AF28&gt;0,Max_Lab_hygienists*$C$113,0),Total_hygienist_labs_over_time*'Equipment List &amp; Usage'!AF28*$C$114),0)</f>
        <v>0</v>
      </c>
      <c r="AI28" s="845"/>
      <c r="AJ28" s="842"/>
      <c r="AK28" s="843"/>
      <c r="AL28" s="843"/>
      <c r="AM28" s="843"/>
      <c r="AN28" s="290"/>
      <c r="AP28" s="852"/>
      <c r="AQ28" s="835"/>
      <c r="AR28" s="836"/>
      <c r="AS28" s="836"/>
      <c r="AT28" s="836"/>
      <c r="AU28" s="290"/>
      <c r="AW28" s="283"/>
      <c r="AX28" s="270"/>
      <c r="AY28" s="270"/>
      <c r="AZ28" s="270"/>
      <c r="BA28" s="270"/>
      <c r="BB28" s="270"/>
      <c r="BC28" s="284"/>
      <c r="BE28" s="867">
        <f t="shared" ca="1" si="1"/>
        <v>288956.15200545709</v>
      </c>
      <c r="BF28" s="868">
        <f t="shared" ca="1" si="2"/>
        <v>115582.46080218285</v>
      </c>
      <c r="BG28" s="132"/>
    </row>
    <row r="29" spans="2:59" x14ac:dyDescent="0.75">
      <c r="B29" s="582" t="s">
        <v>295</v>
      </c>
      <c r="C29" s="577" t="s">
        <v>263</v>
      </c>
      <c r="D29" s="235" t="s">
        <v>290</v>
      </c>
      <c r="E29" s="232" t="s">
        <v>289</v>
      </c>
      <c r="F29" s="1181" t="s">
        <v>591</v>
      </c>
      <c r="G29" s="233" t="s">
        <v>893</v>
      </c>
      <c r="H29" s="898">
        <v>2.8</v>
      </c>
      <c r="J29" s="906">
        <v>0.1</v>
      </c>
      <c r="K29" s="907">
        <v>0.1</v>
      </c>
      <c r="L29" s="907"/>
      <c r="M29" s="907">
        <v>0.1</v>
      </c>
      <c r="N29" s="907"/>
      <c r="O29" s="660"/>
      <c r="P29" s="660"/>
      <c r="Q29" s="1003"/>
      <c r="R29" s="1003"/>
      <c r="S29" s="1003"/>
      <c r="T29" s="1003"/>
      <c r="U29" s="290">
        <f ca="1">IFERROR(IF($F29="yes",MMULT(--(J29:N29&gt;0),--('HCW &amp; Staff'!$BH$22:$BH$26))*$C$113,MMULT(--(J29:N29),--('HCW &amp; Staff'!$BF$22:$BF$26))*$C$114),0)+IF('Equipment List &amp; Usage'!$F29="yes",$C$113,$C$114)*Total_Inpatients_in_beds_over_time*Q29</f>
        <v>19075.611948075755</v>
      </c>
      <c r="W29" s="906"/>
      <c r="X29" s="907"/>
      <c r="Y29" s="290">
        <f t="shared" si="0"/>
        <v>0</v>
      </c>
      <c r="AA29" s="919">
        <v>0.1</v>
      </c>
      <c r="AB29" s="672"/>
      <c r="AC29" s="290">
        <f ca="1">IFERROR(IF($F29="yes",IF(AA29&gt;0,Max_HCW_for_outpatient*$C$113,0),Total_HCW_for_outpatient_over_time*'Equipment List &amp; Usage'!AA29*$C$114)+(Total_Mild_Outpatient*SelfQuarantine_Mild*7*AB29)+(Total_moderate_outpatient*7*AB29*SelfQuarantine_Moderate),0)</f>
        <v>913.83651078213904</v>
      </c>
      <c r="AE29" s="919">
        <f>2/30</f>
        <v>6.6666666666666666E-2</v>
      </c>
      <c r="AF29" s="921"/>
      <c r="AG29" s="292">
        <f>IFERROR(IF($F29="yes",IF(AE29&gt;0,Max_Lab_HCWs*$C$113,0),Total_HCW_labs_over_time*'Equipment List &amp; Usage'!AE29*$C$114)+IF($F29="yes",IF(AF29&gt;0,Max_Lab_hygienists*$C$113,0),Total_hygienist_labs_over_time*'Equipment List &amp; Usage'!AF29*$C$114),0)</f>
        <v>312</v>
      </c>
      <c r="AI29" s="845">
        <v>0.1</v>
      </c>
      <c r="AJ29" s="842">
        <v>0.1</v>
      </c>
      <c r="AK29" s="843"/>
      <c r="AL29" s="843"/>
      <c r="AM29" s="843"/>
      <c r="AN29" s="290"/>
      <c r="AP29" s="852">
        <v>0.1</v>
      </c>
      <c r="AQ29" s="835">
        <v>0.1</v>
      </c>
      <c r="AR29" s="836"/>
      <c r="AS29" s="836"/>
      <c r="AT29" s="836"/>
      <c r="AU29" s="290"/>
      <c r="AW29" s="283"/>
      <c r="AX29" s="270"/>
      <c r="AY29" s="270"/>
      <c r="AZ29" s="270"/>
      <c r="BA29" s="270"/>
      <c r="BB29" s="270"/>
      <c r="BC29" s="284"/>
      <c r="BE29" s="867">
        <f t="shared" ca="1" si="1"/>
        <v>20301.448458857893</v>
      </c>
      <c r="BF29" s="868">
        <f t="shared" ca="1" si="2"/>
        <v>56844.055684802093</v>
      </c>
      <c r="BG29" s="132"/>
    </row>
    <row r="30" spans="2:59" x14ac:dyDescent="0.75">
      <c r="B30" s="582" t="s">
        <v>295</v>
      </c>
      <c r="C30" s="577" t="s">
        <v>263</v>
      </c>
      <c r="D30" s="235" t="s">
        <v>264</v>
      </c>
      <c r="E30" s="232" t="s">
        <v>289</v>
      </c>
      <c r="F30" s="1181" t="s">
        <v>592</v>
      </c>
      <c r="G30" s="233" t="s">
        <v>893</v>
      </c>
      <c r="H30" s="898">
        <v>0.6</v>
      </c>
      <c r="J30" s="906">
        <v>1</v>
      </c>
      <c r="K30" s="907">
        <v>1</v>
      </c>
      <c r="L30" s="907"/>
      <c r="M30" s="907"/>
      <c r="N30" s="907">
        <v>1</v>
      </c>
      <c r="O30" s="660"/>
      <c r="P30" s="660"/>
      <c r="Q30" s="1003"/>
      <c r="R30" s="1003"/>
      <c r="S30" s="1003"/>
      <c r="T30" s="1003"/>
      <c r="U30" s="290">
        <f ca="1">IFERROR(IF($F30="yes",MMULT(--(J30:N30&gt;0),--('HCW &amp; Staff'!$BH$22:$BH$26))*$C$113,MMULT(--(J30:N30),--('HCW &amp; Staff'!$BF$22:$BF$26))*$C$114),0)+IF('Equipment List &amp; Usage'!$F30="yes",$C$113,$C$114)*Total_Inpatients_in_beds_over_time*Q30</f>
        <v>539371.1862173822</v>
      </c>
      <c r="W30" s="906"/>
      <c r="X30" s="907"/>
      <c r="Y30" s="290">
        <f t="shared" si="0"/>
        <v>0</v>
      </c>
      <c r="AA30" s="919"/>
      <c r="AB30" s="672"/>
      <c r="AC30" s="290">
        <f ca="1">IFERROR(IF($F30="yes",IF(AA30&gt;0,Max_HCW_for_outpatient*$C$113,0),Total_HCW_for_outpatient_over_time*'Equipment List &amp; Usage'!AA30*$C$114)+(Total_Mild_Outpatient*SelfQuarantine_Mild*7*AB30)+(Total_moderate_outpatient*7*AB30*SelfQuarantine_Moderate),0)</f>
        <v>0</v>
      </c>
      <c r="AE30" s="919">
        <v>2</v>
      </c>
      <c r="AF30" s="921"/>
      <c r="AG30" s="292">
        <f>IFERROR(IF($F30="yes",IF(AE30&gt;0,Max_Lab_HCWs*$C$113,0),Total_HCW_labs_over_time*'Equipment List &amp; Usage'!AE30*$C$114)+IF($F30="yes",IF(AF30&gt;0,Max_Lab_hygienists*$C$113,0),Total_hygienist_labs_over_time*'Equipment List &amp; Usage'!AF30*$C$114),0)</f>
        <v>52416</v>
      </c>
      <c r="AI30" s="845">
        <v>1</v>
      </c>
      <c r="AJ30" s="842">
        <v>1</v>
      </c>
      <c r="AK30" s="843"/>
      <c r="AL30" s="843"/>
      <c r="AM30" s="843"/>
      <c r="AN30" s="290"/>
      <c r="AP30" s="852">
        <v>1</v>
      </c>
      <c r="AQ30" s="835">
        <v>1</v>
      </c>
      <c r="AR30" s="836"/>
      <c r="AS30" s="836"/>
      <c r="AT30" s="836"/>
      <c r="AU30" s="290"/>
      <c r="AW30" s="283"/>
      <c r="AX30" s="270"/>
      <c r="AY30" s="270"/>
      <c r="AZ30" s="270"/>
      <c r="BA30" s="270"/>
      <c r="BB30" s="270"/>
      <c r="BC30" s="284"/>
      <c r="BE30" s="867">
        <f t="shared" ca="1" si="1"/>
        <v>591787.1862173822</v>
      </c>
      <c r="BF30" s="868">
        <f t="shared" ca="1" si="2"/>
        <v>355072.3117304293</v>
      </c>
      <c r="BG30" s="132"/>
    </row>
    <row r="31" spans="2:59" x14ac:dyDescent="0.75">
      <c r="B31" s="582" t="s">
        <v>295</v>
      </c>
      <c r="C31" s="577" t="s">
        <v>263</v>
      </c>
      <c r="D31" s="235" t="s">
        <v>1307</v>
      </c>
      <c r="E31" s="232" t="s">
        <v>289</v>
      </c>
      <c r="F31" s="1181" t="s">
        <v>592</v>
      </c>
      <c r="G31" s="233" t="s">
        <v>893</v>
      </c>
      <c r="H31" s="898">
        <v>1.5</v>
      </c>
      <c r="J31" s="906">
        <v>1</v>
      </c>
      <c r="K31" s="907"/>
      <c r="L31" s="907"/>
      <c r="M31" s="907"/>
      <c r="N31" s="907"/>
      <c r="O31" s="660"/>
      <c r="P31" s="660"/>
      <c r="Q31" s="1003"/>
      <c r="R31" s="1003"/>
      <c r="S31" s="1003"/>
      <c r="T31" s="1003"/>
      <c r="U31" s="290">
        <f ca="1">IFERROR(IF($F31="yes",MMULT(--(J31:N31&gt;0),--('HCW &amp; Staff'!$BH$22:$BH$26))*$C$113,MMULT(--(J31:N31),--('HCW &amp; Staff'!$BF$22:$BF$26))*$C$114),0)+IF('Equipment List &amp; Usage'!$F31="yes",$C$113,$C$114)*Total_Inpatients_in_beds_over_time*Q31</f>
        <v>288956.15200545709</v>
      </c>
      <c r="W31" s="906"/>
      <c r="X31" s="907"/>
      <c r="Y31" s="290">
        <f t="shared" si="0"/>
        <v>0</v>
      </c>
      <c r="AA31" s="919"/>
      <c r="AB31" s="672"/>
      <c r="AC31" s="290">
        <f ca="1">IFERROR(IF($F31="yes",IF(AA31&gt;0,Max_HCW_for_outpatient*$C$113,0),Total_HCW_for_outpatient_over_time*'Equipment List &amp; Usage'!AA31*$C$114)+(Total_Mild_Outpatient*SelfQuarantine_Mild*7*AB31)+(Total_moderate_outpatient*7*AB31*SelfQuarantine_Moderate),0)</f>
        <v>0</v>
      </c>
      <c r="AE31" s="919"/>
      <c r="AF31" s="921"/>
      <c r="AG31" s="292">
        <f>IFERROR(IF($F31="yes",IF(AE31&gt;0,Max_Lab_HCWs*$C$113,0),Total_HCW_labs_over_time*'Equipment List &amp; Usage'!AE31*$C$114)+IF($F31="yes",IF(AF31&gt;0,Max_Lab_hygienists*$C$113,0),Total_hygienist_labs_over_time*'Equipment List &amp; Usage'!AF31*$C$114),0)</f>
        <v>0</v>
      </c>
      <c r="AI31" s="845"/>
      <c r="AJ31" s="842">
        <v>0</v>
      </c>
      <c r="AK31" s="843"/>
      <c r="AL31" s="843"/>
      <c r="AM31" s="843"/>
      <c r="AN31" s="290"/>
      <c r="AP31" s="852"/>
      <c r="AQ31" s="835"/>
      <c r="AR31" s="836"/>
      <c r="AS31" s="836"/>
      <c r="AT31" s="836"/>
      <c r="AU31" s="290"/>
      <c r="AW31" s="283"/>
      <c r="AX31" s="270"/>
      <c r="AY31" s="270"/>
      <c r="AZ31" s="270"/>
      <c r="BA31" s="270"/>
      <c r="BB31" s="270"/>
      <c r="BC31" s="284"/>
      <c r="BE31" s="867">
        <f t="shared" ca="1" si="1"/>
        <v>288956.15200545709</v>
      </c>
      <c r="BF31" s="868">
        <f t="shared" ca="1" si="2"/>
        <v>433434.22800818563</v>
      </c>
      <c r="BG31" s="132"/>
    </row>
    <row r="32" spans="2:59" x14ac:dyDescent="0.75">
      <c r="B32" s="582" t="s">
        <v>295</v>
      </c>
      <c r="C32" s="577" t="s">
        <v>263</v>
      </c>
      <c r="D32" s="235" t="s">
        <v>1308</v>
      </c>
      <c r="E32" s="232" t="s">
        <v>289</v>
      </c>
      <c r="F32" s="1181" t="s">
        <v>592</v>
      </c>
      <c r="G32" s="233" t="s">
        <v>893</v>
      </c>
      <c r="H32" s="898">
        <v>0.7</v>
      </c>
      <c r="J32" s="906">
        <v>4</v>
      </c>
      <c r="K32" s="907">
        <v>4</v>
      </c>
      <c r="L32" s="907">
        <v>2</v>
      </c>
      <c r="M32" s="907">
        <v>4</v>
      </c>
      <c r="N32" s="907">
        <v>1</v>
      </c>
      <c r="O32" s="660"/>
      <c r="P32" s="660"/>
      <c r="Q32" s="1003"/>
      <c r="R32" s="1003"/>
      <c r="S32" s="1003"/>
      <c r="T32" s="1003"/>
      <c r="U32" s="290">
        <f ca="1">IFERROR(IF($F32="yes",MMULT(--(J32:N32&gt;0),--('HCW &amp; Staff'!$BH$22:$BH$26))*$C$113,MMULT(--(J32:N32),--('HCW &amp; Staff'!$BF$22:$BF$26))*$C$114),0)+IF('Equipment List &amp; Usage'!$F32="yes",$C$113,$C$114)*Total_Inpatients_in_beds_over_time*Q32</f>
        <v>2258718.8795604864</v>
      </c>
      <c r="W32" s="906">
        <v>2</v>
      </c>
      <c r="X32" s="907"/>
      <c r="Y32" s="290">
        <f t="shared" si="0"/>
        <v>3637343.7821541294</v>
      </c>
      <c r="AA32" s="919">
        <v>4</v>
      </c>
      <c r="AB32" s="673"/>
      <c r="AC32" s="290">
        <f ca="1">IFERROR(IF($F32="yes",IF(AA32&gt;0,Max_HCW_for_outpatient*$C$113,0),Total_HCW_for_outpatient_over_time*'Equipment List &amp; Usage'!AA32*$C$114)+(Total_Mild_Outpatient*SelfQuarantine_Mild*7*AB32)+(Total_moderate_outpatient*7*AB32*SelfQuarantine_Moderate),0)</f>
        <v>91994.266905699682</v>
      </c>
      <c r="AE32" s="923">
        <v>4</v>
      </c>
      <c r="AF32" s="924"/>
      <c r="AG32" s="292">
        <f>IFERROR(IF($F32="yes",IF(AE32&gt;0,Max_Lab_HCWs*$C$113,0),Total_HCW_labs_over_time*'Equipment List &amp; Usage'!AE32*$C$114)+IF($F32="yes",IF(AF32&gt;0,Max_Lab_hygienists*$C$113,0),Total_hygienist_labs_over_time*'Equipment List &amp; Usage'!AF32*$C$114),0)</f>
        <v>104832</v>
      </c>
      <c r="AI32" s="845">
        <v>2</v>
      </c>
      <c r="AJ32" s="842">
        <v>2</v>
      </c>
      <c r="AK32" s="843"/>
      <c r="AL32" s="843"/>
      <c r="AM32" s="843"/>
      <c r="AN32" s="290"/>
      <c r="AP32" s="852">
        <v>2</v>
      </c>
      <c r="AQ32" s="835">
        <v>2</v>
      </c>
      <c r="AR32" s="836"/>
      <c r="AS32" s="836"/>
      <c r="AT32" s="836"/>
      <c r="AU32" s="290"/>
      <c r="AW32" s="283"/>
      <c r="AX32" s="270"/>
      <c r="AY32" s="270"/>
      <c r="AZ32" s="270"/>
      <c r="BA32" s="270"/>
      <c r="BB32" s="270"/>
      <c r="BC32" s="284"/>
      <c r="BE32" s="867">
        <f t="shared" ca="1" si="1"/>
        <v>6092888.9286203161</v>
      </c>
      <c r="BF32" s="868">
        <f t="shared" ca="1" si="2"/>
        <v>4265022.2500342214</v>
      </c>
      <c r="BG32" s="132"/>
    </row>
    <row r="33" spans="2:59" ht="15.5" thickBot="1" x14ac:dyDescent="0.9">
      <c r="B33" s="689" t="s">
        <v>295</v>
      </c>
      <c r="C33" s="690" t="s">
        <v>263</v>
      </c>
      <c r="D33" s="691" t="s">
        <v>1309</v>
      </c>
      <c r="E33" s="692" t="s">
        <v>289</v>
      </c>
      <c r="F33" s="1182" t="s">
        <v>592</v>
      </c>
      <c r="G33" s="693" t="s">
        <v>893</v>
      </c>
      <c r="H33" s="899">
        <v>0.7</v>
      </c>
      <c r="J33" s="663"/>
      <c r="K33" s="664"/>
      <c r="L33" s="664"/>
      <c r="M33" s="664"/>
      <c r="N33" s="864"/>
      <c r="O33" s="914"/>
      <c r="P33" s="914"/>
      <c r="Q33" s="914">
        <v>2</v>
      </c>
      <c r="R33" s="657"/>
      <c r="S33" s="661"/>
      <c r="T33" s="662"/>
      <c r="U33" s="334">
        <f ca="1">IFERROR(IF($F33="yes",MMULT(--(J33:N33&gt;0),--('HCW &amp; Staff'!$BH$22:$BH$26))*$C$113,MMULT(--(J33:N33),--('HCW &amp; Staff'!$BF$22:$BF$26))*$C$114),0)+IF('Equipment List &amp; Usage'!$F33="yes",$C$113,$C$114)*Total_Inpatients_in_beds_over_time*Q33</f>
        <v>1124823.7187884192</v>
      </c>
      <c r="W33" s="915"/>
      <c r="X33" s="916">
        <v>1</v>
      </c>
      <c r="Y33" s="334">
        <f t="shared" si="0"/>
        <v>1818671.8910770647</v>
      </c>
      <c r="AA33" s="883"/>
      <c r="AB33" s="917">
        <v>1</v>
      </c>
      <c r="AC33" s="334">
        <f ca="1">IFERROR(IF($F33="yes",IF(AA33&gt;0,Max_HCW_for_outpatient*$C$113,0),Total_HCW_for_outpatient_over_time*'Equipment List &amp; Usage'!AA33*$C$114)+(Total_Mild_Outpatient*SelfQuarantine_Mild*7*AB33)+(Total_moderate_outpatient*7*AB33*SelfQuarantine_Moderate),0)</f>
        <v>1818671.8910770647</v>
      </c>
      <c r="AE33" s="880"/>
      <c r="AF33" s="881"/>
      <c r="AG33" s="862">
        <f>IFERROR(IF($F33="yes",IF(AE33&gt;0,Max_Lab_HCWs*$C$113,0),Total_HCW_labs_over_time*'Equipment List &amp; Usage'!AE33*$C$114)+IF($F33="yes",IF(AF33&gt;0,Max_Lab_hygienists*$C$113,0),Total_hygienist_labs_over_time*'Equipment List &amp; Usage'!AF33*$C$114),0)</f>
        <v>0</v>
      </c>
      <c r="AI33" s="846"/>
      <c r="AJ33" s="847"/>
      <c r="AK33" s="847">
        <v>1</v>
      </c>
      <c r="AL33" s="847">
        <v>1</v>
      </c>
      <c r="AM33" s="847"/>
      <c r="AN33" s="290"/>
      <c r="AP33" s="839"/>
      <c r="AQ33" s="840"/>
      <c r="AR33" s="840"/>
      <c r="AS33" s="840">
        <v>1</v>
      </c>
      <c r="AT33" s="840"/>
      <c r="AU33" s="290"/>
      <c r="AW33" s="285"/>
      <c r="AX33" s="130"/>
      <c r="AY33" s="130"/>
      <c r="AZ33" s="130"/>
      <c r="BA33" s="130"/>
      <c r="BB33" s="130"/>
      <c r="BC33" s="287"/>
      <c r="BE33" s="869">
        <f t="shared" ca="1" si="1"/>
        <v>4762167.5009425487</v>
      </c>
      <c r="BF33" s="870">
        <f t="shared" ca="1" si="2"/>
        <v>3333517.2506597838</v>
      </c>
      <c r="BG33" s="132"/>
    </row>
    <row r="34" spans="2:59" ht="15.5" thickBot="1" x14ac:dyDescent="0.9">
      <c r="E34"/>
      <c r="H34"/>
      <c r="AE34"/>
      <c r="AF34"/>
      <c r="AG34"/>
    </row>
    <row r="35" spans="2:59" x14ac:dyDescent="0.75">
      <c r="B35" s="1037" t="s">
        <v>1474</v>
      </c>
      <c r="C35" s="1038" t="s">
        <v>262</v>
      </c>
      <c r="D35" s="1039" t="s">
        <v>261</v>
      </c>
      <c r="E35" s="1039" t="s">
        <v>287</v>
      </c>
      <c r="F35" s="1180" t="s">
        <v>591</v>
      </c>
      <c r="G35" s="1040" t="s">
        <v>893</v>
      </c>
      <c r="H35" s="1060">
        <v>30</v>
      </c>
      <c r="J35" s="1521" t="s">
        <v>1392</v>
      </c>
      <c r="K35" s="1522"/>
      <c r="L35" s="1522"/>
      <c r="M35" s="1522"/>
      <c r="N35" s="1522"/>
      <c r="O35" s="1522"/>
      <c r="P35" s="1522"/>
      <c r="Q35" s="1522"/>
      <c r="R35" s="1522"/>
      <c r="S35" s="1522"/>
      <c r="T35" s="1522"/>
      <c r="U35" s="1522"/>
      <c r="V35" s="1522"/>
      <c r="W35" s="1522"/>
      <c r="X35" s="1522"/>
      <c r="Y35" s="1522"/>
      <c r="Z35" s="1522"/>
      <c r="AA35" s="1522"/>
      <c r="AB35" s="1522"/>
      <c r="AC35" s="1522"/>
      <c r="AD35" s="1522"/>
      <c r="AE35" s="1522"/>
      <c r="AF35" s="1522"/>
      <c r="AG35" s="1523"/>
      <c r="AI35" s="283"/>
      <c r="AJ35" s="270"/>
      <c r="AK35" s="270"/>
      <c r="AL35" s="270"/>
      <c r="AM35" s="270"/>
      <c r="AN35" s="290"/>
      <c r="AP35" s="283"/>
      <c r="AQ35" s="296"/>
      <c r="AR35" s="296"/>
      <c r="AS35" s="296"/>
      <c r="AT35" s="296"/>
      <c r="AU35" s="290"/>
      <c r="AW35" s="283"/>
      <c r="AX35" s="270"/>
      <c r="AY35" s="270"/>
      <c r="AZ35" s="270"/>
      <c r="BA35" s="270"/>
      <c r="BB35" s="270"/>
      <c r="BC35" s="284"/>
      <c r="BE35" s="1055">
        <f ca="1">'Back Calculations'!F63</f>
        <v>2208</v>
      </c>
      <c r="BF35" s="1056">
        <f t="shared" ref="BF35:BF45" ca="1" si="3">BE35*H35</f>
        <v>66240</v>
      </c>
      <c r="BG35" s="132"/>
    </row>
    <row r="36" spans="2:59" ht="15" customHeight="1" x14ac:dyDescent="0.75">
      <c r="B36" s="1036" t="s">
        <v>1474</v>
      </c>
      <c r="C36" s="1035" t="s">
        <v>262</v>
      </c>
      <c r="D36" s="1006" t="s">
        <v>1100</v>
      </c>
      <c r="E36" s="1004" t="s">
        <v>287</v>
      </c>
      <c r="F36" s="1181" t="s">
        <v>591</v>
      </c>
      <c r="G36" s="1005" t="s">
        <v>893</v>
      </c>
      <c r="H36" s="1058">
        <v>0.7</v>
      </c>
      <c r="J36" s="1527"/>
      <c r="K36" s="1528"/>
      <c r="L36" s="1528"/>
      <c r="M36" s="1528"/>
      <c r="N36" s="1528"/>
      <c r="O36" s="1528"/>
      <c r="P36" s="1528"/>
      <c r="Q36" s="1528"/>
      <c r="R36" s="1528"/>
      <c r="S36" s="1528"/>
      <c r="T36" s="1528"/>
      <c r="U36" s="1528"/>
      <c r="V36" s="1528"/>
      <c r="W36" s="1528"/>
      <c r="X36" s="1528"/>
      <c r="Y36" s="1528"/>
      <c r="Z36" s="1528"/>
      <c r="AA36" s="1528"/>
      <c r="AB36" s="1528"/>
      <c r="AC36" s="1528"/>
      <c r="AD36" s="1528"/>
      <c r="AE36" s="1528"/>
      <c r="AF36" s="1528"/>
      <c r="AG36" s="1529"/>
      <c r="AI36" s="283"/>
      <c r="AJ36" s="270"/>
      <c r="AK36" s="270"/>
      <c r="AL36" s="270"/>
      <c r="AM36" s="270"/>
      <c r="AN36" s="290"/>
      <c r="AP36" s="283"/>
      <c r="AQ36" s="296"/>
      <c r="AR36" s="296"/>
      <c r="AS36" s="296"/>
      <c r="AT36" s="296"/>
      <c r="AU36" s="290"/>
      <c r="AW36" s="283"/>
      <c r="AX36" s="270"/>
      <c r="AY36" s="270"/>
      <c r="AZ36" s="270"/>
      <c r="BA36" s="270"/>
      <c r="BB36" s="270"/>
      <c r="BC36" s="284"/>
      <c r="BE36" s="1051">
        <f ca="1">'Back Calculations'!F64</f>
        <v>322517.5206073692</v>
      </c>
      <c r="BF36" s="1052">
        <f t="shared" ca="1" si="3"/>
        <v>225762.26442515841</v>
      </c>
      <c r="BG36" s="132"/>
    </row>
    <row r="37" spans="2:59" x14ac:dyDescent="0.75">
      <c r="B37" s="1036" t="s">
        <v>1474</v>
      </c>
      <c r="C37" s="1035" t="s">
        <v>262</v>
      </c>
      <c r="D37" s="1006" t="s">
        <v>299</v>
      </c>
      <c r="E37" s="1004" t="s">
        <v>289</v>
      </c>
      <c r="F37" s="1181" t="s">
        <v>591</v>
      </c>
      <c r="G37" s="1005" t="s">
        <v>893</v>
      </c>
      <c r="H37" s="1058">
        <v>0.8</v>
      </c>
      <c r="J37" s="1527"/>
      <c r="K37" s="1528"/>
      <c r="L37" s="1528"/>
      <c r="M37" s="1528"/>
      <c r="N37" s="1528"/>
      <c r="O37" s="1528"/>
      <c r="P37" s="1528"/>
      <c r="Q37" s="1528"/>
      <c r="R37" s="1528"/>
      <c r="S37" s="1528"/>
      <c r="T37" s="1528"/>
      <c r="U37" s="1528"/>
      <c r="V37" s="1528"/>
      <c r="W37" s="1528"/>
      <c r="X37" s="1528"/>
      <c r="Y37" s="1528"/>
      <c r="Z37" s="1528"/>
      <c r="AA37" s="1528"/>
      <c r="AB37" s="1528"/>
      <c r="AC37" s="1528"/>
      <c r="AD37" s="1528"/>
      <c r="AE37" s="1528"/>
      <c r="AF37" s="1528"/>
      <c r="AG37" s="1529"/>
      <c r="AI37" s="283"/>
      <c r="AJ37" s="270"/>
      <c r="AK37" s="270"/>
      <c r="AL37" s="270"/>
      <c r="AM37" s="270"/>
      <c r="AN37" s="290"/>
      <c r="AP37" s="283"/>
      <c r="AQ37" s="296"/>
      <c r="AR37" s="296"/>
      <c r="AS37" s="296"/>
      <c r="AT37" s="296"/>
      <c r="AU37" s="290"/>
      <c r="AW37" s="283"/>
      <c r="AX37" s="270"/>
      <c r="AY37" s="270"/>
      <c r="AZ37" s="270"/>
      <c r="BA37" s="270"/>
      <c r="BB37" s="270"/>
      <c r="BC37" s="284"/>
      <c r="BE37" s="1051">
        <f ca="1">'Back Calculations'!F65</f>
        <v>16128</v>
      </c>
      <c r="BF37" s="1052">
        <f t="shared" ca="1" si="3"/>
        <v>12902.400000000001</v>
      </c>
      <c r="BG37" s="132"/>
    </row>
    <row r="38" spans="2:59" x14ac:dyDescent="0.75">
      <c r="B38" s="1036" t="s">
        <v>1474</v>
      </c>
      <c r="C38" s="1035" t="s">
        <v>262</v>
      </c>
      <c r="D38" s="1006" t="s">
        <v>1101</v>
      </c>
      <c r="E38" s="1004" t="s">
        <v>287</v>
      </c>
      <c r="F38" s="1181" t="s">
        <v>592</v>
      </c>
      <c r="G38" s="1005" t="s">
        <v>893</v>
      </c>
      <c r="H38" s="1058">
        <v>960</v>
      </c>
      <c r="J38" s="1527"/>
      <c r="K38" s="1528"/>
      <c r="L38" s="1528"/>
      <c r="M38" s="1528"/>
      <c r="N38" s="1528"/>
      <c r="O38" s="1528"/>
      <c r="P38" s="1528"/>
      <c r="Q38" s="1528"/>
      <c r="R38" s="1528"/>
      <c r="S38" s="1528"/>
      <c r="T38" s="1528"/>
      <c r="U38" s="1528"/>
      <c r="V38" s="1528"/>
      <c r="W38" s="1528"/>
      <c r="X38" s="1528"/>
      <c r="Y38" s="1528"/>
      <c r="Z38" s="1528"/>
      <c r="AA38" s="1528"/>
      <c r="AB38" s="1528"/>
      <c r="AC38" s="1528"/>
      <c r="AD38" s="1528"/>
      <c r="AE38" s="1528"/>
      <c r="AF38" s="1528"/>
      <c r="AG38" s="1529"/>
      <c r="AI38" s="283"/>
      <c r="AJ38" s="270"/>
      <c r="AK38" s="270"/>
      <c r="AL38" s="270"/>
      <c r="AM38" s="270"/>
      <c r="AN38" s="290"/>
      <c r="AP38" s="283"/>
      <c r="AQ38" s="296"/>
      <c r="AR38" s="296"/>
      <c r="AS38" s="296"/>
      <c r="AT38" s="296"/>
      <c r="AU38" s="290"/>
      <c r="AW38" s="283"/>
      <c r="AX38" s="270"/>
      <c r="AY38" s="270"/>
      <c r="AZ38" s="270"/>
      <c r="BA38" s="270"/>
      <c r="BB38" s="270"/>
      <c r="BC38" s="284"/>
      <c r="BE38" s="1051">
        <f ca="1">'Back Calculations'!F66</f>
        <v>56</v>
      </c>
      <c r="BF38" s="1052">
        <f t="shared" ca="1" si="3"/>
        <v>53760</v>
      </c>
      <c r="BG38" s="132"/>
    </row>
    <row r="39" spans="2:59" x14ac:dyDescent="0.75">
      <c r="B39" s="1036" t="s">
        <v>1474</v>
      </c>
      <c r="C39" s="1035" t="s">
        <v>262</v>
      </c>
      <c r="D39" s="1006" t="s">
        <v>1483</v>
      </c>
      <c r="E39" s="1004" t="s">
        <v>1374</v>
      </c>
      <c r="F39" s="1181" t="s">
        <v>592</v>
      </c>
      <c r="G39" s="1005" t="s">
        <v>893</v>
      </c>
      <c r="H39" s="1058">
        <v>260</v>
      </c>
      <c r="J39" s="1527"/>
      <c r="K39" s="1528"/>
      <c r="L39" s="1528"/>
      <c r="M39" s="1528"/>
      <c r="N39" s="1528"/>
      <c r="O39" s="1528"/>
      <c r="P39" s="1528"/>
      <c r="Q39" s="1528"/>
      <c r="R39" s="1528"/>
      <c r="S39" s="1528"/>
      <c r="T39" s="1528"/>
      <c r="U39" s="1528"/>
      <c r="V39" s="1528"/>
      <c r="W39" s="1528"/>
      <c r="X39" s="1528"/>
      <c r="Y39" s="1528"/>
      <c r="Z39" s="1528"/>
      <c r="AA39" s="1528"/>
      <c r="AB39" s="1528"/>
      <c r="AC39" s="1528"/>
      <c r="AD39" s="1528"/>
      <c r="AE39" s="1528"/>
      <c r="AF39" s="1528"/>
      <c r="AG39" s="1529"/>
      <c r="AI39" s="283"/>
      <c r="AJ39" s="270"/>
      <c r="AK39" s="270"/>
      <c r="AL39" s="270"/>
      <c r="AM39" s="270"/>
      <c r="AN39" s="290"/>
      <c r="AP39" s="283"/>
      <c r="AQ39" s="296"/>
      <c r="AR39" s="296"/>
      <c r="AS39" s="296"/>
      <c r="AT39" s="296"/>
      <c r="AU39" s="290"/>
      <c r="AW39" s="283"/>
      <c r="AX39" s="270"/>
      <c r="AY39" s="270"/>
      <c r="AZ39" s="270"/>
      <c r="BA39" s="270"/>
      <c r="BB39" s="270"/>
      <c r="BC39" s="284"/>
      <c r="BE39" s="1051">
        <f ca="1">'Back Calculations'!F69</f>
        <v>140</v>
      </c>
      <c r="BF39" s="1052">
        <f t="shared" ca="1" si="3"/>
        <v>36400</v>
      </c>
      <c r="BG39" s="132"/>
    </row>
    <row r="40" spans="2:59" s="132" customFormat="1" x14ac:dyDescent="0.75">
      <c r="B40" s="1036" t="s">
        <v>1474</v>
      </c>
      <c r="C40" s="1035" t="s">
        <v>262</v>
      </c>
      <c r="D40" s="1006" t="s">
        <v>1125</v>
      </c>
      <c r="E40" s="1004" t="s">
        <v>1375</v>
      </c>
      <c r="F40" s="1181" t="s">
        <v>592</v>
      </c>
      <c r="G40" s="1005" t="s">
        <v>893</v>
      </c>
      <c r="H40" s="1058">
        <v>15</v>
      </c>
      <c r="J40" s="1527"/>
      <c r="K40" s="1528"/>
      <c r="L40" s="1528"/>
      <c r="M40" s="1528"/>
      <c r="N40" s="1528"/>
      <c r="O40" s="1528"/>
      <c r="P40" s="1528"/>
      <c r="Q40" s="1528"/>
      <c r="R40" s="1528"/>
      <c r="S40" s="1528"/>
      <c r="T40" s="1528"/>
      <c r="U40" s="1528"/>
      <c r="V40" s="1528"/>
      <c r="W40" s="1528"/>
      <c r="X40" s="1528"/>
      <c r="Y40" s="1528"/>
      <c r="Z40" s="1528"/>
      <c r="AA40" s="1528"/>
      <c r="AB40" s="1528"/>
      <c r="AC40" s="1528"/>
      <c r="AD40" s="1528"/>
      <c r="AE40" s="1528"/>
      <c r="AF40" s="1528"/>
      <c r="AG40" s="1529"/>
      <c r="AI40" s="283"/>
      <c r="AJ40" s="296"/>
      <c r="AK40" s="296"/>
      <c r="AL40" s="296"/>
      <c r="AM40" s="296"/>
      <c r="AN40" s="290"/>
      <c r="AP40" s="283"/>
      <c r="AQ40" s="296"/>
      <c r="AR40" s="296"/>
      <c r="AS40" s="296"/>
      <c r="AT40" s="296"/>
      <c r="AU40" s="290"/>
      <c r="AW40" s="283"/>
      <c r="AX40" s="296"/>
      <c r="AY40" s="296"/>
      <c r="AZ40" s="296"/>
      <c r="BA40" s="296"/>
      <c r="BB40" s="296"/>
      <c r="BC40" s="284"/>
      <c r="BE40" s="1051">
        <f ca="1">'Diagnostics Module'!J5</f>
        <v>276606.20698209683</v>
      </c>
      <c r="BF40" s="1052">
        <f t="shared" ca="1" si="3"/>
        <v>4149093.1047314527</v>
      </c>
    </row>
    <row r="41" spans="2:59" s="132" customFormat="1" x14ac:dyDescent="0.75">
      <c r="B41" s="1036" t="s">
        <v>1474</v>
      </c>
      <c r="C41" s="1035" t="s">
        <v>262</v>
      </c>
      <c r="D41" s="1006" t="s">
        <v>1482</v>
      </c>
      <c r="E41" s="1004" t="s">
        <v>1375</v>
      </c>
      <c r="F41" s="1181" t="s">
        <v>592</v>
      </c>
      <c r="G41" s="1005" t="s">
        <v>893</v>
      </c>
      <c r="H41" s="1058">
        <v>20</v>
      </c>
      <c r="J41" s="1527"/>
      <c r="K41" s="1528"/>
      <c r="L41" s="1528"/>
      <c r="M41" s="1528"/>
      <c r="N41" s="1528"/>
      <c r="O41" s="1528"/>
      <c r="P41" s="1528"/>
      <c r="Q41" s="1528"/>
      <c r="R41" s="1528"/>
      <c r="S41" s="1528"/>
      <c r="T41" s="1528"/>
      <c r="U41" s="1528"/>
      <c r="V41" s="1528"/>
      <c r="W41" s="1528"/>
      <c r="X41" s="1528"/>
      <c r="Y41" s="1528"/>
      <c r="Z41" s="1528"/>
      <c r="AA41" s="1528"/>
      <c r="AB41" s="1528"/>
      <c r="AC41" s="1528"/>
      <c r="AD41" s="1528"/>
      <c r="AE41" s="1528"/>
      <c r="AF41" s="1528"/>
      <c r="AG41" s="1529"/>
      <c r="AI41" s="283"/>
      <c r="AJ41" s="296"/>
      <c r="AK41" s="296"/>
      <c r="AL41" s="296"/>
      <c r="AM41" s="296"/>
      <c r="AN41" s="290"/>
      <c r="AP41" s="283"/>
      <c r="AQ41" s="296"/>
      <c r="AR41" s="296"/>
      <c r="AS41" s="296"/>
      <c r="AT41" s="296"/>
      <c r="AU41" s="290"/>
      <c r="AW41" s="283"/>
      <c r="AX41" s="296"/>
      <c r="AY41" s="296"/>
      <c r="AZ41" s="296"/>
      <c r="BA41" s="296"/>
      <c r="BB41" s="296"/>
      <c r="BC41" s="284"/>
      <c r="BE41" s="1051">
        <f ca="1">'Diagnostics Module'!J6</f>
        <v>33383.234866958512</v>
      </c>
      <c r="BF41" s="1052">
        <f t="shared" ca="1" si="3"/>
        <v>667664.69733917026</v>
      </c>
    </row>
    <row r="42" spans="2:59" s="132" customFormat="1" x14ac:dyDescent="0.75">
      <c r="B42" s="1036" t="s">
        <v>1474</v>
      </c>
      <c r="C42" s="1035" t="s">
        <v>262</v>
      </c>
      <c r="D42" s="1006" t="str">
        <f>IF(ISBLANK(Inputs!B145),"N/A - no additional platform entered","Test kits - "&amp;Inputs!B145)</f>
        <v>N/A - no additional platform entered</v>
      </c>
      <c r="E42" s="1004" t="s">
        <v>289</v>
      </c>
      <c r="F42" s="1181" t="s">
        <v>592</v>
      </c>
      <c r="G42" s="1005" t="s">
        <v>893</v>
      </c>
      <c r="H42" s="1058"/>
      <c r="J42" s="1527"/>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9"/>
      <c r="AI42" s="283"/>
      <c r="AJ42" s="296"/>
      <c r="AK42" s="296"/>
      <c r="AL42" s="296"/>
      <c r="AM42" s="296"/>
      <c r="AN42" s="290"/>
      <c r="AP42" s="283"/>
      <c r="AQ42" s="296"/>
      <c r="AR42" s="296"/>
      <c r="AS42" s="296"/>
      <c r="AT42" s="296"/>
      <c r="AU42" s="290"/>
      <c r="AW42" s="283"/>
      <c r="AX42" s="296"/>
      <c r="AY42" s="296"/>
      <c r="AZ42" s="296"/>
      <c r="BA42" s="296"/>
      <c r="BB42" s="296"/>
      <c r="BC42" s="284"/>
      <c r="BE42" s="1051">
        <f ca="1">'Diagnostics Module'!J8</f>
        <v>0</v>
      </c>
      <c r="BF42" s="1052">
        <f t="shared" ca="1" si="3"/>
        <v>0</v>
      </c>
    </row>
    <row r="43" spans="2:59" s="995" customFormat="1" x14ac:dyDescent="0.75">
      <c r="B43" s="1036" t="s">
        <v>1474</v>
      </c>
      <c r="C43" s="1035" t="s">
        <v>262</v>
      </c>
      <c r="D43" s="1006" t="s">
        <v>1647</v>
      </c>
      <c r="E43" s="1004" t="s">
        <v>289</v>
      </c>
      <c r="F43" s="1181" t="s">
        <v>592</v>
      </c>
      <c r="G43" s="1005" t="s">
        <v>893</v>
      </c>
      <c r="H43" s="1058">
        <v>25000</v>
      </c>
      <c r="J43" s="1527"/>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9"/>
      <c r="AI43" s="1003"/>
      <c r="AJ43" s="1003"/>
      <c r="AK43" s="1003"/>
      <c r="AL43" s="1003"/>
      <c r="AM43" s="1003"/>
      <c r="AN43" s="992"/>
      <c r="AP43" s="1003"/>
      <c r="AQ43" s="1003"/>
      <c r="AR43" s="1003"/>
      <c r="AS43" s="1003"/>
      <c r="AT43" s="1003"/>
      <c r="AU43" s="992"/>
      <c r="AW43" s="1003"/>
      <c r="AX43" s="1003"/>
      <c r="AY43" s="1003"/>
      <c r="AZ43" s="1003"/>
      <c r="BA43" s="1003"/>
      <c r="BB43" s="1003"/>
      <c r="BC43" s="1003"/>
      <c r="BE43" s="1051">
        <f>Inputs!C158</f>
        <v>0</v>
      </c>
      <c r="BF43" s="1052">
        <f t="shared" si="3"/>
        <v>0</v>
      </c>
    </row>
    <row r="44" spans="2:59" s="995" customFormat="1" ht="30" customHeight="1" x14ac:dyDescent="0.75">
      <c r="B44" s="1036" t="s">
        <v>1474</v>
      </c>
      <c r="C44" s="1035" t="s">
        <v>262</v>
      </c>
      <c r="D44" s="1006" t="s">
        <v>1648</v>
      </c>
      <c r="E44" s="1004" t="s">
        <v>289</v>
      </c>
      <c r="F44" s="1181" t="s">
        <v>592</v>
      </c>
      <c r="G44" s="1005" t="s">
        <v>893</v>
      </c>
      <c r="H44" s="1058">
        <v>12500</v>
      </c>
      <c r="J44" s="1527"/>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9"/>
      <c r="AI44" s="1003"/>
      <c r="AJ44" s="1003"/>
      <c r="AK44" s="1003"/>
      <c r="AL44" s="1003"/>
      <c r="AM44" s="1003"/>
      <c r="AN44" s="992"/>
      <c r="AP44" s="1003"/>
      <c r="AQ44" s="1003"/>
      <c r="AR44" s="1003"/>
      <c r="AS44" s="1003"/>
      <c r="AT44" s="1003"/>
      <c r="AU44" s="992"/>
      <c r="AW44" s="1003"/>
      <c r="AX44" s="1003"/>
      <c r="AY44" s="1003"/>
      <c r="AZ44" s="1003"/>
      <c r="BA44" s="1003"/>
      <c r="BB44" s="1003"/>
      <c r="BC44" s="1003"/>
      <c r="BE44" s="1051">
        <f>Inputs!C155</f>
        <v>0</v>
      </c>
      <c r="BF44" s="1052">
        <f t="shared" si="3"/>
        <v>0</v>
      </c>
    </row>
    <row r="45" spans="2:59" s="995" customFormat="1" ht="31.7" customHeight="1" thickBot="1" x14ac:dyDescent="0.9">
      <c r="B45" s="1041" t="s">
        <v>1474</v>
      </c>
      <c r="C45" s="1042" t="s">
        <v>262</v>
      </c>
      <c r="D45" s="1043" t="s">
        <v>1649</v>
      </c>
      <c r="E45" s="1044" t="s">
        <v>289</v>
      </c>
      <c r="F45" s="1182" t="s">
        <v>592</v>
      </c>
      <c r="G45" s="1045" t="s">
        <v>893</v>
      </c>
      <c r="H45" s="1059">
        <v>18000</v>
      </c>
      <c r="J45" s="1524"/>
      <c r="K45" s="1525"/>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6"/>
      <c r="AI45" s="1003"/>
      <c r="AJ45" s="1003"/>
      <c r="AK45" s="1003"/>
      <c r="AL45" s="1003"/>
      <c r="AM45" s="1003"/>
      <c r="AN45" s="992"/>
      <c r="AP45" s="1003"/>
      <c r="AQ45" s="1003"/>
      <c r="AR45" s="1003"/>
      <c r="AS45" s="1003"/>
      <c r="AT45" s="1003"/>
      <c r="AU45" s="992"/>
      <c r="AW45" s="1003"/>
      <c r="AX45" s="1003"/>
      <c r="AY45" s="1003"/>
      <c r="AZ45" s="1003"/>
      <c r="BA45" s="1003"/>
      <c r="BB45" s="1003"/>
      <c r="BC45" s="1003"/>
      <c r="BE45" s="1053">
        <f>Inputs!C156</f>
        <v>0</v>
      </c>
      <c r="BF45" s="1054">
        <f t="shared" si="3"/>
        <v>0</v>
      </c>
    </row>
    <row r="46" spans="2:59" s="132" customFormat="1" ht="15.5" thickBot="1" x14ac:dyDescent="0.9">
      <c r="B46" s="84"/>
      <c r="C46" s="84"/>
      <c r="N46" s="804"/>
    </row>
    <row r="47" spans="2:59" s="70" customFormat="1" ht="24.65" customHeight="1" x14ac:dyDescent="0.75">
      <c r="B47" s="694" t="s">
        <v>302</v>
      </c>
      <c r="C47" s="695" t="s">
        <v>647</v>
      </c>
      <c r="D47" s="696" t="s">
        <v>652</v>
      </c>
      <c r="E47" s="687" t="s">
        <v>289</v>
      </c>
      <c r="F47" s="697"/>
      <c r="G47" s="853" t="s">
        <v>896</v>
      </c>
      <c r="H47" s="901">
        <v>8000</v>
      </c>
      <c r="J47" s="1521" t="s">
        <v>1393</v>
      </c>
      <c r="K47" s="1522"/>
      <c r="L47" s="1522"/>
      <c r="M47" s="1522"/>
      <c r="N47" s="1522"/>
      <c r="O47" s="1522"/>
      <c r="P47" s="1522"/>
      <c r="Q47" s="1522"/>
      <c r="R47" s="1522"/>
      <c r="S47" s="1522"/>
      <c r="T47" s="1522"/>
      <c r="U47" s="1523"/>
      <c r="AG47"/>
      <c r="BE47" s="871">
        <f ca="1">(Total_admitted_capped_severe_patients+Total_admitted_capped_critical_patients)/40</f>
        <v>1956.2237865200163</v>
      </c>
      <c r="BF47" s="873">
        <f ca="1">BE47*H47</f>
        <v>15649790.292160131</v>
      </c>
    </row>
    <row r="48" spans="2:59" s="70" customFormat="1" ht="30.25" thickBot="1" x14ac:dyDescent="0.9">
      <c r="B48" s="698" t="s">
        <v>302</v>
      </c>
      <c r="C48" s="699" t="s">
        <v>647</v>
      </c>
      <c r="D48" s="700" t="s">
        <v>653</v>
      </c>
      <c r="E48" s="691" t="s">
        <v>289</v>
      </c>
      <c r="F48" s="701"/>
      <c r="G48" s="854" t="s">
        <v>897</v>
      </c>
      <c r="H48" s="902">
        <v>1800</v>
      </c>
      <c r="J48" s="1524"/>
      <c r="K48" s="1525"/>
      <c r="L48" s="1525"/>
      <c r="M48" s="1525"/>
      <c r="N48" s="1525"/>
      <c r="O48" s="1525"/>
      <c r="P48" s="1525"/>
      <c r="Q48" s="1525"/>
      <c r="R48" s="1525"/>
      <c r="S48" s="1525"/>
      <c r="T48" s="1525"/>
      <c r="U48" s="1526"/>
      <c r="AC48" s="656"/>
      <c r="AG48"/>
      <c r="BE48" s="869">
        <f ca="1">(Total_admitted_capped_critical_patients+Total_admitted_capped_severe_patients)/40</f>
        <v>1956.2237865200163</v>
      </c>
      <c r="BF48" s="874">
        <f ca="1">BE48*H48</f>
        <v>3521202.8157360293</v>
      </c>
    </row>
    <row r="49" spans="2:58" x14ac:dyDescent="0.75">
      <c r="E49"/>
      <c r="H49"/>
      <c r="R49"/>
      <c r="S49"/>
      <c r="T49"/>
      <c r="AE49"/>
      <c r="AF49"/>
      <c r="AG49"/>
    </row>
    <row r="50" spans="2:58" s="995" customFormat="1" ht="15.5" thickBot="1" x14ac:dyDescent="0.9">
      <c r="B50" s="1123" t="s">
        <v>1805</v>
      </c>
      <c r="C50" s="84"/>
    </row>
    <row r="51" spans="2:58" s="132" customFormat="1" ht="29.5" x14ac:dyDescent="0.75">
      <c r="B51" s="816" t="s">
        <v>1494</v>
      </c>
      <c r="C51" s="686" t="s">
        <v>1476</v>
      </c>
      <c r="D51" s="687" t="s">
        <v>980</v>
      </c>
      <c r="E51" s="687" t="s">
        <v>289</v>
      </c>
      <c r="F51" s="1183" t="s">
        <v>591</v>
      </c>
      <c r="G51" s="688"/>
      <c r="H51" s="900">
        <v>25</v>
      </c>
      <c r="N51" s="804"/>
      <c r="O51" s="925"/>
      <c r="P51" s="926"/>
      <c r="Q51" s="926"/>
      <c r="R51" s="926"/>
      <c r="S51" s="926"/>
      <c r="T51" s="926">
        <f>2/NumberOfBeds_per_centre</f>
        <v>0.05</v>
      </c>
      <c r="U51" s="876">
        <f t="shared" ref="U51:U73" ca="1" si="4">Max_severe_capped_beds*R51+Max_total_capped_beds*T51+Max_critical_capped_beds*S51+Q51*(Total_severe_patients_in_bed_over_forecast+Total_crit_patients_in_bed_over_forecast)+O51*Total_admitted_capped_severe_patients+P51*Total_admitted_capped_critical_patients</f>
        <v>1103.04</v>
      </c>
      <c r="AI51" s="283"/>
      <c r="AJ51" s="296"/>
      <c r="AK51" s="296"/>
      <c r="AL51" s="296"/>
      <c r="AM51" s="296"/>
      <c r="AN51" s="291"/>
      <c r="AP51" s="283"/>
      <c r="AQ51" s="296"/>
      <c r="AR51" s="296"/>
      <c r="AS51" s="296"/>
      <c r="AT51" s="296"/>
      <c r="AU51" s="291"/>
      <c r="AW51" s="283"/>
      <c r="AX51" s="296"/>
      <c r="AY51" s="296"/>
      <c r="AZ51" s="296"/>
      <c r="BA51" s="296"/>
      <c r="BB51" s="296"/>
      <c r="BC51" s="284"/>
      <c r="BE51" s="1055">
        <f t="shared" ref="BE51:BE85" ca="1" si="5">U51</f>
        <v>1103.04</v>
      </c>
      <c r="BF51" s="873">
        <f t="shared" ref="BF51:BF85" ca="1" si="6">IF(H51="*",0,BE51*H51)</f>
        <v>27576</v>
      </c>
    </row>
    <row r="52" spans="2:58" ht="29.5" x14ac:dyDescent="0.75">
      <c r="B52" s="817" t="s">
        <v>1494</v>
      </c>
      <c r="C52" s="577" t="s">
        <v>1476</v>
      </c>
      <c r="D52" s="235" t="s">
        <v>1347</v>
      </c>
      <c r="E52" s="232" t="s">
        <v>289</v>
      </c>
      <c r="F52" s="1184" t="s">
        <v>591</v>
      </c>
      <c r="G52" s="233"/>
      <c r="H52" s="903" t="s">
        <v>1524</v>
      </c>
      <c r="I52" s="132"/>
      <c r="O52" s="927"/>
      <c r="P52" s="928"/>
      <c r="Q52" s="928"/>
      <c r="R52" s="928"/>
      <c r="S52" s="928"/>
      <c r="T52" s="928">
        <v>1</v>
      </c>
      <c r="U52" s="290">
        <f t="shared" ca="1" si="4"/>
        <v>22060.799999999999</v>
      </c>
      <c r="BE52" s="1051">
        <f t="shared" ca="1" si="5"/>
        <v>22060.799999999999</v>
      </c>
      <c r="BF52" s="875">
        <f t="shared" si="6"/>
        <v>0</v>
      </c>
    </row>
    <row r="53" spans="2:58" ht="88.5" x14ac:dyDescent="0.75">
      <c r="B53" s="817" t="s">
        <v>1494</v>
      </c>
      <c r="C53" s="577" t="s">
        <v>1476</v>
      </c>
      <c r="D53" s="235" t="s">
        <v>1567</v>
      </c>
      <c r="E53" s="232" t="s">
        <v>289</v>
      </c>
      <c r="F53" s="1184" t="s">
        <v>591</v>
      </c>
      <c r="G53" s="575" t="s">
        <v>1579</v>
      </c>
      <c r="H53" s="898">
        <v>7901</v>
      </c>
      <c r="I53" s="132"/>
      <c r="O53" s="927"/>
      <c r="P53" s="928"/>
      <c r="Q53" s="928"/>
      <c r="R53" s="928"/>
      <c r="S53" s="928">
        <v>1</v>
      </c>
      <c r="T53" s="928"/>
      <c r="U53" s="290">
        <f t="shared" ca="1" si="4"/>
        <v>875.0784000000001</v>
      </c>
      <c r="BE53" s="1051">
        <f t="shared" ca="1" si="5"/>
        <v>875.0784000000001</v>
      </c>
      <c r="BF53" s="875">
        <f t="shared" ca="1" si="6"/>
        <v>6913994.4384000013</v>
      </c>
    </row>
    <row r="54" spans="2:58" s="132" customFormat="1" ht="54" customHeight="1" x14ac:dyDescent="0.75">
      <c r="B54" s="817" t="s">
        <v>1494</v>
      </c>
      <c r="C54" s="577" t="s">
        <v>1476</v>
      </c>
      <c r="D54" s="235" t="s">
        <v>1568</v>
      </c>
      <c r="E54" s="232" t="s">
        <v>289</v>
      </c>
      <c r="F54" s="1184" t="s">
        <v>591</v>
      </c>
      <c r="G54" s="575"/>
      <c r="H54" s="898">
        <v>1300</v>
      </c>
      <c r="N54" s="804"/>
      <c r="O54" s="927"/>
      <c r="P54" s="928"/>
      <c r="Q54" s="928"/>
      <c r="R54" s="928">
        <f>1/4</f>
        <v>0.25</v>
      </c>
      <c r="S54" s="928"/>
      <c r="T54" s="928"/>
      <c r="U54" s="290">
        <f t="shared" ca="1" si="4"/>
        <v>5296.4304000000002</v>
      </c>
      <c r="BE54" s="1051">
        <f t="shared" ca="1" si="5"/>
        <v>5296.4304000000002</v>
      </c>
      <c r="BF54" s="875">
        <f t="shared" ca="1" si="6"/>
        <v>6885359.5200000005</v>
      </c>
    </row>
    <row r="55" spans="2:58" ht="44.25" x14ac:dyDescent="0.75">
      <c r="B55" s="817" t="s">
        <v>1494</v>
      </c>
      <c r="C55" s="577" t="s">
        <v>1485</v>
      </c>
      <c r="D55" s="235" t="s">
        <v>1310</v>
      </c>
      <c r="E55" s="232" t="s">
        <v>289</v>
      </c>
      <c r="F55" s="1184" t="s">
        <v>591</v>
      </c>
      <c r="G55" s="575" t="s">
        <v>1806</v>
      </c>
      <c r="H55" s="903" t="s">
        <v>1524</v>
      </c>
      <c r="I55" s="132"/>
      <c r="O55" s="927"/>
      <c r="P55" s="928"/>
      <c r="Q55" s="928"/>
      <c r="R55" s="928"/>
      <c r="S55" s="928"/>
      <c r="T55" s="928">
        <v>1</v>
      </c>
      <c r="U55" s="290">
        <f t="shared" ca="1" si="4"/>
        <v>22060.799999999999</v>
      </c>
      <c r="BE55" s="1051">
        <f t="shared" ca="1" si="5"/>
        <v>22060.799999999999</v>
      </c>
      <c r="BF55" s="875">
        <f t="shared" si="6"/>
        <v>0</v>
      </c>
    </row>
    <row r="56" spans="2:58" ht="29.5" x14ac:dyDescent="0.75">
      <c r="B56" s="817" t="s">
        <v>1494</v>
      </c>
      <c r="C56" s="579" t="s">
        <v>1486</v>
      </c>
      <c r="D56" s="235" t="s">
        <v>1564</v>
      </c>
      <c r="E56" s="232" t="s">
        <v>289</v>
      </c>
      <c r="F56" s="1184" t="s">
        <v>591</v>
      </c>
      <c r="G56" s="575" t="s">
        <v>1498</v>
      </c>
      <c r="H56" s="898">
        <v>80</v>
      </c>
      <c r="O56" s="927"/>
      <c r="P56" s="928"/>
      <c r="Q56" s="928"/>
      <c r="R56" s="928"/>
      <c r="S56" s="928">
        <f>2/3</f>
        <v>0.66666666666666663</v>
      </c>
      <c r="T56" s="928"/>
      <c r="U56" s="290">
        <f t="shared" ca="1" si="4"/>
        <v>583.38560000000007</v>
      </c>
      <c r="BE56" s="1051">
        <f t="shared" ca="1" si="5"/>
        <v>583.38560000000007</v>
      </c>
      <c r="BF56" s="875">
        <f t="shared" ca="1" si="6"/>
        <v>46670.848000000005</v>
      </c>
    </row>
    <row r="57" spans="2:58" ht="29.5" collapsed="1" x14ac:dyDescent="0.75">
      <c r="B57" s="817" t="s">
        <v>1494</v>
      </c>
      <c r="C57" s="579" t="s">
        <v>1487</v>
      </c>
      <c r="D57" s="235" t="s">
        <v>1565</v>
      </c>
      <c r="E57" s="232" t="s">
        <v>289</v>
      </c>
      <c r="F57" s="1184" t="s">
        <v>591</v>
      </c>
      <c r="G57" s="575" t="s">
        <v>794</v>
      </c>
      <c r="H57" s="898">
        <v>28384</v>
      </c>
      <c r="O57" s="927"/>
      <c r="P57" s="928"/>
      <c r="Q57" s="928"/>
      <c r="R57" s="928"/>
      <c r="S57" s="928">
        <f>2/3</f>
        <v>0.66666666666666663</v>
      </c>
      <c r="T57" s="928"/>
      <c r="U57" s="290">
        <f t="shared" ca="1" si="4"/>
        <v>583.38560000000007</v>
      </c>
      <c r="BE57" s="1051">
        <f t="shared" ca="1" si="5"/>
        <v>583.38560000000007</v>
      </c>
      <c r="BF57" s="875">
        <f t="shared" ca="1" si="6"/>
        <v>16558816.870400002</v>
      </c>
    </row>
    <row r="58" spans="2:58" ht="33" customHeight="1" collapsed="1" x14ac:dyDescent="0.75">
      <c r="B58" s="817" t="s">
        <v>1494</v>
      </c>
      <c r="C58" s="579" t="s">
        <v>1488</v>
      </c>
      <c r="D58" s="235" t="s">
        <v>1566</v>
      </c>
      <c r="E58" s="232" t="s">
        <v>289</v>
      </c>
      <c r="F58" s="1184" t="s">
        <v>591</v>
      </c>
      <c r="G58" s="575" t="s">
        <v>1569</v>
      </c>
      <c r="H58" s="898">
        <v>5606</v>
      </c>
      <c r="O58" s="927"/>
      <c r="P58" s="928"/>
      <c r="Q58" s="928"/>
      <c r="R58" s="928"/>
      <c r="S58" s="928">
        <f>1/6</f>
        <v>0.16666666666666666</v>
      </c>
      <c r="T58" s="928"/>
      <c r="U58" s="290">
        <f t="shared" ca="1" si="4"/>
        <v>145.84640000000002</v>
      </c>
      <c r="BE58" s="1051">
        <f t="shared" ca="1" si="5"/>
        <v>145.84640000000002</v>
      </c>
      <c r="BF58" s="875">
        <f t="shared" ca="1" si="6"/>
        <v>817614.91840000008</v>
      </c>
    </row>
    <row r="59" spans="2:58" s="132" customFormat="1" ht="29.5" x14ac:dyDescent="0.75">
      <c r="B59" s="817" t="s">
        <v>1494</v>
      </c>
      <c r="C59" s="579" t="s">
        <v>1488</v>
      </c>
      <c r="D59" s="235" t="s">
        <v>1570</v>
      </c>
      <c r="E59" s="232" t="s">
        <v>289</v>
      </c>
      <c r="F59" s="1184" t="s">
        <v>591</v>
      </c>
      <c r="G59" s="575" t="s">
        <v>1569</v>
      </c>
      <c r="H59" s="898">
        <v>2000</v>
      </c>
      <c r="N59" s="804"/>
      <c r="O59" s="927"/>
      <c r="P59" s="928"/>
      <c r="Q59" s="928"/>
      <c r="R59" s="928"/>
      <c r="S59" s="928">
        <f>1/6</f>
        <v>0.16666666666666666</v>
      </c>
      <c r="T59" s="928"/>
      <c r="U59" s="290">
        <f t="shared" ca="1" si="4"/>
        <v>145.84640000000002</v>
      </c>
      <c r="BE59" s="1051">
        <f t="shared" ca="1" si="5"/>
        <v>145.84640000000002</v>
      </c>
      <c r="BF59" s="875">
        <f t="shared" ca="1" si="6"/>
        <v>291692.80000000005</v>
      </c>
    </row>
    <row r="60" spans="2:58" ht="29.5" collapsed="1" x14ac:dyDescent="0.75">
      <c r="B60" s="817" t="s">
        <v>1494</v>
      </c>
      <c r="C60" s="577" t="s">
        <v>1489</v>
      </c>
      <c r="D60" s="235" t="s">
        <v>1326</v>
      </c>
      <c r="E60" s="232" t="s">
        <v>289</v>
      </c>
      <c r="F60" s="1184" t="s">
        <v>591</v>
      </c>
      <c r="G60" s="575"/>
      <c r="H60" s="898">
        <v>163.5</v>
      </c>
      <c r="O60" s="927"/>
      <c r="P60" s="928"/>
      <c r="Q60" s="928"/>
      <c r="R60" s="928">
        <v>1</v>
      </c>
      <c r="S60" s="928"/>
      <c r="T60" s="928"/>
      <c r="U60" s="290">
        <f t="shared" ca="1" si="4"/>
        <v>21185.721600000001</v>
      </c>
      <c r="BE60" s="1051">
        <f t="shared" ca="1" si="5"/>
        <v>21185.721600000001</v>
      </c>
      <c r="BF60" s="875">
        <f t="shared" ca="1" si="6"/>
        <v>3463865.4816000001</v>
      </c>
    </row>
    <row r="61" spans="2:58" ht="29.5" x14ac:dyDescent="0.75">
      <c r="B61" s="817" t="s">
        <v>1494</v>
      </c>
      <c r="C61" s="577" t="s">
        <v>1489</v>
      </c>
      <c r="D61" s="235" t="s">
        <v>1312</v>
      </c>
      <c r="E61" s="232" t="s">
        <v>289</v>
      </c>
      <c r="F61" s="1184" t="s">
        <v>591</v>
      </c>
      <c r="G61" s="575" t="s">
        <v>1343</v>
      </c>
      <c r="H61" s="898">
        <v>1000</v>
      </c>
      <c r="O61" s="927"/>
      <c r="P61" s="928"/>
      <c r="Q61" s="928"/>
      <c r="R61" s="928">
        <v>0.25</v>
      </c>
      <c r="S61" s="928"/>
      <c r="T61" s="928"/>
      <c r="U61" s="290">
        <f ca="1">Max_severe_capped_beds*R61+Max_total_capped_beds*T61+Max_critical_capped_beds*S61+Q61*(Total_severe_patients_in_bed_over_forecast+Total_crit_patients_in_bed_over_forecast)+O61*Total_admitted_capped_severe_patients+P61*Total_admitted_capped_critical_patients</f>
        <v>5296.4304000000002</v>
      </c>
      <c r="BE61" s="1051">
        <f t="shared" ca="1" si="5"/>
        <v>5296.4304000000002</v>
      </c>
      <c r="BF61" s="875">
        <f t="shared" ca="1" si="6"/>
        <v>5296430.4000000004</v>
      </c>
    </row>
    <row r="62" spans="2:58" ht="29.5" x14ac:dyDescent="0.75">
      <c r="B62" s="817" t="s">
        <v>1494</v>
      </c>
      <c r="C62" s="577" t="s">
        <v>1490</v>
      </c>
      <c r="D62" s="235" t="s">
        <v>1311</v>
      </c>
      <c r="E62" s="232" t="s">
        <v>289</v>
      </c>
      <c r="F62" s="1184" t="s">
        <v>591</v>
      </c>
      <c r="G62" s="575" t="s">
        <v>1573</v>
      </c>
      <c r="H62" s="898">
        <v>480</v>
      </c>
      <c r="O62" s="927"/>
      <c r="P62" s="928"/>
      <c r="Q62" s="928"/>
      <c r="R62" s="928"/>
      <c r="S62" s="928"/>
      <c r="T62" s="928">
        <f>1/NumberOfBeds_per_centre</f>
        <v>2.5000000000000001E-2</v>
      </c>
      <c r="U62" s="290">
        <f ca="1">Max_severe_capped_beds*R62+Max_total_capped_beds*T62+Max_critical_capped_beds*S62+Q62*(Total_severe_patients_in_bed_over_forecast+Total_crit_patients_in_bed_over_forecast)+O62*Total_admitted_capped_severe_patients+P62*Total_admitted_capped_critical_patients</f>
        <v>551.52</v>
      </c>
      <c r="BE62" s="1051">
        <f t="shared" ca="1" si="5"/>
        <v>551.52</v>
      </c>
      <c r="BF62" s="875">
        <f t="shared" ca="1" si="6"/>
        <v>264729.59999999998</v>
      </c>
    </row>
    <row r="63" spans="2:58" ht="30.75" customHeight="1" x14ac:dyDescent="0.75">
      <c r="B63" s="817" t="s">
        <v>1494</v>
      </c>
      <c r="C63" s="577" t="s">
        <v>1491</v>
      </c>
      <c r="D63" s="235" t="s">
        <v>815</v>
      </c>
      <c r="E63" s="232" t="s">
        <v>289</v>
      </c>
      <c r="F63" s="1184" t="s">
        <v>591</v>
      </c>
      <c r="G63" s="575" t="s">
        <v>1574</v>
      </c>
      <c r="H63" s="898">
        <v>8000</v>
      </c>
      <c r="O63" s="927"/>
      <c r="P63" s="928"/>
      <c r="Q63" s="928"/>
      <c r="R63" s="928"/>
      <c r="S63" s="928"/>
      <c r="T63" s="928">
        <f t="shared" ref="T63:T108" si="7">1/NumberOfBeds_per_centre</f>
        <v>2.5000000000000001E-2</v>
      </c>
      <c r="U63" s="290">
        <f t="shared" ca="1" si="4"/>
        <v>551.52</v>
      </c>
      <c r="BE63" s="1051">
        <f t="shared" ca="1" si="5"/>
        <v>551.52</v>
      </c>
      <c r="BF63" s="875">
        <f t="shared" ca="1" si="6"/>
        <v>4412160</v>
      </c>
    </row>
    <row r="64" spans="2:58" ht="59" x14ac:dyDescent="0.75">
      <c r="B64" s="817" t="s">
        <v>1494</v>
      </c>
      <c r="C64" s="577" t="s">
        <v>1492</v>
      </c>
      <c r="D64" s="235" t="s">
        <v>1344</v>
      </c>
      <c r="E64" s="232" t="s">
        <v>289</v>
      </c>
      <c r="F64" s="1184" t="s">
        <v>591</v>
      </c>
      <c r="G64" s="575" t="s">
        <v>1575</v>
      </c>
      <c r="H64" s="898">
        <v>850</v>
      </c>
      <c r="O64" s="927"/>
      <c r="P64" s="928"/>
      <c r="Q64" s="928"/>
      <c r="R64" s="928"/>
      <c r="S64" s="928"/>
      <c r="T64" s="928">
        <f t="shared" si="7"/>
        <v>2.5000000000000001E-2</v>
      </c>
      <c r="U64" s="290">
        <f t="shared" ca="1" si="4"/>
        <v>551.52</v>
      </c>
      <c r="BE64" s="1051">
        <f t="shared" ca="1" si="5"/>
        <v>551.52</v>
      </c>
      <c r="BF64" s="875">
        <f t="shared" ca="1" si="6"/>
        <v>468792</v>
      </c>
    </row>
    <row r="65" spans="2:58" s="132" customFormat="1" ht="59" x14ac:dyDescent="0.75">
      <c r="B65" s="817" t="s">
        <v>1494</v>
      </c>
      <c r="C65" s="577" t="s">
        <v>1492</v>
      </c>
      <c r="D65" s="235" t="s">
        <v>1351</v>
      </c>
      <c r="E65" s="232" t="s">
        <v>289</v>
      </c>
      <c r="F65" s="1184" t="s">
        <v>591</v>
      </c>
      <c r="G65" s="575" t="s">
        <v>1576</v>
      </c>
      <c r="H65" s="898">
        <v>1450</v>
      </c>
      <c r="N65" s="804"/>
      <c r="O65" s="927"/>
      <c r="P65" s="928"/>
      <c r="Q65" s="928"/>
      <c r="R65" s="928"/>
      <c r="S65" s="928"/>
      <c r="T65" s="928">
        <f t="shared" si="7"/>
        <v>2.5000000000000001E-2</v>
      </c>
      <c r="U65" s="290">
        <f t="shared" ref="U65" ca="1" si="8">Max_severe_capped_beds*R65+Max_total_capped_beds*T65+Max_critical_capped_beds*S65+Q65*(Total_severe_patients_in_bed_over_forecast+Total_crit_patients_in_bed_over_forecast)+O65*Total_admitted_capped_severe_patients+P65*Total_admitted_capped_critical_patients</f>
        <v>551.52</v>
      </c>
      <c r="BE65" s="1051">
        <f t="shared" ca="1" si="5"/>
        <v>551.52</v>
      </c>
      <c r="BF65" s="875">
        <f t="shared" ca="1" si="6"/>
        <v>799704</v>
      </c>
    </row>
    <row r="66" spans="2:58" s="15" customFormat="1" ht="31.4" customHeight="1" collapsed="1" x14ac:dyDescent="0.75">
      <c r="B66" s="817" t="s">
        <v>1494</v>
      </c>
      <c r="C66" s="577" t="s">
        <v>1492</v>
      </c>
      <c r="D66" s="235" t="s">
        <v>1019</v>
      </c>
      <c r="E66" s="232" t="s">
        <v>289</v>
      </c>
      <c r="F66" s="1184" t="s">
        <v>591</v>
      </c>
      <c r="G66" s="575" t="s">
        <v>1577</v>
      </c>
      <c r="H66" s="898">
        <v>1800</v>
      </c>
      <c r="O66" s="927"/>
      <c r="P66" s="928"/>
      <c r="Q66" s="928"/>
      <c r="R66" s="928">
        <f>1/4</f>
        <v>0.25</v>
      </c>
      <c r="S66" s="928">
        <v>1</v>
      </c>
      <c r="T66" s="928"/>
      <c r="U66" s="290">
        <f t="shared" ca="1" si="4"/>
        <v>6171.5088000000005</v>
      </c>
      <c r="BE66" s="1051">
        <f t="shared" ca="1" si="5"/>
        <v>6171.5088000000005</v>
      </c>
      <c r="BF66" s="875">
        <f t="shared" ca="1" si="6"/>
        <v>11108715.840000002</v>
      </c>
    </row>
    <row r="67" spans="2:58" s="132" customFormat="1" ht="29.5" collapsed="1" x14ac:dyDescent="0.75">
      <c r="B67" s="817" t="s">
        <v>1494</v>
      </c>
      <c r="C67" s="577" t="s">
        <v>1485</v>
      </c>
      <c r="D67" s="235" t="s">
        <v>1571</v>
      </c>
      <c r="E67" s="232" t="s">
        <v>289</v>
      </c>
      <c r="F67" s="1184" t="s">
        <v>591</v>
      </c>
      <c r="G67" s="575" t="s">
        <v>1578</v>
      </c>
      <c r="H67" s="898">
        <v>3.5</v>
      </c>
      <c r="N67" s="804"/>
      <c r="O67" s="927"/>
      <c r="P67" s="928"/>
      <c r="Q67" s="928"/>
      <c r="R67" s="928">
        <v>1.1000000000000001</v>
      </c>
      <c r="S67" s="928"/>
      <c r="T67" s="928"/>
      <c r="U67" s="290">
        <f t="shared" ca="1" si="4"/>
        <v>23304.293760000004</v>
      </c>
      <c r="BE67" s="1051">
        <f t="shared" ca="1" si="5"/>
        <v>23304.293760000004</v>
      </c>
      <c r="BF67" s="875">
        <f t="shared" ca="1" si="6"/>
        <v>81565.028160000016</v>
      </c>
    </row>
    <row r="68" spans="2:58" s="132" customFormat="1" ht="29.5" x14ac:dyDescent="0.75">
      <c r="B68" s="817" t="s">
        <v>1495</v>
      </c>
      <c r="C68" s="577" t="s">
        <v>1485</v>
      </c>
      <c r="D68" s="235" t="s">
        <v>1149</v>
      </c>
      <c r="E68" s="232" t="s">
        <v>289</v>
      </c>
      <c r="F68" s="1184" t="s">
        <v>591</v>
      </c>
      <c r="G68" s="575" t="s">
        <v>1021</v>
      </c>
      <c r="H68" s="898">
        <v>2.7</v>
      </c>
      <c r="N68" s="804"/>
      <c r="O68" s="927"/>
      <c r="P68" s="928"/>
      <c r="Q68" s="928"/>
      <c r="R68" s="928"/>
      <c r="S68" s="928"/>
      <c r="T68" s="928">
        <f>0.05/2</f>
        <v>2.5000000000000001E-2</v>
      </c>
      <c r="U68" s="290">
        <f t="shared" ca="1" si="4"/>
        <v>551.52</v>
      </c>
      <c r="V68" s="70"/>
      <c r="BE68" s="1051">
        <f t="shared" ca="1" si="5"/>
        <v>551.52</v>
      </c>
      <c r="BF68" s="875">
        <f t="shared" ca="1" si="6"/>
        <v>1489.104</v>
      </c>
    </row>
    <row r="69" spans="2:58" s="132" customFormat="1" ht="29.5" x14ac:dyDescent="0.75">
      <c r="B69" s="817" t="s">
        <v>1495</v>
      </c>
      <c r="C69" s="577" t="s">
        <v>1485</v>
      </c>
      <c r="D69" s="235" t="s">
        <v>1022</v>
      </c>
      <c r="E69" s="232" t="s">
        <v>289</v>
      </c>
      <c r="F69" s="1184" t="s">
        <v>591</v>
      </c>
      <c r="G69" s="575" t="s">
        <v>1021</v>
      </c>
      <c r="H69" s="898">
        <v>137</v>
      </c>
      <c r="N69" s="804"/>
      <c r="O69" s="927"/>
      <c r="P69" s="928"/>
      <c r="Q69" s="928"/>
      <c r="R69" s="928"/>
      <c r="S69" s="928"/>
      <c r="T69" s="928">
        <f>0.05/2</f>
        <v>2.5000000000000001E-2</v>
      </c>
      <c r="U69" s="290">
        <f t="shared" ca="1" si="4"/>
        <v>551.52</v>
      </c>
      <c r="BE69" s="1051">
        <f t="shared" ca="1" si="5"/>
        <v>551.52</v>
      </c>
      <c r="BF69" s="875">
        <f t="shared" ca="1" si="6"/>
        <v>75558.239999999991</v>
      </c>
    </row>
    <row r="70" spans="2:58" s="43" customFormat="1" ht="29.5" x14ac:dyDescent="0.75">
      <c r="B70" s="817" t="s">
        <v>1495</v>
      </c>
      <c r="C70" s="577" t="s">
        <v>1485</v>
      </c>
      <c r="D70" s="235" t="s">
        <v>1151</v>
      </c>
      <c r="E70" s="232" t="s">
        <v>289</v>
      </c>
      <c r="F70" s="1184" t="s">
        <v>591</v>
      </c>
      <c r="G70" s="575" t="s">
        <v>1322</v>
      </c>
      <c r="H70" s="898">
        <v>100</v>
      </c>
      <c r="I70" s="132"/>
      <c r="N70" s="804"/>
      <c r="O70" s="927"/>
      <c r="P70" s="928"/>
      <c r="Q70" s="928"/>
      <c r="R70" s="928"/>
      <c r="S70" s="928">
        <v>0.33</v>
      </c>
      <c r="T70" s="928"/>
      <c r="U70" s="290">
        <f t="shared" ca="1" si="4"/>
        <v>288.77587200000005</v>
      </c>
      <c r="V70"/>
      <c r="W70"/>
      <c r="AE70" s="132"/>
      <c r="AF70" s="132"/>
      <c r="AG70" s="132"/>
      <c r="AH70"/>
      <c r="AP70" s="132"/>
      <c r="AQ70" s="132"/>
      <c r="AR70" s="132"/>
      <c r="AS70" s="132"/>
      <c r="AT70" s="132"/>
      <c r="AU70" s="132"/>
      <c r="AV70" s="132"/>
      <c r="BE70" s="1051">
        <f t="shared" ca="1" si="5"/>
        <v>288.77587200000005</v>
      </c>
      <c r="BF70" s="875">
        <f t="shared" ca="1" si="6"/>
        <v>28877.587200000005</v>
      </c>
    </row>
    <row r="71" spans="2:58" s="132" customFormat="1" ht="29.5" x14ac:dyDescent="0.75">
      <c r="B71" s="817" t="s">
        <v>1495</v>
      </c>
      <c r="C71" s="577" t="s">
        <v>1485</v>
      </c>
      <c r="D71" s="235" t="s">
        <v>1323</v>
      </c>
      <c r="E71" s="232" t="s">
        <v>289</v>
      </c>
      <c r="F71" s="1184" t="s">
        <v>592</v>
      </c>
      <c r="G71" s="575" t="s">
        <v>1572</v>
      </c>
      <c r="H71" s="898">
        <v>4</v>
      </c>
      <c r="N71" s="804"/>
      <c r="O71" s="927"/>
      <c r="P71" s="928">
        <f>0.66*3</f>
        <v>1.98</v>
      </c>
      <c r="Q71" s="928"/>
      <c r="R71" s="928"/>
      <c r="S71" s="928"/>
      <c r="T71" s="928"/>
      <c r="U71" s="290">
        <f t="shared" ca="1" si="4"/>
        <v>5397.1807712199397</v>
      </c>
      <c r="BE71" s="1051">
        <f t="shared" ca="1" si="5"/>
        <v>5397.1807712199397</v>
      </c>
      <c r="BF71" s="875">
        <f t="shared" ca="1" si="6"/>
        <v>21588.723084879759</v>
      </c>
    </row>
    <row r="72" spans="2:58" s="132" customFormat="1" ht="45.75" customHeight="1" collapsed="1" x14ac:dyDescent="0.75">
      <c r="B72" s="817" t="s">
        <v>1495</v>
      </c>
      <c r="C72" s="577" t="s">
        <v>1491</v>
      </c>
      <c r="D72" s="235" t="s">
        <v>981</v>
      </c>
      <c r="E72" s="232" t="s">
        <v>289</v>
      </c>
      <c r="F72" s="1184" t="s">
        <v>592</v>
      </c>
      <c r="G72" s="575"/>
      <c r="H72" s="898">
        <v>1.22</v>
      </c>
      <c r="N72" s="804"/>
      <c r="O72" s="927"/>
      <c r="P72" s="928">
        <v>0.05</v>
      </c>
      <c r="Q72" s="928"/>
      <c r="R72" s="928"/>
      <c r="S72" s="928"/>
      <c r="T72" s="928"/>
      <c r="U72" s="290">
        <f t="shared" ca="1" si="4"/>
        <v>136.29244371767524</v>
      </c>
      <c r="BE72" s="1051">
        <f t="shared" ca="1" si="5"/>
        <v>136.29244371767524</v>
      </c>
      <c r="BF72" s="875">
        <f t="shared" ca="1" si="6"/>
        <v>166.27678133556378</v>
      </c>
    </row>
    <row r="73" spans="2:58" s="132" customFormat="1" ht="44.25" x14ac:dyDescent="0.75">
      <c r="B73" s="817" t="s">
        <v>1495</v>
      </c>
      <c r="C73" s="579" t="s">
        <v>1496</v>
      </c>
      <c r="D73" s="235" t="s">
        <v>1152</v>
      </c>
      <c r="E73" s="232" t="s">
        <v>289</v>
      </c>
      <c r="F73" s="1184" t="s">
        <v>592</v>
      </c>
      <c r="G73" s="575"/>
      <c r="H73" s="898">
        <v>7.7</v>
      </c>
      <c r="N73" s="804"/>
      <c r="O73" s="927"/>
      <c r="P73" s="928"/>
      <c r="Q73" s="928">
        <v>0.05</v>
      </c>
      <c r="R73" s="928"/>
      <c r="S73" s="928"/>
      <c r="T73" s="928"/>
      <c r="U73" s="290">
        <f t="shared" ca="1" si="4"/>
        <v>4017.2275671014977</v>
      </c>
      <c r="BE73" s="1051">
        <f t="shared" ca="1" si="5"/>
        <v>4017.2275671014977</v>
      </c>
      <c r="BF73" s="875">
        <f t="shared" ca="1" si="6"/>
        <v>30932.652266681533</v>
      </c>
    </row>
    <row r="74" spans="2:58" s="132" customFormat="1" ht="29.5" x14ac:dyDescent="0.75">
      <c r="B74" s="817" t="s">
        <v>1495</v>
      </c>
      <c r="C74" s="579" t="s">
        <v>1496</v>
      </c>
      <c r="D74" s="235" t="s">
        <v>1024</v>
      </c>
      <c r="E74" s="232" t="s">
        <v>289</v>
      </c>
      <c r="F74" s="1184" t="s">
        <v>592</v>
      </c>
      <c r="G74" s="575"/>
      <c r="H74" s="898">
        <v>0.7</v>
      </c>
      <c r="N74" s="804"/>
      <c r="O74" s="927">
        <f>2/3</f>
        <v>0.66666666666666663</v>
      </c>
      <c r="P74" s="928"/>
      <c r="Q74" s="928"/>
      <c r="R74" s="928"/>
      <c r="S74" s="928"/>
      <c r="T74" s="928"/>
      <c r="U74" s="290">
        <f t="shared" ref="U74:U84" ca="1" si="9">Max_severe_capped_beds*R74+Max_total_capped_beds*T74+Max_critical_capped_beds*S74+Q74*(Total_severe_patients_in_bed_over_forecast+Total_crit_patients_in_bed_over_forecast)+O74*Total_admitted_capped_severe_patients+P74*Total_admitted_capped_critical_patients</f>
        <v>50348.735057631435</v>
      </c>
      <c r="BE74" s="1051">
        <f t="shared" ca="1" si="5"/>
        <v>50348.735057631435</v>
      </c>
      <c r="BF74" s="875">
        <f t="shared" ca="1" si="6"/>
        <v>35244.114540342001</v>
      </c>
    </row>
    <row r="75" spans="2:58" s="132" customFormat="1" ht="44.25" collapsed="1" x14ac:dyDescent="0.75">
      <c r="B75" s="817" t="s">
        <v>1495</v>
      </c>
      <c r="C75" s="579" t="s">
        <v>1496</v>
      </c>
      <c r="D75" s="235" t="s">
        <v>1330</v>
      </c>
      <c r="E75" s="232" t="s">
        <v>289</v>
      </c>
      <c r="F75" s="1184" t="s">
        <v>592</v>
      </c>
      <c r="G75" s="575"/>
      <c r="H75" s="898">
        <v>1.9</v>
      </c>
      <c r="N75" s="804"/>
      <c r="O75" s="927">
        <f>2/3</f>
        <v>0.66666666666666663</v>
      </c>
      <c r="P75" s="928"/>
      <c r="Q75" s="928"/>
      <c r="R75" s="928"/>
      <c r="S75" s="928"/>
      <c r="T75" s="928"/>
      <c r="U75" s="290">
        <f t="shared" ca="1" si="9"/>
        <v>50348.735057631435</v>
      </c>
      <c r="BE75" s="1051">
        <f t="shared" ca="1" si="5"/>
        <v>50348.735057631435</v>
      </c>
      <c r="BF75" s="875">
        <f t="shared" ca="1" si="6"/>
        <v>95662.596609499727</v>
      </c>
    </row>
    <row r="76" spans="2:58" s="132" customFormat="1" ht="29.5" collapsed="1" x14ac:dyDescent="0.75">
      <c r="B76" s="817" t="s">
        <v>1495</v>
      </c>
      <c r="C76" s="579" t="s">
        <v>1496</v>
      </c>
      <c r="D76" s="235" t="s">
        <v>1332</v>
      </c>
      <c r="E76" s="232" t="s">
        <v>289</v>
      </c>
      <c r="F76" s="1184" t="s">
        <v>592</v>
      </c>
      <c r="G76" s="575"/>
      <c r="H76" s="898">
        <v>1.3</v>
      </c>
      <c r="N76" s="804"/>
      <c r="O76" s="927">
        <f>2/3</f>
        <v>0.66666666666666663</v>
      </c>
      <c r="P76" s="928"/>
      <c r="Q76" s="928"/>
      <c r="R76" s="928"/>
      <c r="S76" s="928"/>
      <c r="T76" s="928"/>
      <c r="U76" s="290">
        <f t="shared" ca="1" si="9"/>
        <v>50348.735057631435</v>
      </c>
      <c r="BE76" s="1051">
        <f t="shared" ca="1" si="5"/>
        <v>50348.735057631435</v>
      </c>
      <c r="BF76" s="875">
        <f t="shared" ca="1" si="6"/>
        <v>65453.355574920868</v>
      </c>
    </row>
    <row r="77" spans="2:58" s="132" customFormat="1" ht="45" customHeight="1" x14ac:dyDescent="0.75">
      <c r="B77" s="817" t="s">
        <v>1495</v>
      </c>
      <c r="C77" s="579" t="s">
        <v>1486</v>
      </c>
      <c r="D77" s="235" t="s">
        <v>1195</v>
      </c>
      <c r="E77" s="232" t="s">
        <v>289</v>
      </c>
      <c r="F77" s="1184" t="s">
        <v>591</v>
      </c>
      <c r="G77" s="575" t="s">
        <v>793</v>
      </c>
      <c r="H77" s="898">
        <v>62</v>
      </c>
      <c r="N77" s="804"/>
      <c r="O77" s="927"/>
      <c r="P77" s="928"/>
      <c r="Q77" s="928"/>
      <c r="R77" s="928"/>
      <c r="S77" s="928">
        <f>1/3</f>
        <v>0.33333333333333331</v>
      </c>
      <c r="T77" s="928"/>
      <c r="U77" s="290">
        <f ca="1">Max_severe_capped_beds*R77+Max_total_capped_beds*T77+Max_critical_capped_beds*S77+Q77*(Total_severe_patients_in_bed_over_forecast+Total_crit_patients_in_bed_over_forecast)+O77*Total_admitted_capped_severe_patients+P77*Total_admitted_capped_critical_patients</f>
        <v>291.69280000000003</v>
      </c>
      <c r="BE77" s="1051">
        <f t="shared" ca="1" si="5"/>
        <v>291.69280000000003</v>
      </c>
      <c r="BF77" s="875">
        <f t="shared" ca="1" si="6"/>
        <v>18084.953600000001</v>
      </c>
    </row>
    <row r="78" spans="2:58" s="132" customFormat="1" ht="44.25" x14ac:dyDescent="0.75">
      <c r="B78" s="817" t="s">
        <v>1495</v>
      </c>
      <c r="C78" s="579" t="s">
        <v>1486</v>
      </c>
      <c r="D78" s="235" t="s">
        <v>1661</v>
      </c>
      <c r="E78" s="232" t="s">
        <v>289</v>
      </c>
      <c r="F78" s="1184" t="s">
        <v>592</v>
      </c>
      <c r="G78" s="575"/>
      <c r="H78" s="898">
        <v>0.41</v>
      </c>
      <c r="N78" s="804"/>
      <c r="O78" s="927"/>
      <c r="P78" s="928">
        <f>2/3*2</f>
        <v>1.3333333333333333</v>
      </c>
      <c r="Q78" s="928"/>
      <c r="R78" s="928"/>
      <c r="S78" s="928"/>
      <c r="T78" s="928"/>
      <c r="U78" s="290">
        <f ca="1">Max_severe_capped_beds*R78+Max_total_capped_beds*T78+Max_critical_capped_beds*S78+Q78*(Total_severe_patients_in_bed_over_forecast+Total_crit_patients_in_bed_over_forecast)+O78*Total_admitted_capped_severe_patients+P78*Total_admitted_capped_critical_patients</f>
        <v>3634.4651658046732</v>
      </c>
      <c r="BE78" s="1051">
        <f t="shared" ca="1" si="5"/>
        <v>3634.4651658046732</v>
      </c>
      <c r="BF78" s="875">
        <f t="shared" ca="1" si="6"/>
        <v>1490.130717979916</v>
      </c>
    </row>
    <row r="79" spans="2:58" s="132" customFormat="1" ht="62.9" customHeight="1" collapsed="1" x14ac:dyDescent="0.75">
      <c r="B79" s="817" t="s">
        <v>1495</v>
      </c>
      <c r="C79" s="579" t="s">
        <v>1486</v>
      </c>
      <c r="D79" s="235" t="s">
        <v>1662</v>
      </c>
      <c r="E79" s="232" t="s">
        <v>289</v>
      </c>
      <c r="F79" s="1184" t="s">
        <v>592</v>
      </c>
      <c r="G79" s="575"/>
      <c r="H79" s="898">
        <v>0.2</v>
      </c>
      <c r="N79" s="804"/>
      <c r="O79" s="927"/>
      <c r="P79" s="928">
        <f>2/3*2</f>
        <v>1.3333333333333333</v>
      </c>
      <c r="Q79" s="928"/>
      <c r="R79" s="928"/>
      <c r="S79" s="928"/>
      <c r="T79" s="928"/>
      <c r="U79" s="290">
        <f t="shared" ca="1" si="9"/>
        <v>3634.4651658046732</v>
      </c>
      <c r="BE79" s="1051">
        <f t="shared" ca="1" si="5"/>
        <v>3634.4651658046732</v>
      </c>
      <c r="BF79" s="875">
        <f t="shared" ca="1" si="6"/>
        <v>726.89303316093469</v>
      </c>
    </row>
    <row r="80" spans="2:58" s="15" customFormat="1" ht="29.5" x14ac:dyDescent="0.75">
      <c r="B80" s="817" t="s">
        <v>1495</v>
      </c>
      <c r="C80" s="579" t="s">
        <v>1486</v>
      </c>
      <c r="D80" s="235" t="s">
        <v>1336</v>
      </c>
      <c r="E80" s="232" t="s">
        <v>289</v>
      </c>
      <c r="F80" s="1184" t="s">
        <v>592</v>
      </c>
      <c r="G80" s="575"/>
      <c r="H80" s="1058">
        <v>13</v>
      </c>
      <c r="O80" s="927"/>
      <c r="P80" s="928">
        <f>2*2/3</f>
        <v>1.3333333333333333</v>
      </c>
      <c r="Q80" s="928"/>
      <c r="R80" s="928"/>
      <c r="S80" s="928"/>
      <c r="T80" s="928"/>
      <c r="U80" s="290">
        <f t="shared" ca="1" si="9"/>
        <v>3634.4651658046732</v>
      </c>
      <c r="BE80" s="1051">
        <f t="shared" ca="1" si="5"/>
        <v>3634.4651658046732</v>
      </c>
      <c r="BF80" s="875">
        <f t="shared" ca="1" si="6"/>
        <v>47248.04715546075</v>
      </c>
    </row>
    <row r="81" spans="1:58" ht="191.75" collapsed="1" x14ac:dyDescent="0.75">
      <c r="B81" s="944" t="s">
        <v>1495</v>
      </c>
      <c r="C81" s="945" t="s">
        <v>1486</v>
      </c>
      <c r="D81" s="235" t="s">
        <v>801</v>
      </c>
      <c r="E81" s="232" t="s">
        <v>289</v>
      </c>
      <c r="F81" s="1184" t="s">
        <v>592</v>
      </c>
      <c r="G81" s="575" t="s">
        <v>792</v>
      </c>
      <c r="H81" s="898">
        <v>550</v>
      </c>
      <c r="O81" s="927"/>
      <c r="P81" s="928"/>
      <c r="Q81" s="928"/>
      <c r="R81" s="928"/>
      <c r="S81" s="928">
        <f>2/3</f>
        <v>0.66666666666666663</v>
      </c>
      <c r="T81" s="928"/>
      <c r="U81" s="290">
        <f t="shared" ca="1" si="9"/>
        <v>583.38560000000007</v>
      </c>
      <c r="BE81" s="1051">
        <f t="shared" ca="1" si="5"/>
        <v>583.38560000000007</v>
      </c>
      <c r="BF81" s="875">
        <f t="shared" ca="1" si="6"/>
        <v>320862.08000000002</v>
      </c>
    </row>
    <row r="82" spans="1:58" s="15" customFormat="1" ht="30.65" customHeight="1" x14ac:dyDescent="0.75">
      <c r="B82" s="817" t="s">
        <v>1495</v>
      </c>
      <c r="C82" s="579" t="s">
        <v>1486</v>
      </c>
      <c r="D82" s="235" t="s">
        <v>1020</v>
      </c>
      <c r="E82" s="232" t="s">
        <v>289</v>
      </c>
      <c r="F82" s="1184" t="s">
        <v>592</v>
      </c>
      <c r="G82" s="575" t="s">
        <v>1339</v>
      </c>
      <c r="H82" s="898">
        <v>0.74</v>
      </c>
      <c r="O82" s="927"/>
      <c r="P82" s="928">
        <f>2*2/3</f>
        <v>1.3333333333333333</v>
      </c>
      <c r="Q82" s="928"/>
      <c r="R82" s="928"/>
      <c r="S82" s="928"/>
      <c r="T82" s="928"/>
      <c r="U82" s="290">
        <f t="shared" ca="1" si="9"/>
        <v>3634.4651658046732</v>
      </c>
      <c r="BE82" s="1051">
        <f t="shared" ca="1" si="5"/>
        <v>3634.4651658046732</v>
      </c>
      <c r="BF82" s="875">
        <f t="shared" ca="1" si="6"/>
        <v>2689.5042226954583</v>
      </c>
    </row>
    <row r="83" spans="1:58" s="15" customFormat="1" ht="31.4" customHeight="1" collapsed="1" x14ac:dyDescent="0.75">
      <c r="B83" s="817" t="s">
        <v>1495</v>
      </c>
      <c r="C83" s="579" t="s">
        <v>1486</v>
      </c>
      <c r="D83" s="235" t="s">
        <v>1350</v>
      </c>
      <c r="E83" s="232" t="s">
        <v>289</v>
      </c>
      <c r="F83" s="1184" t="s">
        <v>592</v>
      </c>
      <c r="G83" s="575" t="s">
        <v>1339</v>
      </c>
      <c r="H83" s="898">
        <v>1.0900000000000001</v>
      </c>
      <c r="O83" s="927"/>
      <c r="P83" s="928">
        <f>2*2/3</f>
        <v>1.3333333333333333</v>
      </c>
      <c r="Q83" s="928"/>
      <c r="R83" s="928"/>
      <c r="S83" s="928"/>
      <c r="T83" s="928"/>
      <c r="U83" s="290">
        <f t="shared" ca="1" si="9"/>
        <v>3634.4651658046732</v>
      </c>
      <c r="BE83" s="1051">
        <f t="shared" ca="1" si="5"/>
        <v>3634.4651658046732</v>
      </c>
      <c r="BF83" s="875">
        <f t="shared" ca="1" si="6"/>
        <v>3961.5670307270943</v>
      </c>
    </row>
    <row r="84" spans="1:58" s="15" customFormat="1" ht="33" customHeight="1" collapsed="1" x14ac:dyDescent="0.75">
      <c r="B84" s="817" t="s">
        <v>1495</v>
      </c>
      <c r="C84" s="579" t="s">
        <v>1486</v>
      </c>
      <c r="D84" s="235" t="s">
        <v>1477</v>
      </c>
      <c r="E84" s="232" t="s">
        <v>289</v>
      </c>
      <c r="F84" s="1184" t="s">
        <v>592</v>
      </c>
      <c r="G84" s="575" t="s">
        <v>1342</v>
      </c>
      <c r="H84" s="898">
        <v>2.98</v>
      </c>
      <c r="O84" s="927"/>
      <c r="P84" s="928">
        <f>2*2/3</f>
        <v>1.3333333333333333</v>
      </c>
      <c r="Q84" s="928"/>
      <c r="R84" s="928"/>
      <c r="S84" s="928"/>
      <c r="T84" s="928"/>
      <c r="U84" s="290">
        <f t="shared" ca="1" si="9"/>
        <v>3634.4651658046732</v>
      </c>
      <c r="BE84" s="1051">
        <f t="shared" ca="1" si="5"/>
        <v>3634.4651658046732</v>
      </c>
      <c r="BF84" s="875">
        <f t="shared" ca="1" si="6"/>
        <v>10830.706194097926</v>
      </c>
    </row>
    <row r="85" spans="1:58" s="132" customFormat="1" ht="45" thickBot="1" x14ac:dyDescent="0.9">
      <c r="B85" s="818" t="s">
        <v>1495</v>
      </c>
      <c r="C85" s="819" t="s">
        <v>1486</v>
      </c>
      <c r="D85" s="691" t="s">
        <v>983</v>
      </c>
      <c r="E85" s="692" t="s">
        <v>289</v>
      </c>
      <c r="F85" s="1185" t="s">
        <v>592</v>
      </c>
      <c r="G85" s="887"/>
      <c r="H85" s="899">
        <v>3.44</v>
      </c>
      <c r="N85" s="804"/>
      <c r="O85" s="1129"/>
      <c r="P85" s="1130">
        <v>0.05</v>
      </c>
      <c r="Q85" s="1130"/>
      <c r="R85" s="1130"/>
      <c r="S85" s="1130"/>
      <c r="T85" s="1130"/>
      <c r="U85" s="334">
        <f ca="1">Max_severe_capped_beds*R85+Max_total_capped_beds*T85+Max_critical_capped_beds*S85+Q85*(Total_severe_patients_in_bed_over_forecast+Total_crit_patients_in_bed_over_forecast)+O85*Total_admitted_capped_severe_patients+P85*Total_admitted_capped_critical_patients</f>
        <v>136.29244371767524</v>
      </c>
      <c r="BE85" s="1053">
        <f t="shared" ca="1" si="5"/>
        <v>136.29244371767524</v>
      </c>
      <c r="BF85" s="874">
        <f t="shared" ca="1" si="6"/>
        <v>468.84600638880283</v>
      </c>
    </row>
    <row r="86" spans="1:58" x14ac:dyDescent="0.75">
      <c r="G86" s="223"/>
      <c r="H86" s="279"/>
      <c r="O86" s="562"/>
      <c r="P86" s="562"/>
      <c r="Q86" s="562"/>
      <c r="R86" s="562"/>
      <c r="S86" s="562"/>
      <c r="T86" s="562"/>
      <c r="U86" s="562"/>
    </row>
    <row r="87" spans="1:58" s="10" customFormat="1" hidden="1" collapsed="1" x14ac:dyDescent="0.75">
      <c r="B87" s="934" t="s">
        <v>1537</v>
      </c>
      <c r="C87" s="935"/>
      <c r="D87" s="936"/>
      <c r="E87" s="936"/>
      <c r="F87" s="937"/>
      <c r="G87" s="938"/>
      <c r="H87" s="939"/>
      <c r="O87" s="572"/>
      <c r="P87" s="572"/>
      <c r="Q87" s="572"/>
      <c r="R87" s="573"/>
      <c r="S87" s="574"/>
      <c r="T87" s="573"/>
      <c r="U87" s="447"/>
      <c r="BE87" s="447"/>
      <c r="BF87" s="448"/>
    </row>
    <row r="88" spans="1:58" ht="28.5" hidden="1" customHeight="1" x14ac:dyDescent="0.75">
      <c r="A88" s="15" t="s">
        <v>1138</v>
      </c>
      <c r="B88" s="582" t="s">
        <v>302</v>
      </c>
      <c r="C88" s="577" t="s">
        <v>614</v>
      </c>
      <c r="D88" s="565" t="s">
        <v>1345</v>
      </c>
      <c r="E88" s="232" t="s">
        <v>289</v>
      </c>
      <c r="F88" s="236"/>
      <c r="G88" s="575" t="s">
        <v>814</v>
      </c>
      <c r="H88" s="940">
        <v>1450</v>
      </c>
      <c r="O88" s="569"/>
      <c r="P88" s="569"/>
      <c r="Q88" s="569"/>
      <c r="R88" s="570"/>
      <c r="S88" s="570"/>
      <c r="T88" s="570"/>
      <c r="U88" s="299">
        <f ca="1">Max_severe_capped_beds*R88+Max_total_capped_beds*T88+Max_critical_capped_beds*S88+Q88*(Total_severe_patients_in_bed_over_forecast+Total_crit_patients_in_bed_over_forecast)+O88*Total_admitted_capped_severe_patients+P88*Total_admitted_capped_critical_patients</f>
        <v>0</v>
      </c>
      <c r="BE88" s="299">
        <f ca="1">U88</f>
        <v>0</v>
      </c>
      <c r="BF88" s="324">
        <f ca="1">BE88*H88</f>
        <v>0</v>
      </c>
    </row>
    <row r="89" spans="1:58" s="132" customFormat="1" ht="29.5" hidden="1" x14ac:dyDescent="0.75">
      <c r="A89" s="15" t="s">
        <v>1138</v>
      </c>
      <c r="B89" s="582" t="s">
        <v>302</v>
      </c>
      <c r="C89" s="577" t="s">
        <v>614</v>
      </c>
      <c r="D89" s="565" t="s">
        <v>1349</v>
      </c>
      <c r="E89" s="232" t="s">
        <v>289</v>
      </c>
      <c r="F89" s="237"/>
      <c r="G89" s="238" t="s">
        <v>794</v>
      </c>
      <c r="H89" s="940">
        <v>7500</v>
      </c>
      <c r="N89" s="804"/>
      <c r="O89" s="569"/>
      <c r="P89" s="569"/>
      <c r="Q89" s="569"/>
      <c r="R89" s="569"/>
      <c r="S89" s="569"/>
      <c r="T89" s="569"/>
      <c r="U89" s="299"/>
      <c r="BE89" s="299"/>
      <c r="BF89" s="324"/>
    </row>
    <row r="90" spans="1:58" s="132" customFormat="1" ht="25.5" hidden="1" customHeight="1" x14ac:dyDescent="0.75">
      <c r="A90" s="15" t="s">
        <v>1138</v>
      </c>
      <c r="B90" s="582" t="s">
        <v>302</v>
      </c>
      <c r="C90" s="577" t="s">
        <v>614</v>
      </c>
      <c r="D90" s="565" t="s">
        <v>1328</v>
      </c>
      <c r="E90" s="232" t="s">
        <v>289</v>
      </c>
      <c r="F90" s="237"/>
      <c r="G90" s="566" t="s">
        <v>1327</v>
      </c>
      <c r="H90" s="940">
        <v>80</v>
      </c>
      <c r="N90" s="804"/>
      <c r="O90" s="590"/>
      <c r="P90" s="590"/>
      <c r="Q90" s="590"/>
      <c r="R90" s="570"/>
      <c r="S90" s="570"/>
      <c r="T90" s="570"/>
      <c r="U90" s="299"/>
      <c r="BE90" s="299"/>
      <c r="BF90" s="324"/>
    </row>
    <row r="91" spans="1:58" s="132" customFormat="1" ht="33" hidden="1" customHeight="1" x14ac:dyDescent="0.75">
      <c r="A91" s="15" t="s">
        <v>1348</v>
      </c>
      <c r="B91" s="582" t="s">
        <v>302</v>
      </c>
      <c r="C91" s="577" t="s">
        <v>614</v>
      </c>
      <c r="D91" s="565" t="s">
        <v>1346</v>
      </c>
      <c r="E91" s="232" t="s">
        <v>289</v>
      </c>
      <c r="F91" s="237"/>
      <c r="G91" s="233" t="s">
        <v>893</v>
      </c>
      <c r="H91" s="940">
        <v>1800</v>
      </c>
      <c r="N91" s="804"/>
      <c r="O91" s="569"/>
      <c r="P91" s="569"/>
      <c r="Q91" s="569"/>
      <c r="R91" s="569"/>
      <c r="S91" s="569"/>
      <c r="T91" s="569"/>
      <c r="U91" s="299"/>
      <c r="BE91" s="299"/>
      <c r="BF91" s="324"/>
    </row>
    <row r="92" spans="1:58" s="15" customFormat="1" ht="31.4" hidden="1" customHeight="1" x14ac:dyDescent="0.75">
      <c r="A92" s="15" t="s">
        <v>1348</v>
      </c>
      <c r="B92" s="583" t="s">
        <v>302</v>
      </c>
      <c r="C92" s="578" t="s">
        <v>614</v>
      </c>
      <c r="D92" s="568" t="s">
        <v>1335</v>
      </c>
      <c r="E92" s="395" t="s">
        <v>289</v>
      </c>
      <c r="F92" s="394"/>
      <c r="G92" s="566" t="s">
        <v>1334</v>
      </c>
      <c r="H92" s="941">
        <v>1800</v>
      </c>
      <c r="O92" s="591"/>
      <c r="P92" s="591"/>
      <c r="Q92" s="591"/>
      <c r="R92" s="570"/>
      <c r="S92" s="570"/>
      <c r="T92" s="570"/>
      <c r="U92" s="299"/>
      <c r="BE92" s="299"/>
      <c r="BF92" s="324"/>
    </row>
    <row r="93" spans="1:58" s="132" customFormat="1" ht="29.5" hidden="1" x14ac:dyDescent="0.75">
      <c r="A93" s="15" t="s">
        <v>1138</v>
      </c>
      <c r="B93" s="582" t="s">
        <v>302</v>
      </c>
      <c r="C93" s="577" t="s">
        <v>614</v>
      </c>
      <c r="D93" s="563" t="s">
        <v>1324</v>
      </c>
      <c r="E93" s="232" t="s">
        <v>289</v>
      </c>
      <c r="F93" s="237"/>
      <c r="G93" s="238" t="s">
        <v>1325</v>
      </c>
      <c r="H93" s="940"/>
      <c r="N93" s="804"/>
      <c r="O93" s="590"/>
      <c r="P93" s="590"/>
      <c r="Q93" s="590"/>
      <c r="R93" s="570"/>
      <c r="S93" s="570"/>
      <c r="T93" s="570"/>
      <c r="U93" s="299"/>
      <c r="BE93" s="299"/>
      <c r="BF93" s="324"/>
    </row>
    <row r="94" spans="1:58" s="132" customFormat="1" ht="44.25" hidden="1" x14ac:dyDescent="0.75">
      <c r="A94" s="15" t="s">
        <v>1138</v>
      </c>
      <c r="B94" s="582" t="s">
        <v>302</v>
      </c>
      <c r="C94" s="579" t="s">
        <v>1030</v>
      </c>
      <c r="D94" s="563" t="s">
        <v>1329</v>
      </c>
      <c r="E94" s="232" t="s">
        <v>289</v>
      </c>
      <c r="F94" s="237"/>
      <c r="G94" s="234"/>
      <c r="H94" s="942"/>
      <c r="N94" s="804"/>
      <c r="O94" s="569"/>
      <c r="P94" s="569"/>
      <c r="Q94" s="569"/>
      <c r="R94" s="569"/>
      <c r="S94" s="569"/>
      <c r="T94" s="569"/>
      <c r="U94" s="299"/>
      <c r="BE94" s="299"/>
      <c r="BF94" s="324"/>
    </row>
    <row r="95" spans="1:58" s="132" customFormat="1" ht="44.25" hidden="1" x14ac:dyDescent="0.75">
      <c r="A95" s="15" t="s">
        <v>1138</v>
      </c>
      <c r="B95" s="582" t="s">
        <v>302</v>
      </c>
      <c r="C95" s="579" t="s">
        <v>1030</v>
      </c>
      <c r="D95" s="563" t="s">
        <v>1331</v>
      </c>
      <c r="E95" s="235" t="s">
        <v>289</v>
      </c>
      <c r="F95" s="237" t="s">
        <v>592</v>
      </c>
      <c r="G95" s="234" t="s">
        <v>893</v>
      </c>
      <c r="H95" s="942"/>
      <c r="N95" s="804"/>
      <c r="O95" s="569"/>
      <c r="P95" s="569"/>
      <c r="Q95" s="569"/>
      <c r="R95" s="569"/>
      <c r="S95" s="569"/>
      <c r="T95" s="569"/>
      <c r="U95" s="299"/>
      <c r="BE95" s="299"/>
      <c r="BF95" s="324"/>
    </row>
    <row r="96" spans="1:58" s="132" customFormat="1" ht="44.25" hidden="1" x14ac:dyDescent="0.75">
      <c r="A96" s="15" t="s">
        <v>1138</v>
      </c>
      <c r="B96" s="583" t="s">
        <v>302</v>
      </c>
      <c r="C96" s="579" t="s">
        <v>1030</v>
      </c>
      <c r="D96" s="568" t="s">
        <v>1333</v>
      </c>
      <c r="E96" s="235" t="s">
        <v>289</v>
      </c>
      <c r="F96" s="237" t="s">
        <v>592</v>
      </c>
      <c r="G96" s="567"/>
      <c r="H96" s="940"/>
      <c r="N96" s="804"/>
      <c r="O96" s="569"/>
      <c r="P96" s="569"/>
      <c r="Q96" s="569"/>
      <c r="R96" s="569"/>
      <c r="S96" s="569"/>
      <c r="T96" s="569"/>
      <c r="U96" s="299"/>
      <c r="BE96" s="299"/>
      <c r="BF96" s="324"/>
    </row>
    <row r="97" spans="1:58" s="15" customFormat="1" ht="29.5" hidden="1" x14ac:dyDescent="0.75">
      <c r="A97" s="15" t="s">
        <v>1348</v>
      </c>
      <c r="B97" s="583" t="s">
        <v>302</v>
      </c>
      <c r="C97" s="578" t="s">
        <v>614</v>
      </c>
      <c r="D97" s="568" t="s">
        <v>1337</v>
      </c>
      <c r="E97" s="232" t="s">
        <v>289</v>
      </c>
      <c r="F97" s="394"/>
      <c r="G97" s="396"/>
      <c r="H97" s="943"/>
      <c r="O97" s="569"/>
      <c r="P97" s="569"/>
      <c r="Q97" s="569"/>
      <c r="R97" s="570"/>
      <c r="S97" s="570"/>
      <c r="T97" s="570"/>
      <c r="U97" s="299"/>
      <c r="BE97" s="299"/>
      <c r="BF97" s="324"/>
    </row>
    <row r="98" spans="1:58" s="15" customFormat="1" ht="21.65" hidden="1" customHeight="1" x14ac:dyDescent="0.75">
      <c r="A98" s="15" t="s">
        <v>1348</v>
      </c>
      <c r="B98" s="583" t="s">
        <v>302</v>
      </c>
      <c r="C98" s="578" t="s">
        <v>614</v>
      </c>
      <c r="D98" s="568" t="s">
        <v>1338</v>
      </c>
      <c r="E98" s="232" t="s">
        <v>289</v>
      </c>
      <c r="F98" s="394"/>
      <c r="G98" s="564" t="s">
        <v>1339</v>
      </c>
      <c r="H98" s="943"/>
      <c r="O98" s="591"/>
      <c r="P98" s="591"/>
      <c r="Q98" s="591"/>
      <c r="R98" s="570"/>
      <c r="S98" s="570"/>
      <c r="T98" s="570"/>
      <c r="U98" s="299"/>
      <c r="BE98" s="299"/>
      <c r="BF98" s="324"/>
    </row>
    <row r="99" spans="1:58" s="15" customFormat="1" ht="21.65" hidden="1" customHeight="1" x14ac:dyDescent="0.75">
      <c r="A99" s="15" t="s">
        <v>1348</v>
      </c>
      <c r="B99" s="583" t="s">
        <v>302</v>
      </c>
      <c r="C99" s="578" t="s">
        <v>614</v>
      </c>
      <c r="D99" s="568" t="s">
        <v>1340</v>
      </c>
      <c r="E99" s="232" t="s">
        <v>289</v>
      </c>
      <c r="F99" s="394"/>
      <c r="G99" s="564" t="s">
        <v>1339</v>
      </c>
      <c r="H99" s="943"/>
      <c r="O99" s="569"/>
      <c r="P99" s="569"/>
      <c r="Q99" s="569"/>
      <c r="R99" s="570"/>
      <c r="S99" s="570"/>
      <c r="T99" s="570"/>
      <c r="U99" s="299"/>
      <c r="BE99" s="299"/>
      <c r="BF99" s="324"/>
    </row>
    <row r="100" spans="1:58" s="15" customFormat="1" ht="21.65" hidden="1" customHeight="1" x14ac:dyDescent="0.75">
      <c r="A100" s="15" t="s">
        <v>1348</v>
      </c>
      <c r="B100" s="583" t="s">
        <v>302</v>
      </c>
      <c r="C100" s="578" t="s">
        <v>614</v>
      </c>
      <c r="D100" s="568" t="s">
        <v>1341</v>
      </c>
      <c r="E100" s="232" t="s">
        <v>289</v>
      </c>
      <c r="F100" s="394"/>
      <c r="G100" s="564" t="s">
        <v>1342</v>
      </c>
      <c r="H100" s="943"/>
      <c r="O100" s="569"/>
      <c r="P100" s="569"/>
      <c r="Q100" s="569"/>
      <c r="R100" s="570"/>
      <c r="S100" s="571"/>
      <c r="T100" s="570"/>
      <c r="U100" s="299"/>
      <c r="BE100" s="299"/>
      <c r="BF100" s="324"/>
    </row>
    <row r="101" spans="1:58" ht="29.5" hidden="1" x14ac:dyDescent="0.75">
      <c r="A101" s="15" t="s">
        <v>1138</v>
      </c>
      <c r="B101" s="582" t="s">
        <v>302</v>
      </c>
      <c r="C101" s="577" t="s">
        <v>614</v>
      </c>
      <c r="D101" s="568" t="s">
        <v>307</v>
      </c>
      <c r="E101" s="232" t="s">
        <v>289</v>
      </c>
      <c r="F101" s="237"/>
      <c r="G101" s="233" t="s">
        <v>893</v>
      </c>
      <c r="H101" s="940">
        <v>15</v>
      </c>
      <c r="O101" s="570"/>
      <c r="P101" s="570"/>
      <c r="Q101" s="570"/>
      <c r="R101" s="570"/>
      <c r="S101" s="570"/>
      <c r="T101" s="570"/>
      <c r="U101" s="299">
        <f ca="1">Max_severe_capped_beds*R101+Max_total_capped_beds*T101+Max_critical_capped_beds*S101+Q101*(Total_severe_patients_in_bed_over_forecast+Total_crit_patients_in_bed_over_forecast)+O101*Total_admitted_capped_severe_patients+P101*Total_admitted_capped_critical_patients</f>
        <v>0</v>
      </c>
      <c r="BE101" s="299">
        <f t="shared" ref="BE101:BE111" ca="1" si="10">U101</f>
        <v>0</v>
      </c>
      <c r="BF101" s="324">
        <f ca="1">BE101*H101</f>
        <v>0</v>
      </c>
    </row>
    <row r="102" spans="1:58" hidden="1" x14ac:dyDescent="0.75">
      <c r="A102" s="15" t="s">
        <v>1138</v>
      </c>
      <c r="B102" s="582" t="s">
        <v>302</v>
      </c>
      <c r="C102" s="577" t="s">
        <v>614</v>
      </c>
      <c r="D102" s="568" t="s">
        <v>308</v>
      </c>
      <c r="E102" s="232" t="s">
        <v>289</v>
      </c>
      <c r="F102" s="237"/>
      <c r="G102" s="233" t="s">
        <v>893</v>
      </c>
      <c r="H102" s="940">
        <v>3500</v>
      </c>
      <c r="O102" s="570"/>
      <c r="P102" s="570"/>
      <c r="Q102" s="570"/>
      <c r="R102" s="570"/>
      <c r="S102" s="570"/>
      <c r="T102" s="570">
        <f t="shared" si="7"/>
        <v>2.5000000000000001E-2</v>
      </c>
      <c r="U102" s="299">
        <f ca="1">Max_severe_capped_beds*R102+Max_total_capped_beds*T102+Max_critical_capped_beds*S102+Q102*(Total_severe_patients_in_bed_over_forecast+Total_crit_patients_in_bed_over_forecast)+O102*Total_admitted_capped_severe_patients+P102*Total_admitted_capped_critical_patients</f>
        <v>551.52</v>
      </c>
      <c r="BE102" s="299">
        <f t="shared" ca="1" si="10"/>
        <v>551.52</v>
      </c>
      <c r="BF102" s="324">
        <f ca="1">BE102*H102</f>
        <v>1930320</v>
      </c>
    </row>
    <row r="103" spans="1:58" hidden="1" x14ac:dyDescent="0.75">
      <c r="A103" s="15" t="s">
        <v>1138</v>
      </c>
      <c r="B103" s="582" t="s">
        <v>302</v>
      </c>
      <c r="C103" s="577" t="s">
        <v>614</v>
      </c>
      <c r="D103" s="568" t="s">
        <v>803</v>
      </c>
      <c r="E103" s="232" t="s">
        <v>289</v>
      </c>
      <c r="F103" s="237"/>
      <c r="G103" s="233" t="s">
        <v>893</v>
      </c>
      <c r="H103" s="940">
        <v>100</v>
      </c>
      <c r="O103" s="570"/>
      <c r="P103" s="570"/>
      <c r="Q103" s="570"/>
      <c r="R103" s="570"/>
      <c r="S103" s="570"/>
      <c r="T103" s="570">
        <f t="shared" si="7"/>
        <v>2.5000000000000001E-2</v>
      </c>
      <c r="U103" s="299">
        <f ca="1">Max_severe_capped_beds*R103+Max_total_capped_beds*T103+Max_critical_capped_beds*S103+Q103*(Total_severe_patients_in_bed_over_forecast+Total_crit_patients_in_bed_over_forecast)+O103*Total_admitted_capped_severe_patients+P103*Total_admitted_capped_critical_patients</f>
        <v>551.52</v>
      </c>
      <c r="BE103" s="299">
        <f t="shared" ca="1" si="10"/>
        <v>551.52</v>
      </c>
      <c r="BF103" s="324">
        <f ca="1">BE103*H103</f>
        <v>55152</v>
      </c>
    </row>
    <row r="104" spans="1:58" hidden="1" x14ac:dyDescent="0.75">
      <c r="A104" s="15" t="s">
        <v>1138</v>
      </c>
      <c r="B104" s="582" t="s">
        <v>302</v>
      </c>
      <c r="C104" s="577" t="s">
        <v>614</v>
      </c>
      <c r="D104" s="568" t="s">
        <v>804</v>
      </c>
      <c r="E104" s="232" t="s">
        <v>289</v>
      </c>
      <c r="F104" s="237"/>
      <c r="G104" s="233" t="s">
        <v>893</v>
      </c>
      <c r="H104" s="940">
        <v>100</v>
      </c>
      <c r="O104" s="570"/>
      <c r="P104" s="570"/>
      <c r="Q104" s="570"/>
      <c r="R104" s="570"/>
      <c r="S104" s="570"/>
      <c r="T104" s="570">
        <f t="shared" si="7"/>
        <v>2.5000000000000001E-2</v>
      </c>
      <c r="U104" s="299">
        <f ca="1">Max_severe_capped_beds*R104+Max_total_capped_beds*T104+Max_critical_capped_beds*S104+Q104*(Total_severe_patients_in_bed_over_forecast+Total_crit_patients_in_bed_over_forecast)+O104*Total_admitted_capped_severe_patients+P104*Total_admitted_capped_critical_patients</f>
        <v>551.52</v>
      </c>
      <c r="BE104" s="299">
        <f t="shared" ca="1" si="10"/>
        <v>551.52</v>
      </c>
      <c r="BF104" s="324">
        <f ca="1">BE104*H104</f>
        <v>55152</v>
      </c>
    </row>
    <row r="105" spans="1:58" ht="30.75" hidden="1" customHeight="1" thickBot="1" x14ac:dyDescent="0.9">
      <c r="A105" s="15" t="s">
        <v>1138</v>
      </c>
      <c r="B105" s="582" t="s">
        <v>1495</v>
      </c>
      <c r="C105" s="577" t="s">
        <v>1492</v>
      </c>
      <c r="D105" s="568" t="s">
        <v>802</v>
      </c>
      <c r="E105" s="232" t="s">
        <v>289</v>
      </c>
      <c r="F105" s="237" t="s">
        <v>591</v>
      </c>
      <c r="G105" s="233"/>
      <c r="H105" s="940">
        <v>4600</v>
      </c>
      <c r="O105" s="877"/>
      <c r="P105" s="878"/>
      <c r="Q105" s="878"/>
      <c r="R105" s="878"/>
      <c r="S105" s="878"/>
      <c r="T105" s="878">
        <f t="shared" si="7"/>
        <v>2.5000000000000001E-2</v>
      </c>
      <c r="U105" s="334">
        <f t="shared" ref="U105" ca="1" si="11">Max_severe_capped_beds*R105+Max_total_capped_beds*T105+Max_critical_capped_beds*S105+Q105*(Total_severe_patients_in_bed_over_forecast+Total_crit_patients_in_bed_over_forecast)+O105*Total_admitted_capped_severe_patients+P105*Total_admitted_capped_critical_patients</f>
        <v>551.52</v>
      </c>
      <c r="BE105" s="869">
        <f t="shared" ca="1" si="10"/>
        <v>551.52</v>
      </c>
      <c r="BF105" s="874">
        <f t="shared" ref="BF105:BF111" ca="1" si="12">IF(H105="*",0,BE105*H105)</f>
        <v>2536992</v>
      </c>
    </row>
    <row r="106" spans="1:58" s="132" customFormat="1" ht="30" hidden="1" customHeight="1" x14ac:dyDescent="0.75">
      <c r="A106" s="15" t="s">
        <v>1138</v>
      </c>
      <c r="B106" s="582" t="s">
        <v>1495</v>
      </c>
      <c r="C106" s="577" t="s">
        <v>1486</v>
      </c>
      <c r="D106" s="568" t="s">
        <v>1023</v>
      </c>
      <c r="E106" s="232" t="s">
        <v>289</v>
      </c>
      <c r="F106" s="237" t="s">
        <v>591</v>
      </c>
      <c r="G106" s="233"/>
      <c r="H106" s="940">
        <v>0.55000000000000004</v>
      </c>
      <c r="N106" s="804"/>
      <c r="O106" s="927"/>
      <c r="P106" s="928"/>
      <c r="Q106" s="928"/>
      <c r="R106" s="928"/>
      <c r="S106" s="928">
        <v>0.5</v>
      </c>
      <c r="T106" s="928"/>
      <c r="U106" s="290">
        <f t="shared" ref="U106:U111" ca="1" si="13">Max_severe_capped_beds*R106+Max_total_capped_beds*T106+Max_critical_capped_beds*S106+Q106*(Total_severe_patients_in_bed_over_forecast+Total_crit_patients_in_bed_over_forecast)+O106*Total_admitted_capped_severe_patients+P106*Total_admitted_capped_critical_patients</f>
        <v>437.53920000000005</v>
      </c>
      <c r="BE106" s="867">
        <f t="shared" ca="1" si="10"/>
        <v>437.53920000000005</v>
      </c>
      <c r="BF106" s="875">
        <f t="shared" ca="1" si="12"/>
        <v>240.64656000000005</v>
      </c>
    </row>
    <row r="107" spans="1:58" hidden="1" x14ac:dyDescent="0.75">
      <c r="A107" s="15" t="s">
        <v>1138</v>
      </c>
      <c r="B107" s="582" t="s">
        <v>1494</v>
      </c>
      <c r="C107" s="577" t="s">
        <v>1493</v>
      </c>
      <c r="D107" s="568" t="s">
        <v>805</v>
      </c>
      <c r="E107" s="232" t="s">
        <v>289</v>
      </c>
      <c r="F107" s="237" t="s">
        <v>591</v>
      </c>
      <c r="G107" s="233" t="s">
        <v>893</v>
      </c>
      <c r="H107" s="940">
        <v>500</v>
      </c>
      <c r="O107" s="927"/>
      <c r="P107" s="928"/>
      <c r="Q107" s="928"/>
      <c r="R107" s="928"/>
      <c r="S107" s="928"/>
      <c r="T107" s="928">
        <f t="shared" si="7"/>
        <v>2.5000000000000001E-2</v>
      </c>
      <c r="U107" s="290">
        <f t="shared" ca="1" si="13"/>
        <v>551.52</v>
      </c>
      <c r="BE107" s="867">
        <f t="shared" ca="1" si="10"/>
        <v>551.52</v>
      </c>
      <c r="BF107" s="875">
        <f t="shared" ca="1" si="12"/>
        <v>275760</v>
      </c>
    </row>
    <row r="108" spans="1:58" hidden="1" x14ac:dyDescent="0.75">
      <c r="A108" s="15" t="s">
        <v>1138</v>
      </c>
      <c r="B108" s="582" t="s">
        <v>1494</v>
      </c>
      <c r="C108" s="577" t="s">
        <v>1493</v>
      </c>
      <c r="D108" s="568" t="s">
        <v>806</v>
      </c>
      <c r="E108" s="232" t="s">
        <v>289</v>
      </c>
      <c r="F108" s="237" t="s">
        <v>591</v>
      </c>
      <c r="G108" s="233" t="s">
        <v>893</v>
      </c>
      <c r="H108" s="940">
        <v>1200</v>
      </c>
      <c r="O108" s="927"/>
      <c r="P108" s="928"/>
      <c r="Q108" s="928"/>
      <c r="R108" s="928"/>
      <c r="S108" s="928"/>
      <c r="T108" s="928">
        <f t="shared" si="7"/>
        <v>2.5000000000000001E-2</v>
      </c>
      <c r="U108" s="290">
        <f t="shared" ca="1" si="13"/>
        <v>551.52</v>
      </c>
      <c r="BE108" s="867">
        <f t="shared" ca="1" si="10"/>
        <v>551.52</v>
      </c>
      <c r="BF108" s="875">
        <f t="shared" ca="1" si="12"/>
        <v>661824</v>
      </c>
    </row>
    <row r="109" spans="1:58" s="132" customFormat="1" ht="29.5" hidden="1" x14ac:dyDescent="0.75">
      <c r="A109" s="15" t="s">
        <v>1138</v>
      </c>
      <c r="B109" s="582" t="s">
        <v>302</v>
      </c>
      <c r="C109" s="577" t="s">
        <v>1030</v>
      </c>
      <c r="D109" s="568" t="s">
        <v>1150</v>
      </c>
      <c r="E109" s="232" t="s">
        <v>289</v>
      </c>
      <c r="F109" s="820" t="s">
        <v>591</v>
      </c>
      <c r="G109" s="575" t="s">
        <v>1021</v>
      </c>
      <c r="H109" s="898"/>
      <c r="N109" s="804"/>
      <c r="O109" s="927"/>
      <c r="P109" s="928"/>
      <c r="Q109" s="928"/>
      <c r="R109" s="928"/>
      <c r="S109" s="928"/>
      <c r="T109" s="928">
        <f>0.05/2</f>
        <v>2.5000000000000001E-2</v>
      </c>
      <c r="U109" s="290">
        <f t="shared" ca="1" si="13"/>
        <v>551.52</v>
      </c>
      <c r="V109" s="70"/>
      <c r="BE109" s="867">
        <f t="shared" ca="1" si="10"/>
        <v>551.52</v>
      </c>
      <c r="BF109" s="875">
        <f t="shared" ca="1" si="12"/>
        <v>0</v>
      </c>
    </row>
    <row r="110" spans="1:58" s="132" customFormat="1" ht="29.5" hidden="1" x14ac:dyDescent="0.75">
      <c r="A110" s="15" t="s">
        <v>1138</v>
      </c>
      <c r="B110" s="817" t="s">
        <v>1495</v>
      </c>
      <c r="C110" s="577" t="s">
        <v>1492</v>
      </c>
      <c r="D110" s="568" t="s">
        <v>1194</v>
      </c>
      <c r="E110" s="232" t="s">
        <v>289</v>
      </c>
      <c r="F110" s="820" t="s">
        <v>591</v>
      </c>
      <c r="G110" s="575"/>
      <c r="H110" s="898">
        <v>39.49</v>
      </c>
      <c r="N110" s="804"/>
      <c r="O110" s="929"/>
      <c r="P110" s="930"/>
      <c r="Q110" s="930"/>
      <c r="R110" s="930">
        <f>R66</f>
        <v>0.25</v>
      </c>
      <c r="S110" s="930">
        <f>S66</f>
        <v>1</v>
      </c>
      <c r="T110" s="930"/>
      <c r="U110" s="290">
        <f t="shared" ca="1" si="13"/>
        <v>6171.5088000000005</v>
      </c>
      <c r="V110" s="70"/>
      <c r="BE110" s="867">
        <f t="shared" ca="1" si="10"/>
        <v>6171.5088000000005</v>
      </c>
      <c r="BF110" s="875">
        <f t="shared" ca="1" si="12"/>
        <v>243712.88251200004</v>
      </c>
    </row>
    <row r="111" spans="1:58" s="132" customFormat="1" ht="32.25" hidden="1" customHeight="1" thickBot="1" x14ac:dyDescent="0.9">
      <c r="A111" s="15" t="s">
        <v>1138</v>
      </c>
      <c r="B111" s="818" t="s">
        <v>1495</v>
      </c>
      <c r="C111" s="819" t="s">
        <v>1497</v>
      </c>
      <c r="D111" s="933" t="s">
        <v>982</v>
      </c>
      <c r="E111" s="692" t="s">
        <v>289</v>
      </c>
      <c r="F111" s="886" t="s">
        <v>592</v>
      </c>
      <c r="G111" s="887"/>
      <c r="H111" s="899">
        <v>1.58</v>
      </c>
      <c r="N111" s="804"/>
      <c r="O111" s="927"/>
      <c r="P111" s="928">
        <f>2/3</f>
        <v>0.66666666666666663</v>
      </c>
      <c r="Q111" s="928"/>
      <c r="R111" s="928"/>
      <c r="S111" s="928"/>
      <c r="T111" s="928"/>
      <c r="U111" s="290">
        <f t="shared" ca="1" si="13"/>
        <v>1817.2325829023366</v>
      </c>
      <c r="BE111" s="867">
        <f t="shared" ca="1" si="10"/>
        <v>1817.2325829023366</v>
      </c>
      <c r="BF111" s="875">
        <f t="shared" ca="1" si="12"/>
        <v>2871.2274809856922</v>
      </c>
    </row>
    <row r="112" spans="1:58" s="6" customFormat="1" hidden="1" x14ac:dyDescent="0.75">
      <c r="B112" s="580"/>
      <c r="C112" s="580"/>
      <c r="D112" s="359"/>
      <c r="E112" s="359"/>
      <c r="F112" s="358"/>
      <c r="G112" s="7"/>
      <c r="H112" s="360"/>
      <c r="R112" s="361"/>
      <c r="S112" s="361"/>
      <c r="T112" s="361"/>
      <c r="U112" s="362"/>
      <c r="BE112" s="362"/>
      <c r="BF112" s="363"/>
    </row>
    <row r="113" spans="2:48" s="132" customFormat="1" hidden="1" x14ac:dyDescent="0.75">
      <c r="B113" s="68" t="s">
        <v>1391</v>
      </c>
      <c r="C113" s="802">
        <v>1</v>
      </c>
      <c r="G113" s="268"/>
      <c r="H113" s="279"/>
      <c r="I113"/>
      <c r="N113" s="804"/>
      <c r="AH113"/>
    </row>
    <row r="114" spans="2:48" s="132" customFormat="1" ht="29.5" hidden="1" x14ac:dyDescent="0.75">
      <c r="B114" s="68" t="s">
        <v>799</v>
      </c>
      <c r="C114" s="803">
        <v>7</v>
      </c>
      <c r="G114" s="268"/>
      <c r="H114" s="279"/>
      <c r="I114"/>
      <c r="N114" s="804"/>
      <c r="AH114"/>
    </row>
    <row r="115" spans="2:48" hidden="1" x14ac:dyDescent="0.75">
      <c r="B115"/>
      <c r="C115"/>
      <c r="E115"/>
      <c r="H115"/>
      <c r="O115"/>
      <c r="P115"/>
      <c r="R115"/>
      <c r="S115"/>
      <c r="T115"/>
      <c r="AE115"/>
      <c r="AF115"/>
      <c r="AG115"/>
      <c r="AP115"/>
      <c r="AQ115"/>
      <c r="AR115"/>
      <c r="AS115"/>
      <c r="AT115"/>
      <c r="AU115"/>
      <c r="AV115"/>
    </row>
    <row r="116" spans="2:48" s="675" customFormat="1" ht="18.5" x14ac:dyDescent="0.9">
      <c r="B116" s="677" t="s">
        <v>1808</v>
      </c>
      <c r="C116" s="676"/>
    </row>
    <row r="117" spans="2:48" s="66" customFormat="1" ht="15.5" thickBot="1" x14ac:dyDescent="0.9">
      <c r="B117" s="1002" t="s">
        <v>1440</v>
      </c>
      <c r="C117" s="581"/>
      <c r="I117"/>
      <c r="AH117"/>
    </row>
    <row r="118" spans="2:48" s="66" customFormat="1" ht="68.25" thickBot="1" x14ac:dyDescent="0.9">
      <c r="B118" s="1083" t="s">
        <v>1677</v>
      </c>
      <c r="C118" s="1084" t="s">
        <v>899</v>
      </c>
      <c r="D118" s="1085" t="s">
        <v>1678</v>
      </c>
      <c r="E118" s="1084" t="s">
        <v>741</v>
      </c>
      <c r="F118" s="1086" t="s">
        <v>742</v>
      </c>
      <c r="I118" s="995"/>
      <c r="AH118" s="995"/>
    </row>
    <row r="119" spans="2:48" s="66" customFormat="1" x14ac:dyDescent="0.75">
      <c r="B119" s="1530" t="s">
        <v>1679</v>
      </c>
      <c r="C119" s="1137">
        <v>1</v>
      </c>
      <c r="D119" s="1131" t="s">
        <v>1680</v>
      </c>
      <c r="E119" s="1087">
        <v>30</v>
      </c>
      <c r="F119" s="1091">
        <f ca="1">E119*'User Dashboard'!$G$183</f>
        <v>58686.713595600493</v>
      </c>
      <c r="I119" s="995"/>
      <c r="AH119" s="995"/>
    </row>
    <row r="120" spans="2:48" s="66" customFormat="1" x14ac:dyDescent="0.75">
      <c r="B120" s="1531"/>
      <c r="C120" s="1138">
        <v>2</v>
      </c>
      <c r="D120" s="1089" t="s">
        <v>1681</v>
      </c>
      <c r="E120" s="1090">
        <v>200</v>
      </c>
      <c r="F120" s="1091">
        <f ca="1">E120*'User Dashboard'!$G$183</f>
        <v>391244.75730400329</v>
      </c>
      <c r="I120" s="995"/>
      <c r="AH120" s="995"/>
    </row>
    <row r="121" spans="2:48" s="66" customFormat="1" x14ac:dyDescent="0.75">
      <c r="B121" s="1531"/>
      <c r="C121" s="1138">
        <v>3</v>
      </c>
      <c r="D121" s="1132" t="s">
        <v>1682</v>
      </c>
      <c r="E121" s="1090">
        <v>100</v>
      </c>
      <c r="F121" s="1091">
        <f ca="1">E121*'User Dashboard'!$G$183</f>
        <v>195622.37865200164</v>
      </c>
      <c r="I121" s="995"/>
      <c r="AH121" s="995"/>
    </row>
    <row r="122" spans="2:48" s="66" customFormat="1" x14ac:dyDescent="0.75">
      <c r="B122" s="1531"/>
      <c r="C122" s="1138">
        <v>4</v>
      </c>
      <c r="D122" s="1132" t="s">
        <v>1683</v>
      </c>
      <c r="E122" s="1090">
        <v>30</v>
      </c>
      <c r="F122" s="1091">
        <f ca="1">E122*'User Dashboard'!$G$183</f>
        <v>58686.713595600493</v>
      </c>
      <c r="I122" s="995"/>
      <c r="AH122" s="995"/>
    </row>
    <row r="123" spans="2:48" s="66" customFormat="1" ht="27" x14ac:dyDescent="0.75">
      <c r="B123" s="1531"/>
      <c r="C123" s="1138">
        <v>5</v>
      </c>
      <c r="D123" s="1132" t="s">
        <v>1684</v>
      </c>
      <c r="E123" s="1090">
        <v>100</v>
      </c>
      <c r="F123" s="1091">
        <f ca="1">E123*'User Dashboard'!$G$183</f>
        <v>195622.37865200164</v>
      </c>
      <c r="I123" s="995"/>
      <c r="AH123" s="995"/>
    </row>
    <row r="124" spans="2:48" s="66" customFormat="1" ht="27" x14ac:dyDescent="0.75">
      <c r="B124" s="1531"/>
      <c r="C124" s="1138">
        <v>6</v>
      </c>
      <c r="D124" s="1132" t="s">
        <v>1685</v>
      </c>
      <c r="E124" s="1090">
        <v>400</v>
      </c>
      <c r="F124" s="1091">
        <f ca="1">E124*'User Dashboard'!$G$183</f>
        <v>782489.51460800658</v>
      </c>
      <c r="I124" s="995"/>
      <c r="AH124" s="995"/>
    </row>
    <row r="125" spans="2:48" s="66" customFormat="1" x14ac:dyDescent="0.75">
      <c r="B125" s="1531"/>
      <c r="C125" s="1138">
        <v>7</v>
      </c>
      <c r="D125" s="1132" t="s">
        <v>1686</v>
      </c>
      <c r="E125" s="1090">
        <v>400</v>
      </c>
      <c r="F125" s="1091">
        <f ca="1">E125*'User Dashboard'!$G$183</f>
        <v>782489.51460800658</v>
      </c>
      <c r="I125" s="995"/>
      <c r="AH125" s="995"/>
    </row>
    <row r="126" spans="2:48" s="66" customFormat="1" x14ac:dyDescent="0.75">
      <c r="B126" s="1531"/>
      <c r="C126" s="1138">
        <v>8</v>
      </c>
      <c r="D126" s="1132" t="s">
        <v>1687</v>
      </c>
      <c r="E126" s="1090">
        <v>2000</v>
      </c>
      <c r="F126" s="1091">
        <f ca="1">E126*'User Dashboard'!$G$183</f>
        <v>3912447.5730400328</v>
      </c>
      <c r="I126" s="995"/>
      <c r="AH126" s="995"/>
    </row>
    <row r="127" spans="2:48" s="66" customFormat="1" x14ac:dyDescent="0.75">
      <c r="B127" s="1531"/>
      <c r="C127" s="1138">
        <v>9</v>
      </c>
      <c r="D127" s="1132" t="s">
        <v>1688</v>
      </c>
      <c r="E127" s="1090">
        <v>500</v>
      </c>
      <c r="F127" s="1091">
        <f ca="1">E127*'User Dashboard'!$G$183</f>
        <v>978111.89326000819</v>
      </c>
      <c r="I127" s="995"/>
      <c r="AH127" s="995"/>
    </row>
    <row r="128" spans="2:48" s="66" customFormat="1" x14ac:dyDescent="0.75">
      <c r="B128" s="1531"/>
      <c r="C128" s="1138">
        <v>10</v>
      </c>
      <c r="D128" s="1132" t="s">
        <v>1689</v>
      </c>
      <c r="E128" s="1090">
        <v>200</v>
      </c>
      <c r="F128" s="1091">
        <f ca="1">E128*'User Dashboard'!$G$183</f>
        <v>391244.75730400329</v>
      </c>
      <c r="I128" s="995"/>
      <c r="AH128" s="995"/>
    </row>
    <row r="129" spans="2:34" s="66" customFormat="1" x14ac:dyDescent="0.75">
      <c r="B129" s="1531"/>
      <c r="C129" s="1138">
        <v>11</v>
      </c>
      <c r="D129" s="1132" t="s">
        <v>1690</v>
      </c>
      <c r="E129" s="1090">
        <v>400</v>
      </c>
      <c r="F129" s="1091">
        <f ca="1">E129*'User Dashboard'!$G$183</f>
        <v>782489.51460800658</v>
      </c>
      <c r="I129" s="995"/>
      <c r="AH129" s="995"/>
    </row>
    <row r="130" spans="2:34" s="66" customFormat="1" x14ac:dyDescent="0.75">
      <c r="B130" s="1531"/>
      <c r="C130" s="1138">
        <v>12</v>
      </c>
      <c r="D130" s="1132" t="s">
        <v>1691</v>
      </c>
      <c r="E130" s="1090">
        <v>200</v>
      </c>
      <c r="F130" s="1091">
        <f ca="1">E130*'User Dashboard'!$G$183</f>
        <v>391244.75730400329</v>
      </c>
      <c r="I130" s="995"/>
      <c r="AH130" s="995"/>
    </row>
    <row r="131" spans="2:34" s="66" customFormat="1" x14ac:dyDescent="0.75">
      <c r="B131" s="1531"/>
      <c r="C131" s="1138">
        <v>13</v>
      </c>
      <c r="D131" s="1132" t="s">
        <v>1692</v>
      </c>
      <c r="E131" s="1090">
        <v>40</v>
      </c>
      <c r="F131" s="1091">
        <f ca="1">E131*'User Dashboard'!$G$183</f>
        <v>78248.951460800658</v>
      </c>
      <c r="I131" s="995"/>
      <c r="AH131" s="995"/>
    </row>
    <row r="132" spans="2:34" s="66" customFormat="1" ht="27" x14ac:dyDescent="0.75">
      <c r="B132" s="1531"/>
      <c r="C132" s="1138">
        <v>14</v>
      </c>
      <c r="D132" s="1132" t="s">
        <v>1693</v>
      </c>
      <c r="E132" s="1090">
        <v>100</v>
      </c>
      <c r="F132" s="1091">
        <f ca="1">E132*'User Dashboard'!$G$183</f>
        <v>195622.37865200164</v>
      </c>
      <c r="I132" s="995"/>
      <c r="AH132" s="995"/>
    </row>
    <row r="133" spans="2:34" s="66" customFormat="1" x14ac:dyDescent="0.75">
      <c r="B133" s="1531"/>
      <c r="C133" s="1138">
        <v>15</v>
      </c>
      <c r="D133" s="1132" t="s">
        <v>1694</v>
      </c>
      <c r="E133" s="1090">
        <v>200</v>
      </c>
      <c r="F133" s="1091">
        <f ca="1">E133*'User Dashboard'!$G$183</f>
        <v>391244.75730400329</v>
      </c>
      <c r="I133" s="995"/>
      <c r="AH133" s="995"/>
    </row>
    <row r="134" spans="2:34" s="66" customFormat="1" x14ac:dyDescent="0.75">
      <c r="B134" s="1531"/>
      <c r="C134" s="1138">
        <v>16</v>
      </c>
      <c r="D134" s="1132" t="s">
        <v>1695</v>
      </c>
      <c r="E134" s="1090">
        <v>400</v>
      </c>
      <c r="F134" s="1091">
        <f ca="1">E134*'User Dashboard'!$G$183</f>
        <v>782489.51460800658</v>
      </c>
      <c r="I134" s="995"/>
      <c r="AH134" s="995"/>
    </row>
    <row r="135" spans="2:34" s="66" customFormat="1" x14ac:dyDescent="0.75">
      <c r="B135" s="1531"/>
      <c r="C135" s="1138">
        <v>17</v>
      </c>
      <c r="D135" s="1132" t="s">
        <v>1696</v>
      </c>
      <c r="E135" s="1090">
        <v>200</v>
      </c>
      <c r="F135" s="1091">
        <f ca="1">E135*'User Dashboard'!$G$183</f>
        <v>391244.75730400329</v>
      </c>
      <c r="I135" s="995"/>
      <c r="AH135" s="995"/>
    </row>
    <row r="136" spans="2:34" s="66" customFormat="1" x14ac:dyDescent="0.75">
      <c r="B136" s="1531"/>
      <c r="C136" s="1138">
        <v>18</v>
      </c>
      <c r="D136" s="1132" t="s">
        <v>1697</v>
      </c>
      <c r="E136" s="1090">
        <v>50</v>
      </c>
      <c r="F136" s="1091">
        <f ca="1">E136*'User Dashboard'!$G$183</f>
        <v>97811.189326000822</v>
      </c>
      <c r="I136" s="995"/>
      <c r="AH136" s="995"/>
    </row>
    <row r="137" spans="2:34" s="66" customFormat="1" x14ac:dyDescent="0.75">
      <c r="B137" s="1531"/>
      <c r="C137" s="1138">
        <v>19</v>
      </c>
      <c r="D137" s="1132" t="s">
        <v>1698</v>
      </c>
      <c r="E137" s="1090">
        <v>400</v>
      </c>
      <c r="F137" s="1091">
        <f ca="1">E137*'User Dashboard'!$G$183</f>
        <v>782489.51460800658</v>
      </c>
      <c r="I137" s="995"/>
      <c r="AH137" s="995"/>
    </row>
    <row r="138" spans="2:34" s="66" customFormat="1" ht="27" x14ac:dyDescent="0.75">
      <c r="B138" s="1531"/>
      <c r="C138" s="1138">
        <v>20</v>
      </c>
      <c r="D138" s="1132" t="s">
        <v>1699</v>
      </c>
      <c r="E138" s="1090">
        <v>1000</v>
      </c>
      <c r="F138" s="1091">
        <f ca="1">E138*'User Dashboard'!$G$183</f>
        <v>1956223.7865200164</v>
      </c>
      <c r="I138" s="995"/>
      <c r="AH138" s="995"/>
    </row>
    <row r="139" spans="2:34" s="66" customFormat="1" x14ac:dyDescent="0.75">
      <c r="B139" s="1531"/>
      <c r="C139" s="1138">
        <v>21</v>
      </c>
      <c r="D139" s="1132" t="s">
        <v>1700</v>
      </c>
      <c r="E139" s="1090">
        <v>500</v>
      </c>
      <c r="F139" s="1091">
        <f ca="1">E139*'User Dashboard'!$G$183</f>
        <v>978111.89326000819</v>
      </c>
      <c r="I139" s="995"/>
      <c r="AH139" s="995"/>
    </row>
    <row r="140" spans="2:34" s="66" customFormat="1" ht="27" x14ac:dyDescent="0.75">
      <c r="B140" s="1531"/>
      <c r="C140" s="1138">
        <v>22</v>
      </c>
      <c r="D140" s="1132" t="s">
        <v>1701</v>
      </c>
      <c r="E140" s="1090">
        <v>100</v>
      </c>
      <c r="F140" s="1091">
        <f ca="1">E140*'User Dashboard'!$G$183</f>
        <v>195622.37865200164</v>
      </c>
      <c r="I140" s="995"/>
      <c r="AH140" s="995"/>
    </row>
    <row r="141" spans="2:34" s="66" customFormat="1" ht="27" x14ac:dyDescent="0.75">
      <c r="B141" s="1531"/>
      <c r="C141" s="1138">
        <v>23</v>
      </c>
      <c r="D141" s="1132" t="s">
        <v>1702</v>
      </c>
      <c r="E141" s="1090">
        <v>200</v>
      </c>
      <c r="F141" s="1091">
        <f ca="1">E141*'User Dashboard'!$G$183</f>
        <v>391244.75730400329</v>
      </c>
      <c r="I141" s="995"/>
      <c r="AH141" s="995"/>
    </row>
    <row r="142" spans="2:34" s="66" customFormat="1" x14ac:dyDescent="0.75">
      <c r="B142" s="1531"/>
      <c r="C142" s="1138">
        <v>24</v>
      </c>
      <c r="D142" s="1132" t="s">
        <v>1703</v>
      </c>
      <c r="E142" s="1090">
        <v>600</v>
      </c>
      <c r="F142" s="1091">
        <f ca="1">E142*'User Dashboard'!$G$183</f>
        <v>1173734.2719120099</v>
      </c>
      <c r="I142" s="995"/>
      <c r="AH142" s="995"/>
    </row>
    <row r="143" spans="2:34" s="66" customFormat="1" x14ac:dyDescent="0.75">
      <c r="B143" s="1531"/>
      <c r="C143" s="1138">
        <v>25</v>
      </c>
      <c r="D143" s="1132" t="s">
        <v>1704</v>
      </c>
      <c r="E143" s="1090">
        <v>200</v>
      </c>
      <c r="F143" s="1091">
        <f ca="1">E143*'User Dashboard'!$G$183</f>
        <v>391244.75730400329</v>
      </c>
      <c r="I143" s="995"/>
      <c r="AH143" s="995"/>
    </row>
    <row r="144" spans="2:34" s="66" customFormat="1" x14ac:dyDescent="0.75">
      <c r="B144" s="1531"/>
      <c r="C144" s="1138">
        <v>26</v>
      </c>
      <c r="D144" s="1132" t="s">
        <v>1705</v>
      </c>
      <c r="E144" s="1090">
        <v>400</v>
      </c>
      <c r="F144" s="1091">
        <f ca="1">E144*'User Dashboard'!$G$183</f>
        <v>782489.51460800658</v>
      </c>
      <c r="I144" s="995"/>
      <c r="AH144" s="995"/>
    </row>
    <row r="145" spans="2:34" s="66" customFormat="1" x14ac:dyDescent="0.75">
      <c r="B145" s="1531"/>
      <c r="C145" s="1138">
        <v>27</v>
      </c>
      <c r="D145" s="1132" t="s">
        <v>1706</v>
      </c>
      <c r="E145" s="1090">
        <v>60</v>
      </c>
      <c r="F145" s="1091">
        <f ca="1">E145*'User Dashboard'!$G$183</f>
        <v>117373.42719120099</v>
      </c>
      <c r="I145" s="995"/>
      <c r="AH145" s="995"/>
    </row>
    <row r="146" spans="2:34" s="66" customFormat="1" x14ac:dyDescent="0.75">
      <c r="B146" s="1531"/>
      <c r="C146" s="1138">
        <v>28</v>
      </c>
      <c r="D146" s="1132" t="s">
        <v>1707</v>
      </c>
      <c r="E146" s="1090">
        <v>100</v>
      </c>
      <c r="F146" s="1091">
        <f ca="1">E146*'User Dashboard'!$G$183</f>
        <v>195622.37865200164</v>
      </c>
      <c r="I146" s="995"/>
      <c r="AH146" s="995"/>
    </row>
    <row r="147" spans="2:34" s="66" customFormat="1" x14ac:dyDescent="0.75">
      <c r="B147" s="1531"/>
      <c r="C147" s="1138">
        <v>29</v>
      </c>
      <c r="D147" s="1132" t="s">
        <v>1708</v>
      </c>
      <c r="E147" s="1090">
        <v>40</v>
      </c>
      <c r="F147" s="1091">
        <f ca="1">E147*'User Dashboard'!$G$183</f>
        <v>78248.951460800658</v>
      </c>
      <c r="I147" s="995"/>
      <c r="AH147" s="995"/>
    </row>
    <row r="148" spans="2:34" s="66" customFormat="1" x14ac:dyDescent="0.75">
      <c r="B148" s="1531"/>
      <c r="C148" s="1138">
        <v>30</v>
      </c>
      <c r="D148" s="1132" t="s">
        <v>1709</v>
      </c>
      <c r="E148" s="1090">
        <v>600</v>
      </c>
      <c r="F148" s="1091">
        <f ca="1">E148*'User Dashboard'!$G$183</f>
        <v>1173734.2719120099</v>
      </c>
      <c r="I148" s="995"/>
      <c r="AH148" s="995"/>
    </row>
    <row r="149" spans="2:34" s="66" customFormat="1" ht="27" x14ac:dyDescent="0.75">
      <c r="B149" s="1531"/>
      <c r="C149" s="1138">
        <v>31</v>
      </c>
      <c r="D149" s="1132" t="s">
        <v>1710</v>
      </c>
      <c r="E149" s="1090">
        <v>200</v>
      </c>
      <c r="F149" s="1091">
        <f ca="1">E149*'User Dashboard'!$G$183</f>
        <v>391244.75730400329</v>
      </c>
      <c r="I149" s="995"/>
      <c r="AH149" s="995"/>
    </row>
    <row r="150" spans="2:34" s="66" customFormat="1" x14ac:dyDescent="0.75">
      <c r="B150" s="1531"/>
      <c r="C150" s="1138">
        <v>32</v>
      </c>
      <c r="D150" s="1132" t="s">
        <v>1711</v>
      </c>
      <c r="E150" s="1090">
        <v>30</v>
      </c>
      <c r="F150" s="1091">
        <f ca="1">E150*'User Dashboard'!$G$183</f>
        <v>58686.713595600493</v>
      </c>
      <c r="I150" s="995"/>
      <c r="AH150" s="995"/>
    </row>
    <row r="151" spans="2:34" s="66" customFormat="1" x14ac:dyDescent="0.75">
      <c r="B151" s="1531"/>
      <c r="C151" s="1138">
        <v>33</v>
      </c>
      <c r="D151" s="1132" t="s">
        <v>1712</v>
      </c>
      <c r="E151" s="1090">
        <v>200</v>
      </c>
      <c r="F151" s="1091">
        <f ca="1">E151*'User Dashboard'!$G$183</f>
        <v>391244.75730400329</v>
      </c>
      <c r="I151" s="995"/>
      <c r="AH151" s="995"/>
    </row>
    <row r="152" spans="2:34" s="66" customFormat="1" x14ac:dyDescent="0.75">
      <c r="B152" s="1531"/>
      <c r="C152" s="1138">
        <v>34</v>
      </c>
      <c r="D152" s="1132" t="s">
        <v>1713</v>
      </c>
      <c r="E152" s="1090">
        <v>200</v>
      </c>
      <c r="F152" s="1091">
        <f ca="1">E152*'User Dashboard'!$G$183</f>
        <v>391244.75730400329</v>
      </c>
      <c r="I152" s="995"/>
      <c r="AH152" s="995"/>
    </row>
    <row r="153" spans="2:34" s="66" customFormat="1" x14ac:dyDescent="0.75">
      <c r="B153" s="1531"/>
      <c r="C153" s="1138">
        <v>35</v>
      </c>
      <c r="D153" s="1132" t="s">
        <v>1714</v>
      </c>
      <c r="E153" s="1090">
        <v>40</v>
      </c>
      <c r="F153" s="1091">
        <f ca="1">E153*'User Dashboard'!$G$183</f>
        <v>78248.951460800658</v>
      </c>
      <c r="I153" s="995"/>
      <c r="AH153" s="995"/>
    </row>
    <row r="154" spans="2:34" s="66" customFormat="1" x14ac:dyDescent="0.75">
      <c r="B154" s="1531"/>
      <c r="C154" s="1138">
        <v>36</v>
      </c>
      <c r="D154" s="1132" t="s">
        <v>1715</v>
      </c>
      <c r="E154" s="1090">
        <v>200</v>
      </c>
      <c r="F154" s="1091">
        <f ca="1">E154*'User Dashboard'!$G$183</f>
        <v>391244.75730400329</v>
      </c>
      <c r="I154" s="995"/>
      <c r="AH154" s="995"/>
    </row>
    <row r="155" spans="2:34" s="66" customFormat="1" ht="27" x14ac:dyDescent="0.75">
      <c r="B155" s="1531"/>
      <c r="C155" s="1138">
        <v>37</v>
      </c>
      <c r="D155" s="1132" t="s">
        <v>1716</v>
      </c>
      <c r="E155" s="1090">
        <v>30</v>
      </c>
      <c r="F155" s="1091">
        <f ca="1">E155*'User Dashboard'!$G$183</f>
        <v>58686.713595600493</v>
      </c>
      <c r="I155" s="995"/>
      <c r="AH155" s="995"/>
    </row>
    <row r="156" spans="2:34" s="66" customFormat="1" ht="27" x14ac:dyDescent="0.75">
      <c r="B156" s="1531"/>
      <c r="C156" s="1138">
        <v>38</v>
      </c>
      <c r="D156" s="1132" t="s">
        <v>1717</v>
      </c>
      <c r="E156" s="1090">
        <v>80</v>
      </c>
      <c r="F156" s="1091">
        <f ca="1">E156*'User Dashboard'!$G$183</f>
        <v>156497.90292160132</v>
      </c>
      <c r="I156" s="995"/>
      <c r="AH156" s="995"/>
    </row>
    <row r="157" spans="2:34" s="66" customFormat="1" x14ac:dyDescent="0.75">
      <c r="B157" s="1531"/>
      <c r="C157" s="1138">
        <v>39</v>
      </c>
      <c r="D157" s="1132" t="s">
        <v>1718</v>
      </c>
      <c r="E157" s="1090">
        <v>200</v>
      </c>
      <c r="F157" s="1091">
        <f ca="1">E157*'User Dashboard'!$G$183</f>
        <v>391244.75730400329</v>
      </c>
      <c r="I157" s="995"/>
      <c r="AH157" s="995"/>
    </row>
    <row r="158" spans="2:34" s="66" customFormat="1" ht="27" x14ac:dyDescent="0.75">
      <c r="B158" s="1531"/>
      <c r="C158" s="1138">
        <v>40</v>
      </c>
      <c r="D158" s="1132" t="s">
        <v>1719</v>
      </c>
      <c r="E158" s="1090">
        <v>200</v>
      </c>
      <c r="F158" s="1091">
        <f ca="1">E158*'User Dashboard'!$G$183</f>
        <v>391244.75730400329</v>
      </c>
      <c r="I158" s="995"/>
      <c r="AH158" s="995"/>
    </row>
    <row r="159" spans="2:34" s="66" customFormat="1" x14ac:dyDescent="0.75">
      <c r="B159" s="1531"/>
      <c r="C159" s="1138">
        <v>41</v>
      </c>
      <c r="D159" s="1132" t="s">
        <v>1720</v>
      </c>
      <c r="E159" s="1090">
        <v>400</v>
      </c>
      <c r="F159" s="1091">
        <f ca="1">E159*'User Dashboard'!$G$183</f>
        <v>782489.51460800658</v>
      </c>
      <c r="I159" s="995"/>
      <c r="AH159" s="995"/>
    </row>
    <row r="160" spans="2:34" s="66" customFormat="1" x14ac:dyDescent="0.75">
      <c r="B160" s="1531"/>
      <c r="C160" s="1138">
        <v>42</v>
      </c>
      <c r="D160" s="1132" t="s">
        <v>1721</v>
      </c>
      <c r="E160" s="1090">
        <v>200</v>
      </c>
      <c r="F160" s="1091">
        <f ca="1">E160*'User Dashboard'!$G$183</f>
        <v>391244.75730400329</v>
      </c>
      <c r="I160" s="995"/>
      <c r="AH160" s="995"/>
    </row>
    <row r="161" spans="2:34" s="66" customFormat="1" ht="28.15" customHeight="1" x14ac:dyDescent="0.75">
      <c r="B161" s="1531"/>
      <c r="C161" s="1138">
        <v>43</v>
      </c>
      <c r="D161" s="1132" t="s">
        <v>1722</v>
      </c>
      <c r="E161" s="1090">
        <v>80</v>
      </c>
      <c r="F161" s="1091">
        <f ca="1">E161*'User Dashboard'!$G$183</f>
        <v>156497.90292160132</v>
      </c>
      <c r="I161" s="995"/>
      <c r="AH161" s="995"/>
    </row>
    <row r="162" spans="2:34" s="66" customFormat="1" ht="27" x14ac:dyDescent="0.75">
      <c r="B162" s="1531"/>
      <c r="C162" s="1138">
        <v>44</v>
      </c>
      <c r="D162" s="1132" t="s">
        <v>1723</v>
      </c>
      <c r="E162" s="1090">
        <v>1000</v>
      </c>
      <c r="F162" s="1091">
        <f ca="1">E162*'User Dashboard'!$G$183</f>
        <v>1956223.7865200164</v>
      </c>
      <c r="I162" s="995"/>
      <c r="AH162" s="995"/>
    </row>
    <row r="163" spans="2:34" s="66" customFormat="1" ht="27" x14ac:dyDescent="0.75">
      <c r="B163" s="1531"/>
      <c r="C163" s="1138">
        <v>45</v>
      </c>
      <c r="D163" s="1132" t="s">
        <v>1724</v>
      </c>
      <c r="E163" s="1090">
        <v>30</v>
      </c>
      <c r="F163" s="1091">
        <f ca="1">E163*'User Dashboard'!$G$183</f>
        <v>58686.713595600493</v>
      </c>
      <c r="I163" s="995"/>
      <c r="AH163" s="995"/>
    </row>
    <row r="164" spans="2:34" s="66" customFormat="1" ht="28.9" customHeight="1" x14ac:dyDescent="0.75">
      <c r="B164" s="1531"/>
      <c r="C164" s="1138">
        <v>46</v>
      </c>
      <c r="D164" s="1132" t="s">
        <v>1725</v>
      </c>
      <c r="E164" s="1090">
        <v>200</v>
      </c>
      <c r="F164" s="1091">
        <f ca="1">E164*'User Dashboard'!$G$183</f>
        <v>391244.75730400329</v>
      </c>
      <c r="I164" s="995"/>
      <c r="AH164" s="995"/>
    </row>
    <row r="165" spans="2:34" s="66" customFormat="1" x14ac:dyDescent="0.75">
      <c r="B165" s="1531"/>
      <c r="C165" s="1138">
        <v>47</v>
      </c>
      <c r="D165" s="1132" t="s">
        <v>1726</v>
      </c>
      <c r="E165" s="1090">
        <v>400</v>
      </c>
      <c r="F165" s="1091">
        <f ca="1">E165*'User Dashboard'!$G$183</f>
        <v>782489.51460800658</v>
      </c>
      <c r="I165" s="995"/>
      <c r="AH165" s="995"/>
    </row>
    <row r="166" spans="2:34" s="66" customFormat="1" x14ac:dyDescent="0.75">
      <c r="B166" s="1531"/>
      <c r="C166" s="1138">
        <v>48</v>
      </c>
      <c r="D166" s="1132" t="s">
        <v>1727</v>
      </c>
      <c r="E166" s="1090">
        <v>100</v>
      </c>
      <c r="F166" s="1091">
        <f ca="1">E166*'User Dashboard'!$G$183</f>
        <v>195622.37865200164</v>
      </c>
      <c r="I166" s="995"/>
      <c r="AH166" s="995"/>
    </row>
    <row r="167" spans="2:34" s="66" customFormat="1" ht="27" x14ac:dyDescent="0.75">
      <c r="B167" s="1531"/>
      <c r="C167" s="1138">
        <v>49</v>
      </c>
      <c r="D167" s="1132" t="s">
        <v>1728</v>
      </c>
      <c r="E167" s="1090">
        <v>400</v>
      </c>
      <c r="F167" s="1091">
        <f ca="1">E167*'User Dashboard'!$G$183</f>
        <v>782489.51460800658</v>
      </c>
      <c r="I167" s="995"/>
      <c r="AH167" s="995"/>
    </row>
    <row r="168" spans="2:34" s="66" customFormat="1" x14ac:dyDescent="0.75">
      <c r="B168" s="1531"/>
      <c r="C168" s="1138">
        <v>50</v>
      </c>
      <c r="D168" s="1132" t="s">
        <v>1729</v>
      </c>
      <c r="E168" s="1090">
        <v>100</v>
      </c>
      <c r="F168" s="1091">
        <f ca="1">E168*'User Dashboard'!$G$183</f>
        <v>195622.37865200164</v>
      </c>
      <c r="I168" s="995"/>
      <c r="AH168" s="995"/>
    </row>
    <row r="169" spans="2:34" s="66" customFormat="1" x14ac:dyDescent="0.75">
      <c r="B169" s="1531"/>
      <c r="C169" s="1138">
        <v>51</v>
      </c>
      <c r="D169" s="1132" t="s">
        <v>1730</v>
      </c>
      <c r="E169" s="1090">
        <v>200</v>
      </c>
      <c r="F169" s="1091">
        <f ca="1">E169*'User Dashboard'!$G$183</f>
        <v>391244.75730400329</v>
      </c>
      <c r="I169" s="995"/>
      <c r="AH169" s="995"/>
    </row>
    <row r="170" spans="2:34" s="66" customFormat="1" x14ac:dyDescent="0.75">
      <c r="B170" s="1531"/>
      <c r="C170" s="1138">
        <v>52</v>
      </c>
      <c r="D170" s="1132" t="s">
        <v>1731</v>
      </c>
      <c r="E170" s="1090">
        <v>200</v>
      </c>
      <c r="F170" s="1091">
        <f ca="1">E170*'User Dashboard'!$G$183</f>
        <v>391244.75730400329</v>
      </c>
      <c r="I170" s="995"/>
      <c r="AH170" s="995"/>
    </row>
    <row r="171" spans="2:34" s="66" customFormat="1" ht="27" customHeight="1" x14ac:dyDescent="0.75">
      <c r="B171" s="1531"/>
      <c r="C171" s="1138">
        <v>53</v>
      </c>
      <c r="D171" s="1132" t="s">
        <v>1732</v>
      </c>
      <c r="E171" s="1090">
        <v>100</v>
      </c>
      <c r="F171" s="1091">
        <f ca="1">E171*'User Dashboard'!$G$183</f>
        <v>195622.37865200164</v>
      </c>
      <c r="I171" s="995"/>
      <c r="AH171" s="995"/>
    </row>
    <row r="172" spans="2:34" s="66" customFormat="1" x14ac:dyDescent="0.75">
      <c r="B172" s="1531"/>
      <c r="C172" s="1138">
        <v>54</v>
      </c>
      <c r="D172" s="1132" t="s">
        <v>1733</v>
      </c>
      <c r="E172" s="1090">
        <v>400</v>
      </c>
      <c r="F172" s="1091">
        <f ca="1">E172*'User Dashboard'!$G$183</f>
        <v>782489.51460800658</v>
      </c>
      <c r="I172" s="995"/>
      <c r="AH172" s="995"/>
    </row>
    <row r="173" spans="2:34" s="66" customFormat="1" ht="27" x14ac:dyDescent="0.75">
      <c r="B173" s="1531"/>
      <c r="C173" s="1138">
        <v>55</v>
      </c>
      <c r="D173" s="1132" t="s">
        <v>1734</v>
      </c>
      <c r="E173" s="1090">
        <v>200</v>
      </c>
      <c r="F173" s="1091">
        <f ca="1">E173*'User Dashboard'!$G$183</f>
        <v>391244.75730400329</v>
      </c>
      <c r="I173" s="995"/>
      <c r="AH173" s="995"/>
    </row>
    <row r="174" spans="2:34" s="66" customFormat="1" x14ac:dyDescent="0.75">
      <c r="B174" s="1531"/>
      <c r="C174" s="1138">
        <v>56</v>
      </c>
      <c r="D174" s="1132" t="s">
        <v>1735</v>
      </c>
      <c r="E174" s="1090">
        <v>600</v>
      </c>
      <c r="F174" s="1091">
        <f ca="1">E174*'User Dashboard'!$G$183</f>
        <v>1173734.2719120099</v>
      </c>
      <c r="I174" s="995"/>
      <c r="AH174" s="995"/>
    </row>
    <row r="175" spans="2:34" s="66" customFormat="1" ht="27" x14ac:dyDescent="0.75">
      <c r="B175" s="1531"/>
      <c r="C175" s="1138">
        <v>57</v>
      </c>
      <c r="D175" s="1132" t="s">
        <v>1736</v>
      </c>
      <c r="E175" s="1090">
        <v>40</v>
      </c>
      <c r="F175" s="1091">
        <f ca="1">E175*'User Dashboard'!$G$183</f>
        <v>78248.951460800658</v>
      </c>
      <c r="I175" s="995"/>
      <c r="AH175" s="995"/>
    </row>
    <row r="176" spans="2:34" s="66" customFormat="1" ht="27" x14ac:dyDescent="0.75">
      <c r="B176" s="1531"/>
      <c r="C176" s="1138">
        <v>58</v>
      </c>
      <c r="D176" s="1132" t="s">
        <v>1737</v>
      </c>
      <c r="E176" s="1090">
        <v>160</v>
      </c>
      <c r="F176" s="1091">
        <f ca="1">E176*'User Dashboard'!$G$183</f>
        <v>312995.80584320263</v>
      </c>
      <c r="I176" s="995"/>
      <c r="AH176" s="995"/>
    </row>
    <row r="177" spans="2:34" s="66" customFormat="1" ht="27" x14ac:dyDescent="0.75">
      <c r="B177" s="1531"/>
      <c r="C177" s="1138">
        <v>59</v>
      </c>
      <c r="D177" s="1132" t="s">
        <v>1738</v>
      </c>
      <c r="E177" s="1090">
        <v>160</v>
      </c>
      <c r="F177" s="1091">
        <f ca="1">E177*'User Dashboard'!$G$183</f>
        <v>312995.80584320263</v>
      </c>
      <c r="I177" s="995"/>
      <c r="AH177" s="995"/>
    </row>
    <row r="178" spans="2:34" s="66" customFormat="1" x14ac:dyDescent="0.75">
      <c r="B178" s="1531"/>
      <c r="C178" s="1138">
        <v>60</v>
      </c>
      <c r="D178" s="1132" t="s">
        <v>1739</v>
      </c>
      <c r="E178" s="1090">
        <v>4000</v>
      </c>
      <c r="F178" s="1091">
        <f ca="1">E178*'User Dashboard'!$G$183</f>
        <v>7824895.1460800655</v>
      </c>
      <c r="I178" s="995"/>
      <c r="AH178" s="995"/>
    </row>
    <row r="179" spans="2:34" s="66" customFormat="1" x14ac:dyDescent="0.75">
      <c r="B179" s="1531"/>
      <c r="C179" s="1138">
        <v>61</v>
      </c>
      <c r="D179" s="1132" t="s">
        <v>1740</v>
      </c>
      <c r="E179" s="1090">
        <v>900</v>
      </c>
      <c r="F179" s="1091">
        <f ca="1">E179*'User Dashboard'!$G$183</f>
        <v>1760601.4078680146</v>
      </c>
      <c r="I179" s="995"/>
      <c r="AH179" s="995"/>
    </row>
    <row r="180" spans="2:34" s="66" customFormat="1" x14ac:dyDescent="0.75">
      <c r="B180" s="1531"/>
      <c r="C180" s="1138">
        <v>62</v>
      </c>
      <c r="D180" s="1132" t="s">
        <v>1741</v>
      </c>
      <c r="E180" s="1090">
        <v>200</v>
      </c>
      <c r="F180" s="1091">
        <f ca="1">E180*'User Dashboard'!$G$183</f>
        <v>391244.75730400329</v>
      </c>
      <c r="I180" s="995"/>
      <c r="AH180" s="995"/>
    </row>
    <row r="181" spans="2:34" s="66" customFormat="1" x14ac:dyDescent="0.75">
      <c r="B181" s="1531"/>
      <c r="C181" s="1138">
        <v>63</v>
      </c>
      <c r="D181" s="1132" t="s">
        <v>1742</v>
      </c>
      <c r="E181" s="1090">
        <v>200</v>
      </c>
      <c r="F181" s="1091">
        <f ca="1">E181*'User Dashboard'!$G$183</f>
        <v>391244.75730400329</v>
      </c>
      <c r="I181" s="995"/>
      <c r="AH181" s="995"/>
    </row>
    <row r="182" spans="2:34" s="66" customFormat="1" x14ac:dyDescent="0.75">
      <c r="B182" s="1531"/>
      <c r="C182" s="1138">
        <v>64</v>
      </c>
      <c r="D182" s="1132" t="s">
        <v>1743</v>
      </c>
      <c r="E182" s="1090">
        <v>2000</v>
      </c>
      <c r="F182" s="1091">
        <f ca="1">E182*'User Dashboard'!$G$183</f>
        <v>3912447.5730400328</v>
      </c>
      <c r="I182" s="995"/>
      <c r="AH182" s="995"/>
    </row>
    <row r="183" spans="2:34" s="66" customFormat="1" x14ac:dyDescent="0.75">
      <c r="B183" s="1531"/>
      <c r="C183" s="1138">
        <v>65</v>
      </c>
      <c r="D183" s="1132" t="s">
        <v>1744</v>
      </c>
      <c r="E183" s="1090">
        <v>150</v>
      </c>
      <c r="F183" s="1091">
        <f ca="1">E183*'User Dashboard'!$G$183</f>
        <v>293433.56797800248</v>
      </c>
      <c r="I183" s="995"/>
      <c r="AH183" s="995"/>
    </row>
    <row r="184" spans="2:34" s="66" customFormat="1" x14ac:dyDescent="0.75">
      <c r="B184" s="1531"/>
      <c r="C184" s="1138">
        <v>66</v>
      </c>
      <c r="D184" s="1132" t="s">
        <v>1745</v>
      </c>
      <c r="E184" s="1090">
        <v>800</v>
      </c>
      <c r="F184" s="1091">
        <f ca="1">E184*'User Dashboard'!$G$183</f>
        <v>1564979.0292160132</v>
      </c>
      <c r="I184" s="995"/>
      <c r="AH184" s="995"/>
    </row>
    <row r="185" spans="2:34" s="66" customFormat="1" x14ac:dyDescent="0.75">
      <c r="B185" s="1531"/>
      <c r="C185" s="1138">
        <v>67</v>
      </c>
      <c r="D185" s="1132" t="s">
        <v>1746</v>
      </c>
      <c r="E185" s="1090">
        <v>100</v>
      </c>
      <c r="F185" s="1091">
        <f ca="1">E185*'User Dashboard'!$G$183</f>
        <v>195622.37865200164</v>
      </c>
      <c r="I185" s="995"/>
      <c r="AH185" s="995"/>
    </row>
    <row r="186" spans="2:34" s="66" customFormat="1" ht="27" x14ac:dyDescent="0.75">
      <c r="B186" s="1531"/>
      <c r="C186" s="1138">
        <v>68</v>
      </c>
      <c r="D186" s="1132" t="s">
        <v>1747</v>
      </c>
      <c r="E186" s="1090">
        <v>200</v>
      </c>
      <c r="F186" s="1091">
        <f ca="1">E186*'User Dashboard'!$G$183</f>
        <v>391244.75730400329</v>
      </c>
      <c r="I186" s="995"/>
      <c r="AH186" s="995"/>
    </row>
    <row r="187" spans="2:34" s="66" customFormat="1" x14ac:dyDescent="0.75">
      <c r="B187" s="1531"/>
      <c r="C187" s="1138">
        <v>69</v>
      </c>
      <c r="D187" s="1132" t="s">
        <v>1748</v>
      </c>
      <c r="E187" s="1090">
        <v>20</v>
      </c>
      <c r="F187" s="1091">
        <f ca="1">E187*'User Dashboard'!$G$183</f>
        <v>39124.475730400329</v>
      </c>
      <c r="I187" s="995"/>
      <c r="AH187" s="995"/>
    </row>
    <row r="188" spans="2:34" s="66" customFormat="1" x14ac:dyDescent="0.75">
      <c r="B188" s="1531"/>
      <c r="C188" s="1138">
        <v>70</v>
      </c>
      <c r="D188" s="1132" t="s">
        <v>1749</v>
      </c>
      <c r="E188" s="1090">
        <v>200</v>
      </c>
      <c r="F188" s="1091">
        <f ca="1">E188*'User Dashboard'!$G$183</f>
        <v>391244.75730400329</v>
      </c>
      <c r="I188" s="995"/>
      <c r="AH188" s="995"/>
    </row>
    <row r="189" spans="2:34" s="66" customFormat="1" x14ac:dyDescent="0.75">
      <c r="B189" s="1531"/>
      <c r="C189" s="1138">
        <v>71</v>
      </c>
      <c r="D189" s="1132" t="s">
        <v>1750</v>
      </c>
      <c r="E189" s="1090">
        <v>50</v>
      </c>
      <c r="F189" s="1091">
        <f ca="1">E189*'User Dashboard'!$G$183</f>
        <v>97811.189326000822</v>
      </c>
      <c r="I189" s="995"/>
      <c r="AH189" s="995"/>
    </row>
    <row r="190" spans="2:34" s="66" customFormat="1" ht="27" x14ac:dyDescent="0.75">
      <c r="B190" s="1531"/>
      <c r="C190" s="1138">
        <v>72</v>
      </c>
      <c r="D190" s="1132" t="s">
        <v>1751</v>
      </c>
      <c r="E190" s="1090">
        <v>400</v>
      </c>
      <c r="F190" s="1091">
        <f ca="1">E190*'User Dashboard'!$G$183</f>
        <v>782489.51460800658</v>
      </c>
      <c r="I190" s="995"/>
      <c r="AH190" s="995"/>
    </row>
    <row r="191" spans="2:34" s="66" customFormat="1" ht="28.15" customHeight="1" x14ac:dyDescent="0.75">
      <c r="B191" s="1531"/>
      <c r="C191" s="1138">
        <v>73</v>
      </c>
      <c r="D191" s="1132" t="s">
        <v>1752</v>
      </c>
      <c r="E191" s="1090">
        <v>200</v>
      </c>
      <c r="F191" s="1091">
        <f ca="1">E191*'User Dashboard'!$G$183</f>
        <v>391244.75730400329</v>
      </c>
      <c r="I191" s="995"/>
      <c r="AH191" s="995"/>
    </row>
    <row r="192" spans="2:34" s="66" customFormat="1" x14ac:dyDescent="0.75">
      <c r="B192" s="1531"/>
      <c r="C192" s="1138">
        <v>74</v>
      </c>
      <c r="D192" s="1132" t="s">
        <v>1753</v>
      </c>
      <c r="E192" s="1090">
        <v>8000</v>
      </c>
      <c r="F192" s="1091">
        <f ca="1">E192*'User Dashboard'!$G$183</f>
        <v>15649790.292160131</v>
      </c>
      <c r="I192" s="995"/>
      <c r="AH192" s="995"/>
    </row>
    <row r="193" spans="2:34" s="66" customFormat="1" ht="27.75" thickBot="1" x14ac:dyDescent="0.9">
      <c r="B193" s="1532"/>
      <c r="C193" s="1139">
        <v>75</v>
      </c>
      <c r="D193" s="1133" t="s">
        <v>1754</v>
      </c>
      <c r="E193" s="1092">
        <v>200</v>
      </c>
      <c r="F193" s="1093">
        <f ca="1">E193*'User Dashboard'!$G$183</f>
        <v>391244.75730400329</v>
      </c>
      <c r="I193" s="995"/>
      <c r="AH193" s="995"/>
    </row>
    <row r="194" spans="2:34" s="66" customFormat="1" x14ac:dyDescent="0.75">
      <c r="B194" s="1533" t="s">
        <v>1755</v>
      </c>
      <c r="C194" s="1140">
        <v>76</v>
      </c>
      <c r="D194" s="1134" t="s">
        <v>1756</v>
      </c>
      <c r="E194" s="1094">
        <v>90</v>
      </c>
      <c r="F194" s="1095">
        <f ca="1">E194*'User Dashboard'!$G$183</f>
        <v>176060.14078680146</v>
      </c>
      <c r="I194" s="995"/>
      <c r="AH194" s="995"/>
    </row>
    <row r="195" spans="2:34" s="66" customFormat="1" ht="27" x14ac:dyDescent="0.75">
      <c r="B195" s="1534"/>
      <c r="C195" s="1141">
        <v>77</v>
      </c>
      <c r="D195" s="1135" t="s">
        <v>1757</v>
      </c>
      <c r="E195" s="228">
        <v>50</v>
      </c>
      <c r="F195" s="1096">
        <f ca="1">E195*'User Dashboard'!$G$183</f>
        <v>97811.189326000822</v>
      </c>
      <c r="I195" s="995"/>
      <c r="AH195" s="995"/>
    </row>
    <row r="196" spans="2:34" s="66" customFormat="1" ht="15.5" thickBot="1" x14ac:dyDescent="0.9">
      <c r="B196" s="1535"/>
      <c r="C196" s="1142">
        <v>78</v>
      </c>
      <c r="D196" s="1136" t="s">
        <v>1758</v>
      </c>
      <c r="E196" s="229">
        <v>90</v>
      </c>
      <c r="F196" s="1097">
        <f ca="1">E196*'User Dashboard'!$G$183</f>
        <v>176060.14078680146</v>
      </c>
      <c r="I196" s="995"/>
      <c r="AH196" s="995"/>
    </row>
    <row r="197" spans="2:34" s="66" customFormat="1" x14ac:dyDescent="0.75">
      <c r="B197" s="1530" t="s">
        <v>865</v>
      </c>
      <c r="C197" s="1137">
        <v>79</v>
      </c>
      <c r="D197" s="1131" t="s">
        <v>1759</v>
      </c>
      <c r="E197" s="1087">
        <v>200</v>
      </c>
      <c r="F197" s="1088">
        <f ca="1">E197*'User Dashboard'!$G$183</f>
        <v>391244.75730400329</v>
      </c>
      <c r="I197" s="995"/>
      <c r="AH197" s="995"/>
    </row>
    <row r="198" spans="2:34" s="66" customFormat="1" x14ac:dyDescent="0.75">
      <c r="B198" s="1531"/>
      <c r="C198" s="1138">
        <v>80</v>
      </c>
      <c r="D198" s="1132" t="s">
        <v>1760</v>
      </c>
      <c r="E198" s="1090">
        <v>200</v>
      </c>
      <c r="F198" s="1091">
        <f ca="1">E198*'User Dashboard'!$G$183</f>
        <v>391244.75730400329</v>
      </c>
      <c r="I198" s="995"/>
      <c r="AH198" s="995"/>
    </row>
    <row r="199" spans="2:34" s="66" customFormat="1" x14ac:dyDescent="0.75">
      <c r="B199" s="1531"/>
      <c r="C199" s="1138">
        <v>81</v>
      </c>
      <c r="D199" s="1132" t="s">
        <v>1761</v>
      </c>
      <c r="E199" s="1090">
        <v>100</v>
      </c>
      <c r="F199" s="1091">
        <f ca="1">E199*'User Dashboard'!$G$183</f>
        <v>195622.37865200164</v>
      </c>
      <c r="I199" s="995"/>
      <c r="AH199" s="995"/>
    </row>
    <row r="200" spans="2:34" s="66" customFormat="1" x14ac:dyDescent="0.75">
      <c r="B200" s="1531"/>
      <c r="C200" s="1138">
        <v>82</v>
      </c>
      <c r="D200" s="1132" t="s">
        <v>1762</v>
      </c>
      <c r="E200" s="1090">
        <v>100</v>
      </c>
      <c r="F200" s="1091">
        <f ca="1">E200*'User Dashboard'!$G$183</f>
        <v>195622.37865200164</v>
      </c>
      <c r="I200" s="995"/>
      <c r="AH200" s="995"/>
    </row>
    <row r="201" spans="2:34" s="66" customFormat="1" ht="27" x14ac:dyDescent="0.75">
      <c r="B201" s="1531"/>
      <c r="C201" s="1138">
        <v>83</v>
      </c>
      <c r="D201" s="1132" t="s">
        <v>1763</v>
      </c>
      <c r="E201" s="1090">
        <v>400</v>
      </c>
      <c r="F201" s="1091">
        <f ca="1">E201*'User Dashboard'!$G$183</f>
        <v>782489.51460800658</v>
      </c>
      <c r="I201" s="995"/>
      <c r="AH201" s="995"/>
    </row>
    <row r="202" spans="2:34" s="66" customFormat="1" ht="27" x14ac:dyDescent="0.75">
      <c r="B202" s="1531"/>
      <c r="C202" s="1138">
        <v>84</v>
      </c>
      <c r="D202" s="1132" t="s">
        <v>1764</v>
      </c>
      <c r="E202" s="1090">
        <v>100</v>
      </c>
      <c r="F202" s="1091">
        <f ca="1">E202*'User Dashboard'!$G$183</f>
        <v>195622.37865200164</v>
      </c>
      <c r="I202" s="995"/>
      <c r="AH202" s="995"/>
    </row>
    <row r="203" spans="2:34" s="66" customFormat="1" x14ac:dyDescent="0.75">
      <c r="B203" s="1531"/>
      <c r="C203" s="1138">
        <v>85</v>
      </c>
      <c r="D203" s="1132" t="s">
        <v>1765</v>
      </c>
      <c r="E203" s="1090">
        <v>100</v>
      </c>
      <c r="F203" s="1091">
        <f ca="1">E203*'User Dashboard'!$G$183</f>
        <v>195622.37865200164</v>
      </c>
      <c r="I203" s="995"/>
      <c r="AH203" s="995"/>
    </row>
    <row r="204" spans="2:34" s="66" customFormat="1" x14ac:dyDescent="0.75">
      <c r="B204" s="1531"/>
      <c r="C204" s="1138">
        <v>86</v>
      </c>
      <c r="D204" s="1132" t="s">
        <v>1766</v>
      </c>
      <c r="E204" s="1090">
        <v>200</v>
      </c>
      <c r="F204" s="1091">
        <f ca="1">E204*'User Dashboard'!$G$183</f>
        <v>391244.75730400329</v>
      </c>
      <c r="I204" s="995"/>
      <c r="AH204" s="995"/>
    </row>
    <row r="205" spans="2:34" s="66" customFormat="1" ht="28.9" customHeight="1" x14ac:dyDescent="0.75">
      <c r="B205" s="1531"/>
      <c r="C205" s="1138">
        <v>87</v>
      </c>
      <c r="D205" s="1132" t="s">
        <v>1767</v>
      </c>
      <c r="E205" s="1090">
        <v>200</v>
      </c>
      <c r="F205" s="1091">
        <f ca="1">E205*'User Dashboard'!$G$183</f>
        <v>391244.75730400329</v>
      </c>
      <c r="I205" s="995"/>
      <c r="AH205" s="995"/>
    </row>
    <row r="206" spans="2:34" s="66" customFormat="1" x14ac:dyDescent="0.75">
      <c r="B206" s="1531"/>
      <c r="C206" s="1138">
        <v>88</v>
      </c>
      <c r="D206" s="1132" t="s">
        <v>1768</v>
      </c>
      <c r="E206" s="1090">
        <v>200</v>
      </c>
      <c r="F206" s="1091">
        <f ca="1">E206*'User Dashboard'!$G$183</f>
        <v>391244.75730400329</v>
      </c>
      <c r="I206" s="995"/>
      <c r="AH206" s="995"/>
    </row>
    <row r="207" spans="2:34" s="66" customFormat="1" ht="15.5" thickBot="1" x14ac:dyDescent="0.9">
      <c r="B207" s="1532"/>
      <c r="C207" s="1139">
        <v>89</v>
      </c>
      <c r="D207" s="1133" t="s">
        <v>1769</v>
      </c>
      <c r="E207" s="1092">
        <v>200</v>
      </c>
      <c r="F207" s="1093">
        <f ca="1">E207*'User Dashboard'!$G$183</f>
        <v>391244.75730400329</v>
      </c>
      <c r="I207" s="995"/>
      <c r="AH207" s="995"/>
    </row>
    <row r="208" spans="2:34" s="66" customFormat="1" x14ac:dyDescent="0.75">
      <c r="B208" s="584"/>
      <c r="C208" s="581"/>
      <c r="I208" s="995"/>
      <c r="AH208" s="995"/>
    </row>
    <row r="209" spans="2:34" s="683" customFormat="1" ht="18.5" x14ac:dyDescent="0.9">
      <c r="B209" s="676" t="s">
        <v>1676</v>
      </c>
      <c r="C209" s="676"/>
    </row>
    <row r="210" spans="2:34" s="66" customFormat="1" ht="15.5" thickBot="1" x14ac:dyDescent="0.9">
      <c r="B210" s="1002" t="s">
        <v>1440</v>
      </c>
      <c r="C210" s="581"/>
      <c r="H210" s="341"/>
      <c r="I210"/>
      <c r="AH210"/>
    </row>
    <row r="211" spans="2:34" s="678" customFormat="1" ht="68.25" thickBot="1" x14ac:dyDescent="0.9">
      <c r="B211" s="682" t="s">
        <v>292</v>
      </c>
      <c r="C211" s="679" t="s">
        <v>899</v>
      </c>
      <c r="D211" s="679" t="s">
        <v>898</v>
      </c>
      <c r="E211" s="679" t="s">
        <v>741</v>
      </c>
      <c r="F211" s="680" t="s">
        <v>742</v>
      </c>
      <c r="H211" s="681"/>
      <c r="I211" s="70"/>
      <c r="AH211" s="70"/>
    </row>
    <row r="212" spans="2:34" s="66" customFormat="1" ht="30" customHeight="1" x14ac:dyDescent="0.75">
      <c r="B212" s="1506" t="s">
        <v>901</v>
      </c>
      <c r="C212" s="1079">
        <v>1</v>
      </c>
      <c r="D212" s="1128" t="s">
        <v>712</v>
      </c>
      <c r="E212" s="230">
        <v>4000</v>
      </c>
      <c r="F212" s="231">
        <f ca="1">E212*'User Dashboard'!$G$184</f>
        <v>7824895.1460800655</v>
      </c>
      <c r="H212" s="431"/>
      <c r="I212"/>
      <c r="AH212"/>
    </row>
    <row r="213" spans="2:34" s="66" customFormat="1" ht="27" x14ac:dyDescent="0.75">
      <c r="B213" s="1506"/>
      <c r="C213" s="1080">
        <f t="shared" ref="C213:C241" si="14">C212+1</f>
        <v>2</v>
      </c>
      <c r="D213" s="227" t="s">
        <v>900</v>
      </c>
      <c r="E213" s="228">
        <v>1000</v>
      </c>
      <c r="F213" s="231">
        <f ca="1">E213*'User Dashboard'!$G$184</f>
        <v>1956223.7865200164</v>
      </c>
      <c r="H213" s="431"/>
      <c r="I213"/>
      <c r="AH213"/>
    </row>
    <row r="214" spans="2:34" s="66" customFormat="1" ht="27" x14ac:dyDescent="0.75">
      <c r="B214" s="1506"/>
      <c r="C214" s="1080">
        <f t="shared" si="14"/>
        <v>3</v>
      </c>
      <c r="D214" s="1077" t="s">
        <v>713</v>
      </c>
      <c r="E214" s="228">
        <v>400</v>
      </c>
      <c r="F214" s="231">
        <f ca="1">E214*'User Dashboard'!$G$184</f>
        <v>782489.51460800658</v>
      </c>
      <c r="H214" s="431"/>
      <c r="I214"/>
      <c r="AH214"/>
    </row>
    <row r="215" spans="2:34" s="66" customFormat="1" ht="27" x14ac:dyDescent="0.75">
      <c r="B215" s="1506"/>
      <c r="C215" s="1080">
        <f t="shared" si="14"/>
        <v>4</v>
      </c>
      <c r="D215" s="1077" t="s">
        <v>714</v>
      </c>
      <c r="E215" s="228">
        <v>400</v>
      </c>
      <c r="F215" s="231">
        <f ca="1">E215*'User Dashboard'!$G$184</f>
        <v>782489.51460800658</v>
      </c>
      <c r="H215" s="431"/>
      <c r="I215"/>
      <c r="AH215"/>
    </row>
    <row r="216" spans="2:34" s="66" customFormat="1" ht="27" x14ac:dyDescent="0.75">
      <c r="B216" s="1506"/>
      <c r="C216" s="1080">
        <f t="shared" si="14"/>
        <v>5</v>
      </c>
      <c r="D216" s="1077" t="s">
        <v>715</v>
      </c>
      <c r="E216" s="228">
        <v>400</v>
      </c>
      <c r="F216" s="231">
        <f ca="1">E216*'User Dashboard'!$G$184</f>
        <v>782489.51460800658</v>
      </c>
      <c r="H216" s="431"/>
      <c r="I216"/>
      <c r="AH216"/>
    </row>
    <row r="217" spans="2:34" s="66" customFormat="1" ht="27" x14ac:dyDescent="0.75">
      <c r="B217" s="1506"/>
      <c r="C217" s="1080">
        <f t="shared" si="14"/>
        <v>6</v>
      </c>
      <c r="D217" s="1077" t="s">
        <v>716</v>
      </c>
      <c r="E217" s="228">
        <v>400</v>
      </c>
      <c r="F217" s="231">
        <f ca="1">E217*'User Dashboard'!$G$184</f>
        <v>782489.51460800658</v>
      </c>
      <c r="H217" s="431"/>
      <c r="I217"/>
      <c r="AH217"/>
    </row>
    <row r="218" spans="2:34" s="66" customFormat="1" ht="27" x14ac:dyDescent="0.75">
      <c r="B218" s="1506"/>
      <c r="C218" s="1080">
        <f t="shared" si="14"/>
        <v>7</v>
      </c>
      <c r="D218" s="1077" t="s">
        <v>717</v>
      </c>
      <c r="E218" s="228">
        <v>400</v>
      </c>
      <c r="F218" s="231">
        <f ca="1">E218*'User Dashboard'!$G$184</f>
        <v>782489.51460800658</v>
      </c>
      <c r="H218" s="431"/>
      <c r="I218"/>
      <c r="AH218"/>
    </row>
    <row r="219" spans="2:34" s="66" customFormat="1" ht="27" x14ac:dyDescent="0.75">
      <c r="B219" s="1506"/>
      <c r="C219" s="1080">
        <f t="shared" si="14"/>
        <v>8</v>
      </c>
      <c r="D219" s="1077" t="s">
        <v>718</v>
      </c>
      <c r="E219" s="228">
        <v>400</v>
      </c>
      <c r="F219" s="231">
        <f ca="1">E219*'User Dashboard'!$G$184</f>
        <v>782489.51460800658</v>
      </c>
      <c r="H219" s="431"/>
      <c r="I219"/>
      <c r="AH219"/>
    </row>
    <row r="220" spans="2:34" s="66" customFormat="1" ht="27" x14ac:dyDescent="0.75">
      <c r="B220" s="1506"/>
      <c r="C220" s="1080">
        <f t="shared" si="14"/>
        <v>9</v>
      </c>
      <c r="D220" s="1077" t="s">
        <v>719</v>
      </c>
      <c r="E220" s="228">
        <v>400</v>
      </c>
      <c r="F220" s="231">
        <f ca="1">E220*'User Dashboard'!$G$184</f>
        <v>782489.51460800658</v>
      </c>
      <c r="H220" s="431"/>
      <c r="I220"/>
      <c r="AH220"/>
    </row>
    <row r="221" spans="2:34" s="66" customFormat="1" ht="27" x14ac:dyDescent="0.75">
      <c r="B221" s="1506"/>
      <c r="C221" s="1080">
        <f t="shared" si="14"/>
        <v>10</v>
      </c>
      <c r="D221" s="1077" t="s">
        <v>720</v>
      </c>
      <c r="E221" s="228">
        <v>400</v>
      </c>
      <c r="F221" s="231">
        <f ca="1">E221*'User Dashboard'!$G$184</f>
        <v>782489.51460800658</v>
      </c>
      <c r="H221" s="431"/>
      <c r="I221"/>
      <c r="AH221"/>
    </row>
    <row r="222" spans="2:34" s="66" customFormat="1" ht="27" x14ac:dyDescent="0.75">
      <c r="B222" s="1506"/>
      <c r="C222" s="1080">
        <f t="shared" si="14"/>
        <v>11</v>
      </c>
      <c r="D222" s="1077" t="s">
        <v>721</v>
      </c>
      <c r="E222" s="228">
        <v>400</v>
      </c>
      <c r="F222" s="231">
        <f ca="1">E222*'User Dashboard'!$G$184</f>
        <v>782489.51460800658</v>
      </c>
      <c r="H222" s="431"/>
      <c r="I222"/>
      <c r="AH222"/>
    </row>
    <row r="223" spans="2:34" s="66" customFormat="1" x14ac:dyDescent="0.75">
      <c r="B223" s="1506"/>
      <c r="C223" s="1080">
        <f t="shared" si="14"/>
        <v>12</v>
      </c>
      <c r="D223" s="1077" t="s">
        <v>722</v>
      </c>
      <c r="E223" s="228">
        <v>400</v>
      </c>
      <c r="F223" s="231">
        <f ca="1">E223*'User Dashboard'!$G$184</f>
        <v>782489.51460800658</v>
      </c>
      <c r="H223" s="431"/>
      <c r="I223"/>
      <c r="AH223"/>
    </row>
    <row r="224" spans="2:34" s="66" customFormat="1" ht="27" x14ac:dyDescent="0.75">
      <c r="B224" s="1506"/>
      <c r="C224" s="1080">
        <f t="shared" si="14"/>
        <v>13</v>
      </c>
      <c r="D224" s="1077" t="s">
        <v>723</v>
      </c>
      <c r="E224" s="228">
        <v>400</v>
      </c>
      <c r="F224" s="231">
        <f ca="1">E224*'User Dashboard'!$G$184</f>
        <v>782489.51460800658</v>
      </c>
      <c r="H224" s="431"/>
      <c r="I224"/>
      <c r="AH224"/>
    </row>
    <row r="225" spans="2:34" s="66" customFormat="1" ht="27" x14ac:dyDescent="0.75">
      <c r="B225" s="1506"/>
      <c r="C225" s="1080">
        <f t="shared" si="14"/>
        <v>14</v>
      </c>
      <c r="D225" s="1077" t="s">
        <v>724</v>
      </c>
      <c r="E225" s="228">
        <v>600</v>
      </c>
      <c r="F225" s="231">
        <f ca="1">E225*'User Dashboard'!$G$184</f>
        <v>1173734.2719120099</v>
      </c>
      <c r="H225" s="431"/>
      <c r="I225"/>
      <c r="AH225"/>
    </row>
    <row r="226" spans="2:34" s="66" customFormat="1" x14ac:dyDescent="0.75">
      <c r="B226" s="1506"/>
      <c r="C226" s="1080">
        <f t="shared" si="14"/>
        <v>15</v>
      </c>
      <c r="D226" s="1077" t="s">
        <v>725</v>
      </c>
      <c r="E226" s="228">
        <v>400</v>
      </c>
      <c r="F226" s="231">
        <f ca="1">E226*'User Dashboard'!$G$184</f>
        <v>782489.51460800658</v>
      </c>
      <c r="H226" s="431"/>
      <c r="I226"/>
      <c r="AH226"/>
    </row>
    <row r="227" spans="2:34" s="66" customFormat="1" ht="27" x14ac:dyDescent="0.75">
      <c r="B227" s="1506"/>
      <c r="C227" s="1080">
        <f t="shared" si="14"/>
        <v>16</v>
      </c>
      <c r="D227" s="1077" t="s">
        <v>726</v>
      </c>
      <c r="E227" s="228">
        <v>400</v>
      </c>
      <c r="F227" s="231">
        <f ca="1">E227*'User Dashboard'!$G$184</f>
        <v>782489.51460800658</v>
      </c>
      <c r="H227" s="431"/>
      <c r="I227"/>
      <c r="AH227"/>
    </row>
    <row r="228" spans="2:34" s="66" customFormat="1" x14ac:dyDescent="0.75">
      <c r="B228" s="1506"/>
      <c r="C228" s="1080">
        <f t="shared" si="14"/>
        <v>17</v>
      </c>
      <c r="D228" s="1077" t="s">
        <v>727</v>
      </c>
      <c r="E228" s="228">
        <v>200</v>
      </c>
      <c r="F228" s="231">
        <f ca="1">E228*'User Dashboard'!$G$184</f>
        <v>391244.75730400329</v>
      </c>
      <c r="H228" s="431"/>
      <c r="I228"/>
      <c r="AH228"/>
    </row>
    <row r="229" spans="2:34" s="66" customFormat="1" x14ac:dyDescent="0.75">
      <c r="B229" s="1506"/>
      <c r="C229" s="1080">
        <f t="shared" si="14"/>
        <v>18</v>
      </c>
      <c r="D229" s="1077" t="s">
        <v>728</v>
      </c>
      <c r="E229" s="228">
        <v>2000</v>
      </c>
      <c r="F229" s="231">
        <f ca="1">E229*'User Dashboard'!$G$184</f>
        <v>3912447.5730400328</v>
      </c>
      <c r="H229" s="431"/>
      <c r="I229"/>
      <c r="AH229"/>
    </row>
    <row r="230" spans="2:34" s="66" customFormat="1" x14ac:dyDescent="0.75">
      <c r="B230" s="1506"/>
      <c r="C230" s="1080">
        <f t="shared" si="14"/>
        <v>19</v>
      </c>
      <c r="D230" s="1077" t="s">
        <v>729</v>
      </c>
      <c r="E230" s="228">
        <v>2000</v>
      </c>
      <c r="F230" s="231">
        <f ca="1">E230*'User Dashboard'!$G$184</f>
        <v>3912447.5730400328</v>
      </c>
      <c r="H230" s="431"/>
      <c r="I230"/>
      <c r="AH230"/>
    </row>
    <row r="231" spans="2:34" s="66" customFormat="1" x14ac:dyDescent="0.75">
      <c r="B231" s="1506"/>
      <c r="C231" s="1080">
        <f t="shared" si="14"/>
        <v>20</v>
      </c>
      <c r="D231" s="1077" t="s">
        <v>730</v>
      </c>
      <c r="E231" s="228">
        <v>400</v>
      </c>
      <c r="F231" s="231">
        <f ca="1">E231*'User Dashboard'!$G$184</f>
        <v>782489.51460800658</v>
      </c>
      <c r="H231" s="431"/>
      <c r="I231"/>
      <c r="AH231"/>
    </row>
    <row r="232" spans="2:34" s="66" customFormat="1" ht="27" x14ac:dyDescent="0.75">
      <c r="B232" s="1506"/>
      <c r="C232" s="1080">
        <f t="shared" si="14"/>
        <v>21</v>
      </c>
      <c r="D232" s="1077" t="s">
        <v>731</v>
      </c>
      <c r="E232" s="228">
        <v>40</v>
      </c>
      <c r="F232" s="231">
        <f ca="1">E232*'User Dashboard'!$G$184</f>
        <v>78248.951460800658</v>
      </c>
      <c r="H232" s="431"/>
      <c r="I232"/>
      <c r="AH232"/>
    </row>
    <row r="233" spans="2:34" s="66" customFormat="1" ht="27" x14ac:dyDescent="0.75">
      <c r="B233" s="1506"/>
      <c r="C233" s="1080">
        <f t="shared" si="14"/>
        <v>22</v>
      </c>
      <c r="D233" s="1077" t="s">
        <v>732</v>
      </c>
      <c r="E233" s="228">
        <v>40</v>
      </c>
      <c r="F233" s="231">
        <f ca="1">E233*'User Dashboard'!$G$184</f>
        <v>78248.951460800658</v>
      </c>
      <c r="H233" s="431"/>
      <c r="I233"/>
      <c r="AH233"/>
    </row>
    <row r="234" spans="2:34" s="66" customFormat="1" ht="27" x14ac:dyDescent="0.75">
      <c r="B234" s="1506"/>
      <c r="C234" s="1080">
        <f t="shared" si="14"/>
        <v>23</v>
      </c>
      <c r="D234" s="1077" t="s">
        <v>733</v>
      </c>
      <c r="E234" s="228">
        <v>40</v>
      </c>
      <c r="F234" s="231">
        <f ca="1">E234*'User Dashboard'!$G$184</f>
        <v>78248.951460800658</v>
      </c>
      <c r="H234" s="431"/>
      <c r="I234"/>
      <c r="AH234"/>
    </row>
    <row r="235" spans="2:34" s="66" customFormat="1" x14ac:dyDescent="0.75">
      <c r="B235" s="1506"/>
      <c r="C235" s="1080">
        <f t="shared" si="14"/>
        <v>24</v>
      </c>
      <c r="D235" s="1077" t="s">
        <v>734</v>
      </c>
      <c r="E235" s="228">
        <v>20</v>
      </c>
      <c r="F235" s="231">
        <f ca="1">E235*'User Dashboard'!$G$184</f>
        <v>39124.475730400329</v>
      </c>
      <c r="H235" s="431"/>
      <c r="I235"/>
      <c r="AH235"/>
    </row>
    <row r="236" spans="2:34" s="66" customFormat="1" x14ac:dyDescent="0.75">
      <c r="B236" s="1506"/>
      <c r="C236" s="1080">
        <f t="shared" si="14"/>
        <v>25</v>
      </c>
      <c r="D236" s="1077" t="s">
        <v>735</v>
      </c>
      <c r="E236" s="228">
        <v>40</v>
      </c>
      <c r="F236" s="231">
        <f ca="1">E236*'User Dashboard'!$G$184</f>
        <v>78248.951460800658</v>
      </c>
      <c r="H236" s="431"/>
      <c r="I236"/>
      <c r="AH236"/>
    </row>
    <row r="237" spans="2:34" s="66" customFormat="1" ht="27" x14ac:dyDescent="0.75">
      <c r="B237" s="1506"/>
      <c r="C237" s="1080">
        <f t="shared" si="14"/>
        <v>26</v>
      </c>
      <c r="D237" s="1077" t="s">
        <v>736</v>
      </c>
      <c r="E237" s="228">
        <v>200</v>
      </c>
      <c r="F237" s="231">
        <f ca="1">E237*'User Dashboard'!$G$184</f>
        <v>391244.75730400329</v>
      </c>
      <c r="H237" s="431"/>
      <c r="I237"/>
      <c r="AH237"/>
    </row>
    <row r="238" spans="2:34" s="66" customFormat="1" ht="27" x14ac:dyDescent="0.75">
      <c r="B238" s="1506"/>
      <c r="C238" s="1080">
        <f t="shared" si="14"/>
        <v>27</v>
      </c>
      <c r="D238" s="1077" t="s">
        <v>737</v>
      </c>
      <c r="E238" s="228">
        <v>200</v>
      </c>
      <c r="F238" s="231">
        <f ca="1">E238*'User Dashboard'!$G$184</f>
        <v>391244.75730400329</v>
      </c>
      <c r="H238" s="431"/>
      <c r="I238"/>
      <c r="AH238"/>
    </row>
    <row r="239" spans="2:34" s="66" customFormat="1" ht="27" x14ac:dyDescent="0.75">
      <c r="B239" s="1506"/>
      <c r="C239" s="1080">
        <f t="shared" si="14"/>
        <v>28</v>
      </c>
      <c r="D239" s="1077" t="s">
        <v>738</v>
      </c>
      <c r="E239" s="228">
        <v>30</v>
      </c>
      <c r="F239" s="231">
        <f ca="1">E239*'User Dashboard'!$G$184</f>
        <v>58686.713595600493</v>
      </c>
      <c r="H239" s="431"/>
      <c r="I239"/>
      <c r="AH239"/>
    </row>
    <row r="240" spans="2:34" s="66" customFormat="1" ht="30.65" customHeight="1" x14ac:dyDescent="0.75">
      <c r="B240" s="1506"/>
      <c r="C240" s="1080">
        <f t="shared" si="14"/>
        <v>29</v>
      </c>
      <c r="D240" s="1077" t="s">
        <v>739</v>
      </c>
      <c r="E240" s="228">
        <v>40</v>
      </c>
      <c r="F240" s="231">
        <f ca="1">E240*'User Dashboard'!$G$184</f>
        <v>78248.951460800658</v>
      </c>
      <c r="H240" s="431"/>
      <c r="I240"/>
      <c r="AH240"/>
    </row>
    <row r="241" spans="2:34" s="66" customFormat="1" ht="27.75" thickBot="1" x14ac:dyDescent="0.9">
      <c r="B241" s="1507"/>
      <c r="C241" s="1081">
        <f t="shared" si="14"/>
        <v>30</v>
      </c>
      <c r="D241" s="1078" t="s">
        <v>740</v>
      </c>
      <c r="E241" s="229">
        <v>50</v>
      </c>
      <c r="F241" s="1076">
        <f ca="1">E241*'User Dashboard'!$G$184</f>
        <v>97811.189326000822</v>
      </c>
      <c r="H241" s="431"/>
      <c r="I241"/>
      <c r="AH241"/>
    </row>
  </sheetData>
  <sheetProtection algorithmName="SHA-512" hashValue="8OGqKm1EgeDvj39gTcON2Ta+V1ZmijE+gl3HveatwLcfQHEH7WihbEXxday6mxnMF78kTDht1bz4nd0gCbmBMg==" saltValue="noqaj78XOUgGw618QXOy/w==" spinCount="100000" sheet="1" objects="1" scenarios="1"/>
  <mergeCells count="26">
    <mergeCell ref="BE13:BF13"/>
    <mergeCell ref="E13:H13"/>
    <mergeCell ref="B212:B241"/>
    <mergeCell ref="AI13:AN13"/>
    <mergeCell ref="AW13:BC13"/>
    <mergeCell ref="J13:U13"/>
    <mergeCell ref="AA13:AC13"/>
    <mergeCell ref="W13:Y13"/>
    <mergeCell ref="AE13:AG13"/>
    <mergeCell ref="AP13:AU13"/>
    <mergeCell ref="J47:U48"/>
    <mergeCell ref="J35:AG45"/>
    <mergeCell ref="B119:B193"/>
    <mergeCell ref="B194:B196"/>
    <mergeCell ref="B197:B207"/>
    <mergeCell ref="M4:O4"/>
    <mergeCell ref="M5:O5"/>
    <mergeCell ref="M6:O6"/>
    <mergeCell ref="M7:O7"/>
    <mergeCell ref="M8:O8"/>
    <mergeCell ref="B4:D9"/>
    <mergeCell ref="J4:K4"/>
    <mergeCell ref="J5:K5"/>
    <mergeCell ref="J6:K6"/>
    <mergeCell ref="J7:K7"/>
    <mergeCell ref="J8:K8"/>
  </mergeCells>
  <dataValidations count="1">
    <dataValidation type="decimal" operator="greaterThanOrEqual" allowBlank="1" showInputMessage="1" showErrorMessage="1" sqref="H15:H18 H20:H33 H35:H45 H47:H48 H51:H85 J15:N18 J20:N32 O33:Q33 W15:X18 W20:X33 AA15:AA18 AA20:AA32 AB33 AB16:AB17 AE15:AF18 AE19 AE20:AF32 O51:T85" xr:uid="{00000000-0002-0000-0600-000000000000}">
      <formula1>0</formula1>
    </dataValidation>
  </dataValidations>
  <hyperlinks>
    <hyperlink ref="J5" location="Toggle_Drugs" display="Standard Drugs" xr:uid="{00000000-0004-0000-0600-000000000000}"/>
    <hyperlink ref="J6" location="Toggle_cold_drugs" display="Refrigerated Drugs" xr:uid="{00000000-0004-0000-0600-000001000000}"/>
    <hyperlink ref="J7" location="Toggle_controlled_drugs" display="Controlled Drugs" xr:uid="{00000000-0004-0000-0600-000002000000}"/>
    <hyperlink ref="J8" location="'Commodity List'!B168" display="Consumable Equipment" xr:uid="{00000000-0004-0000-0600-000003000000}"/>
    <hyperlink ref="B3" location="Inputs!A1" display="Back to Inputs" xr:uid="{00000000-0004-0000-0600-000004000000}"/>
    <hyperlink ref="G47" location="Toggle_Drugs" display="Click to see list of drugs" xr:uid="{00000000-0004-0000-0600-000005000000}"/>
    <hyperlink ref="G48" location="Toggle_Consumables" display="Click to see list of consumables" xr:uid="{00000000-0004-0000-0600-000006000000}"/>
    <hyperlink ref="G8" location="Toggle_biomedical" display="Biomedical Equipment" xr:uid="{00000000-0004-0000-0600-000007000000}"/>
    <hyperlink ref="G7" location="Toggle_Diagnostics" display="Diagnostics" xr:uid="{00000000-0004-0000-0600-000008000000}"/>
    <hyperlink ref="G6" location="Toggle_PPE" display="PPE" xr:uid="{00000000-0004-0000-0600-000009000000}"/>
    <hyperlink ref="G5" location="Toggle_Hygiene" display="Hygiene" xr:uid="{00000000-0004-0000-0600-00000A000000}"/>
    <hyperlink ref="M5:O5" location="Toggle_inpatient" display="Inpatient care" xr:uid="{00000000-0004-0000-0600-00000B000000}"/>
    <hyperlink ref="M6:O6" location="Toggle_outpatient" display="Isolation" xr:uid="{00000000-0004-0000-0600-00000C000000}"/>
    <hyperlink ref="M7:O7" location="Toggle_consultation" display="Screening/triage" xr:uid="{00000000-0004-0000-0600-00000D000000}"/>
    <hyperlink ref="M8:O8" location="Toggle_labs" display="Laboratories" xr:uid="{00000000-0004-0000-0600-00000E000000}"/>
    <hyperlink ref="B117" location="'Equipment List &amp; Usage'!A1" display="Back to top" xr:uid="{00000000-0004-0000-0600-00000F000000}"/>
    <hyperlink ref="B210" location="'Equipment List &amp; Usage'!A1" display="Back to top" xr:uid="{00000000-0004-0000-0600-000010000000}"/>
    <hyperlink ref="J6:K6" location="'Equipment List &amp; Usage'!B194" display="Refrigerated Drugs" xr:uid="{00000000-0004-0000-0600-000011000000}"/>
    <hyperlink ref="J7:K7" location="'Equipment List &amp; Usage'!B197" display="Controlled Drugs" xr:uid="{00000000-0004-0000-0600-000012000000}"/>
    <hyperlink ref="J8:K8" location="'Equipment List &amp; Usage'!B209" display="Consumable Equipment" xr:uid="{00000000-0004-0000-0600-000013000000}"/>
  </hyperlink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B2:M3"/>
  <sheetViews>
    <sheetView showGridLines="0" zoomScaleNormal="100" workbookViewId="0"/>
  </sheetViews>
  <sheetFormatPr defaultColWidth="8.40625" defaultRowHeight="14.75" x14ac:dyDescent="0.75"/>
  <sheetData>
    <row r="2" spans="2:13" ht="18.5" x14ac:dyDescent="0.9">
      <c r="B2" s="67" t="s">
        <v>707</v>
      </c>
    </row>
    <row r="3" spans="2:13" x14ac:dyDescent="0.75">
      <c r="B3" s="32" t="s">
        <v>1860</v>
      </c>
      <c r="C3" s="6"/>
      <c r="D3" s="6"/>
      <c r="E3" s="6"/>
      <c r="F3" s="6"/>
      <c r="G3" s="6"/>
      <c r="H3" s="6"/>
      <c r="I3" s="6"/>
      <c r="J3" s="6"/>
      <c r="K3" s="6"/>
      <c r="L3" s="6"/>
      <c r="M3" s="195" t="s">
        <v>890</v>
      </c>
    </row>
  </sheetData>
  <sheetProtection algorithmName="SHA-512" hashValue="88jyFJ6oSCYElx9+O0tTpMA0wMHBC1lk3Id3a0ggvJJPQIS+GPxSKFG8XDQOjMIbs/sjB77OJ1NXtcg/AzxvnA==" saltValue="CtTn4SJexCRPobNSInUAgQ==" spinCount="100000" sheet="1" objects="1" scenarios="1"/>
  <hyperlinks>
    <hyperlink ref="M3" location="'Patient Calcs'!B67" display="Go to Manual Patient Calculation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3"/>
  </sheetPr>
  <dimension ref="A1:M239"/>
  <sheetViews>
    <sheetView showGridLines="0" workbookViewId="0">
      <selection activeCell="E13" sqref="E13"/>
    </sheetView>
  </sheetViews>
  <sheetFormatPr defaultColWidth="8.86328125" defaultRowHeight="14.75" x14ac:dyDescent="0.75"/>
  <cols>
    <col min="1" max="1" width="3.40625" style="132" customWidth="1"/>
    <col min="2" max="2" width="21.40625" customWidth="1"/>
    <col min="3" max="3" width="16.40625" bestFit="1" customWidth="1"/>
    <col min="4" max="4" width="18.40625" bestFit="1" customWidth="1"/>
    <col min="5" max="5" width="25.40625" bestFit="1" customWidth="1"/>
    <col min="6" max="6" width="13.40625" bestFit="1" customWidth="1"/>
    <col min="7" max="7" width="13.40625" customWidth="1"/>
    <col min="8" max="8" width="25.40625" bestFit="1" customWidth="1"/>
    <col min="9" max="9" width="11.1328125" bestFit="1" customWidth="1"/>
    <col min="10" max="10" width="18" customWidth="1"/>
    <col min="11" max="13" width="10.40625" bestFit="1" customWidth="1"/>
  </cols>
  <sheetData>
    <row r="1" spans="1:13" s="132" customFormat="1" x14ac:dyDescent="0.75"/>
    <row r="2" spans="1:13" s="24" customFormat="1" ht="18.5" x14ac:dyDescent="0.9">
      <c r="B2" s="24" t="s">
        <v>938</v>
      </c>
      <c r="F2" s="25"/>
      <c r="G2" s="25"/>
      <c r="H2" s="25"/>
    </row>
    <row r="3" spans="1:13" ht="15.5" thickBot="1" x14ac:dyDescent="0.9">
      <c r="A3"/>
    </row>
    <row r="4" spans="1:13" s="132" customFormat="1" ht="15.5" thickBot="1" x14ac:dyDescent="0.9">
      <c r="B4" s="295"/>
      <c r="C4" s="295"/>
      <c r="D4" s="1536" t="s">
        <v>1376</v>
      </c>
      <c r="E4" s="1536"/>
      <c r="G4" s="22" t="s">
        <v>1366</v>
      </c>
      <c r="H4" s="22" t="s">
        <v>1368</v>
      </c>
      <c r="I4" s="22" t="s">
        <v>1367</v>
      </c>
      <c r="J4" s="601" t="s">
        <v>1372</v>
      </c>
    </row>
    <row r="5" spans="1:13" s="132" customFormat="1" x14ac:dyDescent="0.75">
      <c r="C5" s="18" t="s">
        <v>1196</v>
      </c>
      <c r="D5" s="18" t="s">
        <v>1369</v>
      </c>
      <c r="E5" s="597" t="s">
        <v>1377</v>
      </c>
      <c r="F5"/>
      <c r="G5" t="s">
        <v>1364</v>
      </c>
      <c r="H5" s="388">
        <f>SUM(E6:E10)</f>
        <v>62262.5</v>
      </c>
      <c r="I5" s="83">
        <f>H5/$E$14</f>
        <v>0.8576470712697668</v>
      </c>
      <c r="J5" s="1067">
        <f ca="1">I5*$H$10</f>
        <v>276606.20698209683</v>
      </c>
      <c r="K5"/>
      <c r="L5"/>
      <c r="M5"/>
    </row>
    <row r="6" spans="1:13" s="132" customFormat="1" x14ac:dyDescent="0.75">
      <c r="B6" s="293" t="s">
        <v>922</v>
      </c>
      <c r="C6" s="305">
        <f>Inputs!I125</f>
        <v>15</v>
      </c>
      <c r="D6" s="305">
        <f>'Back Calculations'!$C141*'Back Calculations'!$D$151*INDEX('Back Calculations'!$H141:$J141,MATCH('Back Calculations'!$D$150,'Back Calculations'!$H$140:$J$140,0))</f>
        <v>28800</v>
      </c>
      <c r="E6" s="598">
        <f>'Back Calculations'!$C141*'Back Calculations'!$D$151*'Back Calculations'!$D$158*INDEX('Back Calculations'!$H141:$J141,MATCH('Back Calculations'!$D$150,'Back Calculations'!$H$140:$J$140,0))</f>
        <v>14400</v>
      </c>
      <c r="F6" s="1071">
        <f>E6/D6</f>
        <v>0.5</v>
      </c>
      <c r="G6" t="s">
        <v>1365</v>
      </c>
      <c r="H6" s="388">
        <f>E11</f>
        <v>7514.3782331628418</v>
      </c>
      <c r="I6" s="83">
        <f>H6/$E$14</f>
        <v>0.10350828322160845</v>
      </c>
      <c r="J6" s="1067">
        <f ca="1">I6*$H$10</f>
        <v>33383.234866958512</v>
      </c>
      <c r="K6"/>
      <c r="L6"/>
      <c r="M6"/>
    </row>
    <row r="7" spans="1:13" s="132" customFormat="1" x14ac:dyDescent="0.75">
      <c r="B7" s="293" t="s">
        <v>921</v>
      </c>
      <c r="C7" s="305">
        <f>Inputs!I126</f>
        <v>11</v>
      </c>
      <c r="D7" s="305">
        <f>'Back Calculations'!$C142*'Back Calculations'!$D$151*INDEX('Back Calculations'!$H142:$J142,MATCH('Back Calculations'!$D$150,'Back Calculations'!$H$140:$J$140,0))</f>
        <v>52800</v>
      </c>
      <c r="E7" s="598">
        <f>'Back Calculations'!$C142*'Back Calculations'!$D$151*'Back Calculations'!$D$158*INDEX('Back Calculations'!$H142:$J142,MATCH('Back Calculations'!$D$150,'Back Calculations'!$H$140:$J$140,0))</f>
        <v>26400</v>
      </c>
      <c r="F7" s="1071">
        <f>E7/D7</f>
        <v>0.5</v>
      </c>
      <c r="G7" t="s">
        <v>695</v>
      </c>
      <c r="H7" s="388">
        <f>E12</f>
        <v>2820</v>
      </c>
      <c r="I7" s="83">
        <f>H7/$E$14</f>
        <v>3.8844645508624653E-2</v>
      </c>
      <c r="J7" s="1067">
        <f ca="1">I7*$H$10</f>
        <v>12528.078758313803</v>
      </c>
      <c r="K7"/>
      <c r="L7"/>
      <c r="M7"/>
    </row>
    <row r="8" spans="1:13" s="132" customFormat="1" ht="15.5" thickBot="1" x14ac:dyDescent="0.9">
      <c r="B8" s="293" t="s">
        <v>920</v>
      </c>
      <c r="C8" s="305">
        <f>Inputs!I127</f>
        <v>65</v>
      </c>
      <c r="D8" s="305">
        <f>'Back Calculations'!$C143*'Back Calculations'!$D$151*INDEX('Back Calculations'!$H143:$J143,MATCH('Back Calculations'!$D$150,'Back Calculations'!$H$140:$J$140,0))</f>
        <v>30550</v>
      </c>
      <c r="E8" s="598">
        <f>'Back Calculations'!$C143*'Back Calculations'!$D$151*'Back Calculations'!$D$158*INDEX('Back Calculations'!$H143:$J143,MATCH('Back Calculations'!$D$150,'Back Calculations'!$H$140:$J$140,0))</f>
        <v>15275</v>
      </c>
      <c r="F8" s="1071">
        <f>E8/D8</f>
        <v>0.5</v>
      </c>
      <c r="G8" s="132">
        <f>Inputs!B145</f>
        <v>0</v>
      </c>
      <c r="H8" s="388">
        <f>E13</f>
        <v>0</v>
      </c>
      <c r="I8" s="83">
        <f>H8/$E$14</f>
        <v>0</v>
      </c>
      <c r="J8" s="1068">
        <f ca="1">I8*$H$10</f>
        <v>0</v>
      </c>
      <c r="K8"/>
      <c r="L8"/>
      <c r="M8"/>
    </row>
    <row r="9" spans="1:13" s="132" customFormat="1" x14ac:dyDescent="0.75">
      <c r="B9" s="293" t="s">
        <v>919</v>
      </c>
      <c r="C9" s="305">
        <f>Inputs!I128</f>
        <v>9</v>
      </c>
      <c r="D9" s="305">
        <f>'Back Calculations'!$C144*'Back Calculations'!$D$151*INDEX('Back Calculations'!$H144:$J144,MATCH('Back Calculations'!$D$150,'Back Calculations'!$H$140:$J$140,0))</f>
        <v>12375</v>
      </c>
      <c r="E9" s="598">
        <f>'Back Calculations'!$C144*'Back Calculations'!$D$151*'Back Calculations'!$D$158*INDEX('Back Calculations'!$H144:$J144,MATCH('Back Calculations'!$D$150,'Back Calculations'!$H$140:$J$140,0))</f>
        <v>6187.5</v>
      </c>
      <c r="F9" s="1071">
        <f>E9/D9</f>
        <v>0.5</v>
      </c>
      <c r="G9"/>
      <c r="H9"/>
      <c r="I9"/>
      <c r="J9"/>
      <c r="K9"/>
      <c r="L9"/>
      <c r="M9"/>
    </row>
    <row r="10" spans="1:13" s="132" customFormat="1" x14ac:dyDescent="0.75">
      <c r="B10" s="293" t="s">
        <v>918</v>
      </c>
      <c r="C10" s="305">
        <f>Inputs!I129</f>
        <v>0</v>
      </c>
      <c r="D10" s="305">
        <f>'Back Calculations'!$C145*'Back Calculations'!$D$151*INDEX('Back Calculations'!$H145:$J145,MATCH('Back Calculations'!$D$150,'Back Calculations'!$H$140:$J$140,0))</f>
        <v>0</v>
      </c>
      <c r="E10" s="598">
        <f>'Back Calculations'!$C145*'Back Calculations'!$D$151*'Back Calculations'!$D$158*INDEX('Back Calculations'!$H145:$J145,MATCH('Back Calculations'!$D$150,'Back Calculations'!$H$140:$J$140,0))</f>
        <v>0</v>
      </c>
      <c r="F10" s="1071"/>
      <c r="G10" s="296" t="s">
        <v>1370</v>
      </c>
      <c r="H10" s="596">
        <f ca="1">Total_tests_conducted</f>
        <v>322517.5206073692</v>
      </c>
      <c r="I10"/>
      <c r="J10"/>
      <c r="K10"/>
      <c r="L10"/>
      <c r="M10"/>
    </row>
    <row r="11" spans="1:13" s="132" customFormat="1" x14ac:dyDescent="0.75">
      <c r="B11" s="293" t="s">
        <v>917</v>
      </c>
      <c r="C11" s="305">
        <f>Inputs!I134</f>
        <v>300.57512932651366</v>
      </c>
      <c r="D11" s="305">
        <f>'Back Calculations'!$C146*'Back Calculations'!$D$153*INDEX('Back Calculations'!$H146:$J146,MATCH('Back Calculations'!$D$150,'Back Calculations'!$H$140:$J$140,0))</f>
        <v>15028.756466325684</v>
      </c>
      <c r="E11" s="598">
        <f>'Back Calculations'!$C146*'Back Calculations'!$D$153*'Back Calculations'!$D$159*INDEX('Back Calculations'!$H146:$J146,MATCH('Back Calculations'!$D$152,'Back Calculations'!$H$140:$J$140,0))</f>
        <v>7514.3782331628418</v>
      </c>
      <c r="F11" s="1071">
        <f>E11/D11</f>
        <v>0.5</v>
      </c>
      <c r="G11"/>
      <c r="H11" t="s">
        <v>1371</v>
      </c>
      <c r="I11"/>
      <c r="J11"/>
      <c r="K11"/>
      <c r="L11"/>
      <c r="M11"/>
    </row>
    <row r="12" spans="1:13" s="132" customFormat="1" x14ac:dyDescent="0.75">
      <c r="B12" s="364" t="s">
        <v>916</v>
      </c>
      <c r="C12" s="305">
        <f>Inputs!I139</f>
        <v>3</v>
      </c>
      <c r="D12" s="305">
        <f>'Back Calculations'!$C147*'Back Calculations'!$D$155*INDEX('Back Calculations'!$H147:$J147,MATCH('Back Calculations'!$D$150,'Back Calculations'!$H$140:$J$140,0))</f>
        <v>2820</v>
      </c>
      <c r="E12" s="598">
        <f>'Back Calculations'!$C147*'Back Calculations'!$D$155*'Back Calculations'!$D$160*INDEX('Back Calculations'!$H147:$J147,MATCH('Back Calculations'!$D$154,'Back Calculations'!$H$140:$J$140,0))</f>
        <v>2820</v>
      </c>
      <c r="F12" s="1071">
        <f>E12/D12</f>
        <v>1</v>
      </c>
      <c r="G12"/>
      <c r="H12"/>
      <c r="I12"/>
      <c r="J12"/>
      <c r="K12"/>
      <c r="L12"/>
      <c r="M12"/>
    </row>
    <row r="13" spans="1:13" s="804" customFormat="1" ht="15.5" thickBot="1" x14ac:dyDescent="0.9">
      <c r="B13" s="364" t="str">
        <f>"User Input Other: "&amp;Inputs!B145</f>
        <v xml:space="preserve">User Input Other: </v>
      </c>
      <c r="C13" s="305"/>
      <c r="D13" s="305"/>
      <c r="E13" s="598">
        <f>Inputs!I146*Inputs!I131*Inputs!I145</f>
        <v>0</v>
      </c>
      <c r="F13" s="1070"/>
      <c r="G13" s="804" t="s">
        <v>1655</v>
      </c>
    </row>
    <row r="14" spans="1:13" s="132" customFormat="1" ht="15.5" thickBot="1" x14ac:dyDescent="0.9">
      <c r="C14" s="306" t="s">
        <v>933</v>
      </c>
      <c r="D14" s="307">
        <f t="shared" ref="D14" si="0">SUM(D6:D12)</f>
        <v>142373.75646632569</v>
      </c>
      <c r="E14" s="599">
        <f>SUM(E6:E13)</f>
        <v>72596.878233162846</v>
      </c>
      <c r="F14" s="56"/>
      <c r="G14" s="1537" t="s">
        <v>1651</v>
      </c>
      <c r="H14" s="1538"/>
      <c r="I14" s="1065" t="s">
        <v>1656</v>
      </c>
      <c r="J14"/>
      <c r="K14"/>
      <c r="L14"/>
      <c r="M14"/>
    </row>
    <row r="15" spans="1:13" s="132" customFormat="1" ht="15.5" thickBot="1" x14ac:dyDescent="0.9">
      <c r="C15" s="311" t="s">
        <v>934</v>
      </c>
      <c r="D15" s="312">
        <f t="shared" ref="D15" si="1">D14/7</f>
        <v>20339.108066617955</v>
      </c>
      <c r="E15" s="600">
        <f>E14/7</f>
        <v>10370.98260473755</v>
      </c>
      <c r="F15" s="1071">
        <f>E15/D15</f>
        <v>0.50990351055556715</v>
      </c>
      <c r="G15" s="1011" t="s">
        <v>1653</v>
      </c>
      <c r="H15" s="1063">
        <f>((Inputs!C155)*2)+((Inputs!C156)*4)</f>
        <v>0</v>
      </c>
      <c r="I15" s="1064">
        <f>H15*'Back Calculations'!$D$153*INDEX('Back Calculations'!$H146:$J146,MATCH('Back Calculations'!$D$150,'Back Calculations'!$H$140:$J$140,0))</f>
        <v>0</v>
      </c>
      <c r="J15"/>
      <c r="K15"/>
      <c r="L15"/>
      <c r="M15"/>
    </row>
    <row r="16" spans="1:13" s="132" customFormat="1" ht="15.5" thickBot="1" x14ac:dyDescent="0.9">
      <c r="G16" s="1010" t="s">
        <v>1654</v>
      </c>
      <c r="H16" s="1061">
        <f>Inputs!C158</f>
        <v>0</v>
      </c>
      <c r="I16" s="1062">
        <f>H16*'Back Calculations'!$D$155*INDEX('Back Calculations'!$H147:$J147,MATCH('Back Calculations'!$D$150,'Back Calculations'!$H$140:$J$140,0))</f>
        <v>0</v>
      </c>
    </row>
    <row r="18" spans="2:10" ht="15.5" thickBot="1" x14ac:dyDescent="0.9">
      <c r="B18" s="4" t="s">
        <v>1137</v>
      </c>
    </row>
    <row r="19" spans="2:10" ht="15.5" thickBot="1" x14ac:dyDescent="0.9">
      <c r="B19" s="807" t="s">
        <v>260</v>
      </c>
      <c r="C19" s="805" t="s">
        <v>1126</v>
      </c>
      <c r="D19" s="805" t="s">
        <v>1484</v>
      </c>
      <c r="E19" s="805" t="s">
        <v>922</v>
      </c>
      <c r="F19" s="805" t="s">
        <v>921</v>
      </c>
      <c r="G19" s="805" t="s">
        <v>920</v>
      </c>
      <c r="H19" s="805" t="s">
        <v>919</v>
      </c>
      <c r="I19" s="805" t="s">
        <v>917</v>
      </c>
      <c r="J19" s="806" t="s">
        <v>695</v>
      </c>
    </row>
    <row r="20" spans="2:10" x14ac:dyDescent="0.75">
      <c r="B20" s="808" t="s">
        <v>764</v>
      </c>
      <c r="C20" s="809" t="s">
        <v>1135</v>
      </c>
      <c r="D20" s="809" t="s">
        <v>761</v>
      </c>
      <c r="E20" s="810">
        <v>0</v>
      </c>
      <c r="F20" s="810">
        <v>0</v>
      </c>
      <c r="G20" s="810">
        <v>0</v>
      </c>
      <c r="H20" s="810">
        <v>0</v>
      </c>
      <c r="I20" s="810">
        <v>0</v>
      </c>
      <c r="J20" s="811">
        <v>3</v>
      </c>
    </row>
    <row r="21" spans="2:10" x14ac:dyDescent="0.75">
      <c r="B21" s="705" t="s">
        <v>762</v>
      </c>
      <c r="C21" s="702" t="s">
        <v>1135</v>
      </c>
      <c r="D21" s="702" t="s">
        <v>761</v>
      </c>
      <c r="E21" s="703">
        <v>0</v>
      </c>
      <c r="F21" s="703">
        <v>0</v>
      </c>
      <c r="G21" s="703">
        <v>0</v>
      </c>
      <c r="H21" s="703">
        <v>0</v>
      </c>
      <c r="I21" s="703">
        <v>0</v>
      </c>
      <c r="J21" s="706">
        <v>3</v>
      </c>
    </row>
    <row r="22" spans="2:10" x14ac:dyDescent="0.75">
      <c r="B22" s="283" t="s">
        <v>316</v>
      </c>
      <c r="C22" s="296" t="s">
        <v>1074</v>
      </c>
      <c r="D22" s="296" t="s">
        <v>411</v>
      </c>
      <c r="E22" s="704">
        <v>0</v>
      </c>
      <c r="F22" s="704">
        <v>0</v>
      </c>
      <c r="G22" s="704">
        <v>1</v>
      </c>
      <c r="H22" s="704">
        <v>0</v>
      </c>
      <c r="I22" s="704">
        <v>1.0666566875328061</v>
      </c>
      <c r="J22" s="707">
        <v>0</v>
      </c>
    </row>
    <row r="23" spans="2:10" x14ac:dyDescent="0.75">
      <c r="B23" s="283" t="s">
        <v>1396</v>
      </c>
      <c r="C23" s="296" t="s">
        <v>1075</v>
      </c>
      <c r="D23" s="296" t="s">
        <v>411</v>
      </c>
      <c r="E23" s="704">
        <v>0</v>
      </c>
      <c r="F23" s="704">
        <v>0</v>
      </c>
      <c r="G23" s="704">
        <v>1</v>
      </c>
      <c r="H23" s="704">
        <v>0</v>
      </c>
      <c r="I23" s="704">
        <v>1.3427574237128101</v>
      </c>
      <c r="J23" s="707">
        <v>0</v>
      </c>
    </row>
    <row r="24" spans="2:10" x14ac:dyDescent="0.75">
      <c r="B24" s="283" t="s">
        <v>325</v>
      </c>
      <c r="C24" s="296" t="s">
        <v>1135</v>
      </c>
      <c r="D24" s="296" t="s">
        <v>411</v>
      </c>
      <c r="E24" s="704">
        <v>11</v>
      </c>
      <c r="F24" s="704">
        <v>17</v>
      </c>
      <c r="G24" s="704">
        <v>204</v>
      </c>
      <c r="H24" s="704">
        <v>31</v>
      </c>
      <c r="I24" s="704">
        <v>348.47123411747611</v>
      </c>
      <c r="J24" s="707">
        <v>24</v>
      </c>
    </row>
    <row r="25" spans="2:10" x14ac:dyDescent="0.75">
      <c r="B25" s="283" t="s">
        <v>326</v>
      </c>
      <c r="C25" s="296" t="s">
        <v>1074</v>
      </c>
      <c r="D25" s="296" t="s">
        <v>411</v>
      </c>
      <c r="E25" s="704">
        <v>4</v>
      </c>
      <c r="F25" s="704">
        <v>6</v>
      </c>
      <c r="G25" s="704">
        <v>73</v>
      </c>
      <c r="H25" s="704">
        <v>11</v>
      </c>
      <c r="I25" s="704">
        <v>123.81751271327781</v>
      </c>
      <c r="J25" s="707">
        <v>8</v>
      </c>
    </row>
    <row r="26" spans="2:10" x14ac:dyDescent="0.75">
      <c r="B26" s="283" t="s">
        <v>327</v>
      </c>
      <c r="C26" s="296" t="s">
        <v>1075</v>
      </c>
      <c r="D26" s="296" t="s">
        <v>411</v>
      </c>
      <c r="E26" s="704">
        <v>0</v>
      </c>
      <c r="F26" s="704">
        <v>0</v>
      </c>
      <c r="G26" s="704">
        <v>3</v>
      </c>
      <c r="H26" s="704">
        <v>0</v>
      </c>
      <c r="I26" s="704">
        <v>5.3852156508490712</v>
      </c>
      <c r="J26" s="707">
        <v>0</v>
      </c>
    </row>
    <row r="27" spans="2:10" x14ac:dyDescent="0.75">
      <c r="B27" s="283" t="s">
        <v>328</v>
      </c>
      <c r="C27" s="296" t="s">
        <v>1072</v>
      </c>
      <c r="D27" s="296" t="s">
        <v>411</v>
      </c>
      <c r="E27" s="704">
        <v>1</v>
      </c>
      <c r="F27" s="704">
        <v>1</v>
      </c>
      <c r="G27" s="704">
        <v>13</v>
      </c>
      <c r="H27" s="704">
        <v>2</v>
      </c>
      <c r="I27" s="704">
        <v>22.691501256553678</v>
      </c>
      <c r="J27" s="707">
        <v>2</v>
      </c>
    </row>
    <row r="28" spans="2:10" x14ac:dyDescent="0.75">
      <c r="B28" s="283" t="s">
        <v>329</v>
      </c>
      <c r="C28" s="296" t="s">
        <v>1075</v>
      </c>
      <c r="D28" s="296" t="s">
        <v>411</v>
      </c>
      <c r="E28" s="704">
        <v>0</v>
      </c>
      <c r="F28" s="704">
        <v>0</v>
      </c>
      <c r="G28" s="704">
        <v>2</v>
      </c>
      <c r="H28" s="704">
        <v>0</v>
      </c>
      <c r="I28" s="704">
        <v>3.9684866242235959</v>
      </c>
      <c r="J28" s="707">
        <v>0</v>
      </c>
    </row>
    <row r="29" spans="2:10" x14ac:dyDescent="0.75">
      <c r="B29" s="283" t="s">
        <v>332</v>
      </c>
      <c r="C29" s="296" t="s">
        <v>1074</v>
      </c>
      <c r="D29" s="296" t="s">
        <v>411</v>
      </c>
      <c r="E29" s="704">
        <v>5</v>
      </c>
      <c r="F29" s="704">
        <v>8</v>
      </c>
      <c r="G29" s="704">
        <v>93</v>
      </c>
      <c r="H29" s="704">
        <v>14</v>
      </c>
      <c r="I29" s="704">
        <v>159.54811976669151</v>
      </c>
      <c r="J29" s="707">
        <v>11</v>
      </c>
    </row>
    <row r="30" spans="2:10" x14ac:dyDescent="0.75">
      <c r="B30" s="283" t="s">
        <v>340</v>
      </c>
      <c r="C30" s="296" t="s">
        <v>1135</v>
      </c>
      <c r="D30" s="296" t="s">
        <v>411</v>
      </c>
      <c r="E30" s="704">
        <v>0</v>
      </c>
      <c r="F30" s="704">
        <v>0</v>
      </c>
      <c r="G30" s="704">
        <v>4</v>
      </c>
      <c r="H30" s="704">
        <v>1</v>
      </c>
      <c r="I30" s="704">
        <v>5.9909532066628826</v>
      </c>
      <c r="J30" s="707">
        <v>0</v>
      </c>
    </row>
    <row r="31" spans="2:10" x14ac:dyDescent="0.75">
      <c r="B31" s="283" t="s">
        <v>323</v>
      </c>
      <c r="C31" s="702"/>
      <c r="D31" s="296" t="s">
        <v>411</v>
      </c>
      <c r="E31" s="703">
        <v>0</v>
      </c>
      <c r="F31" s="703">
        <v>0</v>
      </c>
      <c r="G31" s="703">
        <v>1</v>
      </c>
      <c r="H31" s="703">
        <v>0</v>
      </c>
      <c r="I31" s="703">
        <v>1.4794320582533149</v>
      </c>
      <c r="J31" s="727">
        <v>0</v>
      </c>
    </row>
    <row r="32" spans="2:10" x14ac:dyDescent="0.75">
      <c r="B32" s="283" t="s">
        <v>334</v>
      </c>
      <c r="C32" s="702"/>
      <c r="D32" s="296" t="s">
        <v>411</v>
      </c>
      <c r="E32" s="703">
        <v>0</v>
      </c>
      <c r="F32" s="703">
        <v>0</v>
      </c>
      <c r="G32" s="703">
        <v>1</v>
      </c>
      <c r="H32" s="703">
        <v>0</v>
      </c>
      <c r="I32" s="703">
        <v>0.99204906709976959</v>
      </c>
      <c r="J32" s="727">
        <v>0</v>
      </c>
    </row>
    <row r="33" spans="2:10" x14ac:dyDescent="0.75">
      <c r="B33" s="283" t="s">
        <v>338</v>
      </c>
      <c r="C33" s="702"/>
      <c r="D33" s="296" t="s">
        <v>411</v>
      </c>
      <c r="E33" s="703">
        <v>0</v>
      </c>
      <c r="F33" s="703">
        <v>0</v>
      </c>
      <c r="G33" s="703">
        <v>0</v>
      </c>
      <c r="H33" s="703">
        <v>0</v>
      </c>
      <c r="I33" s="703">
        <v>0.41479403502429391</v>
      </c>
      <c r="J33" s="727">
        <v>0</v>
      </c>
    </row>
    <row r="34" spans="2:10" x14ac:dyDescent="0.75">
      <c r="B34" s="283" t="s">
        <v>346</v>
      </c>
      <c r="C34" s="702"/>
      <c r="D34" s="296" t="s">
        <v>411</v>
      </c>
      <c r="E34" s="703">
        <v>0</v>
      </c>
      <c r="F34" s="703">
        <v>0</v>
      </c>
      <c r="G34" s="703">
        <v>1</v>
      </c>
      <c r="H34" s="703">
        <v>0</v>
      </c>
      <c r="I34" s="703">
        <v>0.91254687705344661</v>
      </c>
      <c r="J34" s="727">
        <v>0</v>
      </c>
    </row>
    <row r="35" spans="2:10" x14ac:dyDescent="0.75">
      <c r="B35" s="283" t="s">
        <v>350</v>
      </c>
      <c r="C35" s="702"/>
      <c r="D35" s="296" t="s">
        <v>411</v>
      </c>
      <c r="E35" s="703">
        <v>0</v>
      </c>
      <c r="F35" s="703">
        <v>0</v>
      </c>
      <c r="G35" s="703">
        <v>1</v>
      </c>
      <c r="H35" s="703">
        <v>0</v>
      </c>
      <c r="I35" s="703">
        <v>2.4058054031409046</v>
      </c>
      <c r="J35" s="727">
        <v>0</v>
      </c>
    </row>
    <row r="36" spans="2:10" x14ac:dyDescent="0.75">
      <c r="B36" s="283" t="s">
        <v>360</v>
      </c>
      <c r="C36" s="702"/>
      <c r="D36" s="296" t="s">
        <v>411</v>
      </c>
      <c r="E36" s="703">
        <v>0</v>
      </c>
      <c r="F36" s="703">
        <v>0</v>
      </c>
      <c r="G36" s="703">
        <v>1</v>
      </c>
      <c r="H36" s="703">
        <v>0</v>
      </c>
      <c r="I36" s="703">
        <v>2.239887789131187</v>
      </c>
      <c r="J36" s="727">
        <v>0</v>
      </c>
    </row>
    <row r="37" spans="2:10" x14ac:dyDescent="0.75">
      <c r="B37" s="283" t="s">
        <v>391</v>
      </c>
      <c r="C37" s="702"/>
      <c r="D37" s="296" t="s">
        <v>411</v>
      </c>
      <c r="E37" s="703">
        <v>0</v>
      </c>
      <c r="F37" s="703">
        <v>0</v>
      </c>
      <c r="G37" s="703">
        <v>0</v>
      </c>
      <c r="H37" s="703">
        <v>0</v>
      </c>
      <c r="I37" s="703">
        <v>0.67749692387301341</v>
      </c>
      <c r="J37" s="727">
        <v>0</v>
      </c>
    </row>
    <row r="38" spans="2:10" x14ac:dyDescent="0.75">
      <c r="B38" s="283" t="s">
        <v>397</v>
      </c>
      <c r="C38" s="702"/>
      <c r="D38" s="296" t="s">
        <v>411</v>
      </c>
      <c r="E38" s="703">
        <v>0</v>
      </c>
      <c r="F38" s="703">
        <v>0</v>
      </c>
      <c r="G38" s="703">
        <v>2</v>
      </c>
      <c r="H38" s="703">
        <v>0</v>
      </c>
      <c r="I38" s="703">
        <v>3.8852374613942202</v>
      </c>
      <c r="J38" s="727">
        <v>0</v>
      </c>
    </row>
    <row r="39" spans="2:10" x14ac:dyDescent="0.75">
      <c r="B39" s="283" t="s">
        <v>401</v>
      </c>
      <c r="C39" s="702"/>
      <c r="D39" s="296" t="s">
        <v>411</v>
      </c>
      <c r="E39" s="703">
        <v>0</v>
      </c>
      <c r="F39" s="703">
        <v>0</v>
      </c>
      <c r="G39" s="703">
        <v>0</v>
      </c>
      <c r="H39" s="703">
        <v>0</v>
      </c>
      <c r="I39" s="703">
        <v>0.47009990636086646</v>
      </c>
      <c r="J39" s="727">
        <v>0</v>
      </c>
    </row>
    <row r="40" spans="2:10" x14ac:dyDescent="0.75">
      <c r="B40" s="283" t="s">
        <v>404</v>
      </c>
      <c r="C40" s="702"/>
      <c r="D40" s="296" t="s">
        <v>411</v>
      </c>
      <c r="E40" s="703">
        <v>0</v>
      </c>
      <c r="F40" s="703">
        <v>0</v>
      </c>
      <c r="G40" s="703">
        <v>0</v>
      </c>
      <c r="H40" s="703">
        <v>0</v>
      </c>
      <c r="I40" s="703">
        <v>0.79662577073199059</v>
      </c>
      <c r="J40" s="727">
        <v>0</v>
      </c>
    </row>
    <row r="41" spans="2:10" x14ac:dyDescent="0.75">
      <c r="B41" s="283" t="s">
        <v>407</v>
      </c>
      <c r="C41" s="702"/>
      <c r="D41" s="296" t="s">
        <v>411</v>
      </c>
      <c r="E41" s="703">
        <v>0</v>
      </c>
      <c r="F41" s="703">
        <v>0</v>
      </c>
      <c r="G41" s="703">
        <v>1</v>
      </c>
      <c r="H41" s="703">
        <v>0</v>
      </c>
      <c r="I41" s="703">
        <v>2.3366730639701894</v>
      </c>
      <c r="J41" s="727">
        <v>0</v>
      </c>
    </row>
    <row r="42" spans="2:10" x14ac:dyDescent="0.75">
      <c r="B42" s="283" t="s">
        <v>413</v>
      </c>
      <c r="C42" s="702"/>
      <c r="D42" s="296" t="s">
        <v>411</v>
      </c>
      <c r="E42" s="703">
        <v>3</v>
      </c>
      <c r="F42" s="703">
        <v>5</v>
      </c>
      <c r="G42" s="703">
        <v>61</v>
      </c>
      <c r="H42" s="703">
        <v>9</v>
      </c>
      <c r="I42" s="703">
        <v>104.58340269745864</v>
      </c>
      <c r="J42" s="727">
        <v>7</v>
      </c>
    </row>
    <row r="43" spans="2:10" x14ac:dyDescent="0.75">
      <c r="B43" s="283" t="s">
        <v>421</v>
      </c>
      <c r="C43" s="702"/>
      <c r="D43" s="296" t="s">
        <v>411</v>
      </c>
      <c r="E43" s="703">
        <v>0</v>
      </c>
      <c r="F43" s="703">
        <v>0</v>
      </c>
      <c r="G43" s="703">
        <v>1</v>
      </c>
      <c r="H43" s="703">
        <v>0</v>
      </c>
      <c r="I43" s="703">
        <v>1.1752497659021661</v>
      </c>
      <c r="J43" s="727">
        <v>0</v>
      </c>
    </row>
    <row r="44" spans="2:10" x14ac:dyDescent="0.75">
      <c r="B44" s="283" t="s">
        <v>430</v>
      </c>
      <c r="C44" s="702"/>
      <c r="D44" s="296" t="s">
        <v>411</v>
      </c>
      <c r="E44" s="703">
        <v>23</v>
      </c>
      <c r="F44" s="703">
        <v>35</v>
      </c>
      <c r="G44" s="703">
        <v>421</v>
      </c>
      <c r="H44" s="703">
        <v>64</v>
      </c>
      <c r="I44" s="703">
        <v>717.89786288437961</v>
      </c>
      <c r="J44" s="727">
        <v>49</v>
      </c>
    </row>
    <row r="45" spans="2:10" x14ac:dyDescent="0.75">
      <c r="B45" s="283" t="s">
        <v>448</v>
      </c>
      <c r="C45" s="702"/>
      <c r="D45" s="296" t="s">
        <v>411</v>
      </c>
      <c r="E45" s="703">
        <v>0</v>
      </c>
      <c r="F45" s="703">
        <v>0</v>
      </c>
      <c r="G45" s="703">
        <v>0</v>
      </c>
      <c r="H45" s="703">
        <v>0</v>
      </c>
      <c r="I45" s="703">
        <v>0.5254057776974389</v>
      </c>
      <c r="J45" s="727">
        <v>0</v>
      </c>
    </row>
    <row r="46" spans="2:10" x14ac:dyDescent="0.75">
      <c r="B46" s="283" t="s">
        <v>458</v>
      </c>
      <c r="C46" s="702"/>
      <c r="D46" s="296" t="s">
        <v>411</v>
      </c>
      <c r="E46" s="703">
        <v>0</v>
      </c>
      <c r="F46" s="703">
        <v>0</v>
      </c>
      <c r="G46" s="703">
        <v>5</v>
      </c>
      <c r="H46" s="703">
        <v>1</v>
      </c>
      <c r="I46" s="703">
        <v>8.9733776243588927</v>
      </c>
      <c r="J46" s="727">
        <v>1</v>
      </c>
    </row>
    <row r="47" spans="2:10" x14ac:dyDescent="0.75">
      <c r="B47" s="283" t="s">
        <v>479</v>
      </c>
      <c r="C47" s="702"/>
      <c r="D47" s="296" t="s">
        <v>411</v>
      </c>
      <c r="E47" s="703">
        <v>0</v>
      </c>
      <c r="F47" s="703">
        <v>0</v>
      </c>
      <c r="G47" s="703">
        <v>2</v>
      </c>
      <c r="H47" s="703">
        <v>0</v>
      </c>
      <c r="I47" s="703">
        <v>4.0235021397356512</v>
      </c>
      <c r="J47" s="727">
        <v>0</v>
      </c>
    </row>
    <row r="48" spans="2:10" x14ac:dyDescent="0.75">
      <c r="B48" s="283" t="s">
        <v>486</v>
      </c>
      <c r="C48" s="702"/>
      <c r="D48" s="296" t="s">
        <v>411</v>
      </c>
      <c r="E48" s="703">
        <v>0</v>
      </c>
      <c r="F48" s="703">
        <v>0</v>
      </c>
      <c r="G48" s="703">
        <v>0</v>
      </c>
      <c r="H48" s="703">
        <v>0</v>
      </c>
      <c r="I48" s="703">
        <v>0.80193513438030162</v>
      </c>
      <c r="J48" s="727">
        <v>0</v>
      </c>
    </row>
    <row r="49" spans="2:10" x14ac:dyDescent="0.75">
      <c r="B49" s="283" t="s">
        <v>508</v>
      </c>
      <c r="C49" s="702"/>
      <c r="D49" s="296" t="s">
        <v>411</v>
      </c>
      <c r="E49" s="703">
        <v>1</v>
      </c>
      <c r="F49" s="703">
        <v>2</v>
      </c>
      <c r="G49" s="703">
        <v>26</v>
      </c>
      <c r="H49" s="703">
        <v>4</v>
      </c>
      <c r="I49" s="703">
        <v>44.023473583911731</v>
      </c>
      <c r="J49" s="727">
        <v>3</v>
      </c>
    </row>
    <row r="50" spans="2:10" s="132" customFormat="1" x14ac:dyDescent="0.75">
      <c r="B50" s="283" t="s">
        <v>517</v>
      </c>
      <c r="C50" s="702"/>
      <c r="D50" s="296" t="s">
        <v>411</v>
      </c>
      <c r="E50" s="703">
        <v>0</v>
      </c>
      <c r="F50" s="703">
        <v>0</v>
      </c>
      <c r="G50" s="703">
        <v>0</v>
      </c>
      <c r="H50" s="703">
        <v>0</v>
      </c>
      <c r="I50" s="703">
        <v>0.60624913512367384</v>
      </c>
      <c r="J50" s="727">
        <v>0</v>
      </c>
    </row>
    <row r="51" spans="2:10" s="132" customFormat="1" x14ac:dyDescent="0.75">
      <c r="B51" s="283" t="s">
        <v>534</v>
      </c>
      <c r="C51" s="702"/>
      <c r="D51" s="296" t="s">
        <v>411</v>
      </c>
      <c r="E51" s="703">
        <v>0</v>
      </c>
      <c r="F51" s="703">
        <v>0</v>
      </c>
      <c r="G51" s="703">
        <v>0</v>
      </c>
      <c r="H51" s="703">
        <v>0</v>
      </c>
      <c r="I51" s="703">
        <v>0.45013448680836377</v>
      </c>
      <c r="J51" s="727">
        <v>0</v>
      </c>
    </row>
    <row r="52" spans="2:10" s="132" customFormat="1" x14ac:dyDescent="0.75">
      <c r="B52" s="283" t="s">
        <v>553</v>
      </c>
      <c r="C52" s="702"/>
      <c r="D52" s="296" t="s">
        <v>411</v>
      </c>
      <c r="E52" s="703">
        <v>0</v>
      </c>
      <c r="F52" s="703">
        <v>0</v>
      </c>
      <c r="G52" s="703">
        <v>0</v>
      </c>
      <c r="H52" s="703">
        <v>0</v>
      </c>
      <c r="I52" s="703">
        <v>0.53923224553158211</v>
      </c>
      <c r="J52" s="727">
        <v>0</v>
      </c>
    </row>
    <row r="53" spans="2:10" s="132" customFormat="1" x14ac:dyDescent="0.75">
      <c r="B53" s="283" t="s">
        <v>566</v>
      </c>
      <c r="C53" s="702"/>
      <c r="D53" s="296" t="s">
        <v>411</v>
      </c>
      <c r="E53" s="703">
        <v>0</v>
      </c>
      <c r="F53" s="703">
        <v>0</v>
      </c>
      <c r="G53" s="703">
        <v>1</v>
      </c>
      <c r="H53" s="703">
        <v>0</v>
      </c>
      <c r="I53" s="703">
        <v>1.4794320582533149</v>
      </c>
      <c r="J53" s="727">
        <v>0</v>
      </c>
    </row>
    <row r="54" spans="2:10" s="132" customFormat="1" x14ac:dyDescent="0.75">
      <c r="B54" s="283" t="s">
        <v>343</v>
      </c>
      <c r="C54" s="296" t="s">
        <v>1075</v>
      </c>
      <c r="D54" s="296" t="s">
        <v>411</v>
      </c>
      <c r="E54" s="704">
        <v>16</v>
      </c>
      <c r="F54" s="704">
        <v>25</v>
      </c>
      <c r="G54" s="704">
        <v>303</v>
      </c>
      <c r="H54" s="704">
        <v>46</v>
      </c>
      <c r="I54" s="704">
        <v>517.26251354890633</v>
      </c>
      <c r="J54" s="707">
        <v>35</v>
      </c>
    </row>
    <row r="55" spans="2:10" s="132" customFormat="1" x14ac:dyDescent="0.75">
      <c r="B55" s="283" t="s">
        <v>220</v>
      </c>
      <c r="C55" s="296" t="s">
        <v>1075</v>
      </c>
      <c r="D55" s="296" t="s">
        <v>411</v>
      </c>
      <c r="E55" s="704">
        <v>8</v>
      </c>
      <c r="F55" s="704">
        <v>13</v>
      </c>
      <c r="G55" s="704">
        <v>154</v>
      </c>
      <c r="H55" s="704">
        <v>23</v>
      </c>
      <c r="I55" s="704">
        <v>262.03970231905481</v>
      </c>
      <c r="J55" s="707">
        <v>18</v>
      </c>
    </row>
    <row r="56" spans="2:10" s="132" customFormat="1" x14ac:dyDescent="0.75">
      <c r="B56" s="283" t="s">
        <v>359</v>
      </c>
      <c r="C56" s="296" t="s">
        <v>1074</v>
      </c>
      <c r="D56" s="296" t="s">
        <v>411</v>
      </c>
      <c r="E56" s="704">
        <v>2</v>
      </c>
      <c r="F56" s="704">
        <v>3</v>
      </c>
      <c r="G56" s="704">
        <v>33</v>
      </c>
      <c r="H56" s="704">
        <v>5</v>
      </c>
      <c r="I56" s="704">
        <v>57.10744626889354</v>
      </c>
      <c r="J56" s="707">
        <v>4</v>
      </c>
    </row>
    <row r="57" spans="2:10" s="132" customFormat="1" x14ac:dyDescent="0.75">
      <c r="B57" s="283" t="s">
        <v>362</v>
      </c>
      <c r="C57" s="296" t="s">
        <v>1074</v>
      </c>
      <c r="D57" s="296" t="s">
        <v>411</v>
      </c>
      <c r="E57" s="704">
        <v>1</v>
      </c>
      <c r="F57" s="704">
        <v>1</v>
      </c>
      <c r="G57" s="704">
        <v>10</v>
      </c>
      <c r="H57" s="704">
        <v>1</v>
      </c>
      <c r="I57" s="704">
        <v>16.572044857840268</v>
      </c>
      <c r="J57" s="707">
        <v>1</v>
      </c>
    </row>
    <row r="58" spans="2:10" s="132" customFormat="1" x14ac:dyDescent="0.75">
      <c r="B58" s="283" t="s">
        <v>363</v>
      </c>
      <c r="C58" s="296" t="s">
        <v>1074</v>
      </c>
      <c r="D58" s="296" t="s">
        <v>411</v>
      </c>
      <c r="E58" s="704">
        <v>5</v>
      </c>
      <c r="F58" s="704">
        <v>7</v>
      </c>
      <c r="G58" s="704">
        <v>87</v>
      </c>
      <c r="H58" s="704">
        <v>13</v>
      </c>
      <c r="I58" s="704">
        <v>147.79405971680461</v>
      </c>
      <c r="J58" s="707">
        <v>10</v>
      </c>
    </row>
    <row r="59" spans="2:10" s="132" customFormat="1" x14ac:dyDescent="0.75">
      <c r="B59" s="283" t="s">
        <v>364</v>
      </c>
      <c r="C59" s="296" t="s">
        <v>1074</v>
      </c>
      <c r="D59" s="296" t="s">
        <v>411</v>
      </c>
      <c r="E59" s="704">
        <v>3</v>
      </c>
      <c r="F59" s="704">
        <v>4</v>
      </c>
      <c r="G59" s="704">
        <v>47</v>
      </c>
      <c r="H59" s="704">
        <v>7</v>
      </c>
      <c r="I59" s="704">
        <v>79.80467168313055</v>
      </c>
      <c r="J59" s="707">
        <v>5</v>
      </c>
    </row>
    <row r="60" spans="2:10" s="132" customFormat="1" x14ac:dyDescent="0.75">
      <c r="B60" s="283" t="s">
        <v>379</v>
      </c>
      <c r="C60" s="296" t="s">
        <v>1074</v>
      </c>
      <c r="D60" s="296" t="s">
        <v>411</v>
      </c>
      <c r="E60" s="704">
        <v>1</v>
      </c>
      <c r="F60" s="704">
        <v>1</v>
      </c>
      <c r="G60" s="704">
        <v>11</v>
      </c>
      <c r="H60" s="704">
        <v>2</v>
      </c>
      <c r="I60" s="704">
        <v>18.329043257864008</v>
      </c>
      <c r="J60" s="707">
        <v>1</v>
      </c>
    </row>
    <row r="61" spans="2:10" s="132" customFormat="1" x14ac:dyDescent="0.75">
      <c r="B61" s="283" t="s">
        <v>393</v>
      </c>
      <c r="C61" s="296" t="s">
        <v>1074</v>
      </c>
      <c r="D61" s="296" t="s">
        <v>411</v>
      </c>
      <c r="E61" s="704">
        <v>2</v>
      </c>
      <c r="F61" s="704">
        <v>4</v>
      </c>
      <c r="G61" s="704">
        <v>45</v>
      </c>
      <c r="H61" s="704">
        <v>7</v>
      </c>
      <c r="I61" s="704">
        <v>76.490218466865429</v>
      </c>
      <c r="J61" s="707">
        <v>5</v>
      </c>
    </row>
    <row r="62" spans="2:10" s="132" customFormat="1" x14ac:dyDescent="0.75">
      <c r="B62" s="283" t="s">
        <v>396</v>
      </c>
      <c r="C62" s="296" t="s">
        <v>1074</v>
      </c>
      <c r="D62" s="296" t="s">
        <v>411</v>
      </c>
      <c r="E62" s="704">
        <v>29</v>
      </c>
      <c r="F62" s="704">
        <v>44</v>
      </c>
      <c r="G62" s="704">
        <v>528</v>
      </c>
      <c r="H62" s="704">
        <v>80</v>
      </c>
      <c r="I62" s="704">
        <v>900.51413071789477</v>
      </c>
      <c r="J62" s="707">
        <v>62</v>
      </c>
    </row>
    <row r="63" spans="2:10" s="132" customFormat="1" x14ac:dyDescent="0.75">
      <c r="B63" s="283" t="s">
        <v>400</v>
      </c>
      <c r="C63" s="296" t="s">
        <v>1074</v>
      </c>
      <c r="D63" s="296" t="s">
        <v>411</v>
      </c>
      <c r="E63" s="704">
        <v>37</v>
      </c>
      <c r="F63" s="704">
        <v>56</v>
      </c>
      <c r="G63" s="704">
        <v>677</v>
      </c>
      <c r="H63" s="704">
        <v>102</v>
      </c>
      <c r="I63" s="704">
        <v>1154.745750121652</v>
      </c>
      <c r="J63" s="707">
        <v>79</v>
      </c>
    </row>
    <row r="64" spans="2:10" s="132" customFormat="1" x14ac:dyDescent="0.75">
      <c r="B64" s="283" t="s">
        <v>403</v>
      </c>
      <c r="C64" s="296" t="s">
        <v>1074</v>
      </c>
      <c r="D64" s="296" t="s">
        <v>411</v>
      </c>
      <c r="E64" s="704">
        <v>5</v>
      </c>
      <c r="F64" s="704">
        <v>7</v>
      </c>
      <c r="G64" s="704">
        <v>85</v>
      </c>
      <c r="H64" s="704">
        <v>13</v>
      </c>
      <c r="I64" s="704">
        <v>144.81084719044205</v>
      </c>
      <c r="J64" s="707">
        <v>10</v>
      </c>
    </row>
    <row r="65" spans="2:10" s="132" customFormat="1" x14ac:dyDescent="0.75">
      <c r="B65" s="283" t="s">
        <v>415</v>
      </c>
      <c r="C65" s="296" t="s">
        <v>1074</v>
      </c>
      <c r="D65" s="296" t="s">
        <v>411</v>
      </c>
      <c r="E65" s="704">
        <v>4</v>
      </c>
      <c r="F65" s="704">
        <v>7</v>
      </c>
      <c r="G65" s="704">
        <v>78</v>
      </c>
      <c r="H65" s="704">
        <v>12</v>
      </c>
      <c r="I65" s="704">
        <v>133.9049165039693</v>
      </c>
      <c r="J65" s="707">
        <v>9</v>
      </c>
    </row>
    <row r="66" spans="2:10" s="132" customFormat="1" x14ac:dyDescent="0.75">
      <c r="B66" s="283" t="s">
        <v>416</v>
      </c>
      <c r="C66" s="296" t="s">
        <v>1074</v>
      </c>
      <c r="D66" s="296" t="s">
        <v>411</v>
      </c>
      <c r="E66" s="704">
        <v>0</v>
      </c>
      <c r="F66" s="704">
        <v>0</v>
      </c>
      <c r="G66" s="704">
        <v>3</v>
      </c>
      <c r="H66" s="704">
        <v>0</v>
      </c>
      <c r="I66" s="704">
        <v>4.6876841750843843</v>
      </c>
      <c r="J66" s="707">
        <v>0</v>
      </c>
    </row>
    <row r="67" spans="2:10" s="132" customFormat="1" x14ac:dyDescent="0.75">
      <c r="B67" s="283" t="s">
        <v>420</v>
      </c>
      <c r="C67" s="296" t="s">
        <v>1074</v>
      </c>
      <c r="D67" s="296" t="s">
        <v>411</v>
      </c>
      <c r="E67" s="704">
        <v>2</v>
      </c>
      <c r="F67" s="704">
        <v>3</v>
      </c>
      <c r="G67" s="704">
        <v>40</v>
      </c>
      <c r="H67" s="704">
        <v>6</v>
      </c>
      <c r="I67" s="704">
        <v>67.507701547268169</v>
      </c>
      <c r="J67" s="707">
        <v>5</v>
      </c>
    </row>
    <row r="68" spans="2:10" s="132" customFormat="1" x14ac:dyDescent="0.75">
      <c r="B68" s="283" t="s">
        <v>423</v>
      </c>
      <c r="C68" s="296" t="s">
        <v>1074</v>
      </c>
      <c r="D68" s="296" t="s">
        <v>411</v>
      </c>
      <c r="E68" s="704">
        <v>4</v>
      </c>
      <c r="F68" s="704">
        <v>6</v>
      </c>
      <c r="G68" s="704">
        <v>69</v>
      </c>
      <c r="H68" s="704">
        <v>10</v>
      </c>
      <c r="I68" s="704">
        <v>117.79283675156746</v>
      </c>
      <c r="J68" s="707">
        <v>8</v>
      </c>
    </row>
    <row r="69" spans="2:10" s="132" customFormat="1" x14ac:dyDescent="0.75">
      <c r="B69" s="283" t="s">
        <v>424</v>
      </c>
      <c r="C69" s="296" t="s">
        <v>1074</v>
      </c>
      <c r="D69" s="296" t="s">
        <v>411</v>
      </c>
      <c r="E69" s="704">
        <v>27</v>
      </c>
      <c r="F69" s="704">
        <v>41</v>
      </c>
      <c r="G69" s="704">
        <v>491</v>
      </c>
      <c r="H69" s="704">
        <v>74</v>
      </c>
      <c r="I69" s="704">
        <v>837.19389939240727</v>
      </c>
      <c r="J69" s="707">
        <v>57</v>
      </c>
    </row>
    <row r="70" spans="2:10" s="132" customFormat="1" x14ac:dyDescent="0.75">
      <c r="B70" s="283" t="s">
        <v>426</v>
      </c>
      <c r="C70" s="296" t="s">
        <v>1135</v>
      </c>
      <c r="D70" s="296" t="s">
        <v>411</v>
      </c>
      <c r="E70" s="704">
        <v>56</v>
      </c>
      <c r="F70" s="704">
        <v>85</v>
      </c>
      <c r="G70" s="704">
        <v>1028</v>
      </c>
      <c r="H70" s="704">
        <v>156</v>
      </c>
      <c r="I70" s="704">
        <v>1754.02984355328</v>
      </c>
      <c r="J70" s="707">
        <v>120</v>
      </c>
    </row>
    <row r="71" spans="2:10" s="132" customFormat="1" x14ac:dyDescent="0.75">
      <c r="B71" s="283" t="s">
        <v>432</v>
      </c>
      <c r="C71" s="296" t="s">
        <v>1072</v>
      </c>
      <c r="D71" s="296" t="s">
        <v>411</v>
      </c>
      <c r="E71" s="704">
        <v>2</v>
      </c>
      <c r="F71" s="704">
        <v>3</v>
      </c>
      <c r="G71" s="704">
        <v>34</v>
      </c>
      <c r="H71" s="704">
        <v>5</v>
      </c>
      <c r="I71" s="704">
        <v>58.169014816263378</v>
      </c>
      <c r="J71" s="707">
        <v>4</v>
      </c>
    </row>
    <row r="72" spans="2:10" s="132" customFormat="1" x14ac:dyDescent="0.75">
      <c r="B72" s="283" t="s">
        <v>443</v>
      </c>
      <c r="C72" s="296" t="s">
        <v>1074</v>
      </c>
      <c r="D72" s="296" t="s">
        <v>411</v>
      </c>
      <c r="E72" s="704">
        <v>1</v>
      </c>
      <c r="F72" s="704">
        <v>1</v>
      </c>
      <c r="G72" s="704">
        <v>15</v>
      </c>
      <c r="H72" s="704">
        <v>2</v>
      </c>
      <c r="I72" s="704">
        <v>26.363479278074074</v>
      </c>
      <c r="J72" s="707">
        <v>2</v>
      </c>
    </row>
    <row r="73" spans="2:10" s="132" customFormat="1" x14ac:dyDescent="0.75">
      <c r="B73" s="283" t="s">
        <v>450</v>
      </c>
      <c r="C73" s="296" t="s">
        <v>1074</v>
      </c>
      <c r="D73" s="296" t="s">
        <v>411</v>
      </c>
      <c r="E73" s="704">
        <v>1</v>
      </c>
      <c r="F73" s="704">
        <v>2</v>
      </c>
      <c r="G73" s="704">
        <v>22</v>
      </c>
      <c r="H73" s="704">
        <v>3</v>
      </c>
      <c r="I73" s="704">
        <v>38.155949255604241</v>
      </c>
      <c r="J73" s="707">
        <v>3</v>
      </c>
    </row>
    <row r="74" spans="2:10" s="132" customFormat="1" x14ac:dyDescent="0.75">
      <c r="B74" s="283" t="s">
        <v>457</v>
      </c>
      <c r="C74" s="296" t="s">
        <v>1074</v>
      </c>
      <c r="D74" s="296" t="s">
        <v>411</v>
      </c>
      <c r="E74" s="704">
        <v>0</v>
      </c>
      <c r="F74" s="704">
        <v>0</v>
      </c>
      <c r="G74" s="704">
        <v>5</v>
      </c>
      <c r="H74" s="704">
        <v>1</v>
      </c>
      <c r="I74" s="704">
        <v>8.5133710395169491</v>
      </c>
      <c r="J74" s="707">
        <v>1</v>
      </c>
    </row>
    <row r="75" spans="2:10" s="132" customFormat="1" x14ac:dyDescent="0.75">
      <c r="B75" s="283" t="s">
        <v>461</v>
      </c>
      <c r="C75" s="296" t="s">
        <v>1074</v>
      </c>
      <c r="D75" s="296" t="s">
        <v>411</v>
      </c>
      <c r="E75" s="704">
        <v>0</v>
      </c>
      <c r="F75" s="704">
        <v>0</v>
      </c>
      <c r="G75" s="704">
        <v>4</v>
      </c>
      <c r="H75" s="704">
        <v>1</v>
      </c>
      <c r="I75" s="704">
        <v>6.0888584253964497</v>
      </c>
      <c r="J75" s="707">
        <v>0</v>
      </c>
    </row>
    <row r="76" spans="2:10" s="132" customFormat="1" x14ac:dyDescent="0.75">
      <c r="B76" s="283" t="s">
        <v>475</v>
      </c>
      <c r="C76" s="296" t="s">
        <v>1074</v>
      </c>
      <c r="D76" s="296" t="s">
        <v>411</v>
      </c>
      <c r="E76" s="704">
        <v>0</v>
      </c>
      <c r="F76" s="704">
        <v>0</v>
      </c>
      <c r="G76" s="704">
        <v>0</v>
      </c>
      <c r="H76" s="704">
        <v>0</v>
      </c>
      <c r="I76" s="704">
        <v>0.53877597209305539</v>
      </c>
      <c r="J76" s="707">
        <v>0</v>
      </c>
    </row>
    <row r="77" spans="2:10" x14ac:dyDescent="0.75">
      <c r="B77" s="283" t="s">
        <v>478</v>
      </c>
      <c r="C77" s="296" t="s">
        <v>1074</v>
      </c>
      <c r="D77" s="296" t="s">
        <v>411</v>
      </c>
      <c r="E77" s="704">
        <v>8</v>
      </c>
      <c r="F77" s="704">
        <v>11</v>
      </c>
      <c r="G77" s="704">
        <v>139</v>
      </c>
      <c r="H77" s="704">
        <v>21</v>
      </c>
      <c r="I77" s="704">
        <v>236.39282121588869</v>
      </c>
      <c r="J77" s="707">
        <v>16</v>
      </c>
    </row>
    <row r="78" spans="2:10" x14ac:dyDescent="0.75">
      <c r="B78" s="283" t="s">
        <v>481</v>
      </c>
      <c r="C78" s="296" t="s">
        <v>1135</v>
      </c>
      <c r="D78" s="296" t="s">
        <v>411</v>
      </c>
      <c r="E78" s="704">
        <v>2</v>
      </c>
      <c r="F78" s="704">
        <v>3</v>
      </c>
      <c r="G78" s="704">
        <v>39</v>
      </c>
      <c r="H78" s="704">
        <v>6</v>
      </c>
      <c r="I78" s="704">
        <v>66.132852891712318</v>
      </c>
      <c r="J78" s="707">
        <v>5</v>
      </c>
    </row>
    <row r="79" spans="2:10" x14ac:dyDescent="0.75">
      <c r="B79" s="283" t="s">
        <v>488</v>
      </c>
      <c r="C79" s="296" t="s">
        <v>1074</v>
      </c>
      <c r="D79" s="296" t="s">
        <v>411</v>
      </c>
      <c r="E79" s="704">
        <v>2</v>
      </c>
      <c r="F79" s="704">
        <v>4</v>
      </c>
      <c r="G79" s="704">
        <v>44</v>
      </c>
      <c r="H79" s="704">
        <v>7</v>
      </c>
      <c r="I79" s="704">
        <v>74.370620947891283</v>
      </c>
      <c r="J79" s="707">
        <v>5</v>
      </c>
    </row>
    <row r="80" spans="2:10" x14ac:dyDescent="0.75">
      <c r="B80" s="283" t="s">
        <v>493</v>
      </c>
      <c r="C80" s="296" t="s">
        <v>1072</v>
      </c>
      <c r="D80" s="296" t="s">
        <v>411</v>
      </c>
      <c r="E80" s="704">
        <v>2</v>
      </c>
      <c r="F80" s="704">
        <v>3</v>
      </c>
      <c r="G80" s="704">
        <v>40</v>
      </c>
      <c r="H80" s="704">
        <v>6</v>
      </c>
      <c r="I80" s="704">
        <v>68.786566863119404</v>
      </c>
      <c r="J80" s="707">
        <v>5</v>
      </c>
    </row>
    <row r="81" spans="2:10" x14ac:dyDescent="0.75">
      <c r="B81" s="283" t="s">
        <v>498</v>
      </c>
      <c r="C81" s="296" t="s">
        <v>1135</v>
      </c>
      <c r="D81" s="296" t="s">
        <v>411</v>
      </c>
      <c r="E81" s="704">
        <v>0</v>
      </c>
      <c r="F81" s="704">
        <v>0</v>
      </c>
      <c r="G81" s="704">
        <v>0</v>
      </c>
      <c r="H81" s="704">
        <v>0</v>
      </c>
      <c r="I81" s="704">
        <v>0.24889024748241048</v>
      </c>
      <c r="J81" s="707">
        <v>0</v>
      </c>
    </row>
    <row r="82" spans="2:10" x14ac:dyDescent="0.75">
      <c r="B82" s="283" t="s">
        <v>500</v>
      </c>
      <c r="C82" s="296" t="s">
        <v>1075</v>
      </c>
      <c r="D82" s="296" t="s">
        <v>411</v>
      </c>
      <c r="E82" s="704">
        <v>2</v>
      </c>
      <c r="F82" s="704">
        <v>3</v>
      </c>
      <c r="G82" s="704">
        <v>34</v>
      </c>
      <c r="H82" s="704">
        <v>5</v>
      </c>
      <c r="I82" s="704">
        <v>58.713266069618754</v>
      </c>
      <c r="J82" s="707">
        <v>4</v>
      </c>
    </row>
    <row r="83" spans="2:10" x14ac:dyDescent="0.75">
      <c r="B83" s="283" t="s">
        <v>502</v>
      </c>
      <c r="C83" s="296" t="s">
        <v>1074</v>
      </c>
      <c r="D83" s="296" t="s">
        <v>411</v>
      </c>
      <c r="E83" s="704">
        <v>17</v>
      </c>
      <c r="F83" s="704">
        <v>25</v>
      </c>
      <c r="G83" s="704">
        <v>307</v>
      </c>
      <c r="H83" s="704">
        <v>46</v>
      </c>
      <c r="I83" s="704">
        <v>523.85404703888094</v>
      </c>
      <c r="J83" s="707">
        <v>36</v>
      </c>
    </row>
    <row r="84" spans="2:10" x14ac:dyDescent="0.75">
      <c r="B84" s="283" t="s">
        <v>503</v>
      </c>
      <c r="C84" s="296" t="s">
        <v>1074</v>
      </c>
      <c r="D84" s="296" t="s">
        <v>411</v>
      </c>
      <c r="E84" s="704">
        <v>4</v>
      </c>
      <c r="F84" s="704">
        <v>7</v>
      </c>
      <c r="G84" s="704">
        <v>83</v>
      </c>
      <c r="H84" s="704">
        <v>13</v>
      </c>
      <c r="I84" s="704">
        <v>141.39192118322214</v>
      </c>
      <c r="J84" s="707">
        <v>10</v>
      </c>
    </row>
    <row r="85" spans="2:10" x14ac:dyDescent="0.75">
      <c r="B85" s="283" t="s">
        <v>510</v>
      </c>
      <c r="C85" s="296" t="s">
        <v>1072</v>
      </c>
      <c r="D85" s="296" t="s">
        <v>411</v>
      </c>
      <c r="E85" s="704">
        <v>1</v>
      </c>
      <c r="F85" s="704">
        <v>2</v>
      </c>
      <c r="G85" s="704">
        <v>23</v>
      </c>
      <c r="H85" s="704">
        <v>3</v>
      </c>
      <c r="I85" s="704">
        <v>39.15753858550957</v>
      </c>
      <c r="J85" s="707">
        <v>3</v>
      </c>
    </row>
    <row r="86" spans="2:10" x14ac:dyDescent="0.75">
      <c r="B86" s="283" t="s">
        <v>513</v>
      </c>
      <c r="C86" s="296" t="s">
        <v>1074</v>
      </c>
      <c r="D86" s="296" t="s">
        <v>411</v>
      </c>
      <c r="E86" s="704">
        <v>0</v>
      </c>
      <c r="F86" s="704">
        <v>0</v>
      </c>
      <c r="G86" s="704">
        <v>0</v>
      </c>
      <c r="H86" s="704">
        <v>0</v>
      </c>
      <c r="I86" s="704">
        <v>0.46821950673542295</v>
      </c>
      <c r="J86" s="707">
        <v>0</v>
      </c>
    </row>
    <row r="87" spans="2:10" x14ac:dyDescent="0.75">
      <c r="B87" s="283" t="s">
        <v>514</v>
      </c>
      <c r="C87" s="296" t="s">
        <v>1072</v>
      </c>
      <c r="D87" s="296" t="s">
        <v>411</v>
      </c>
      <c r="E87" s="704">
        <v>15</v>
      </c>
      <c r="F87" s="704">
        <v>23</v>
      </c>
      <c r="G87" s="704">
        <v>278</v>
      </c>
      <c r="H87" s="704">
        <v>42</v>
      </c>
      <c r="I87" s="704">
        <v>473.81271394190105</v>
      </c>
      <c r="J87" s="707">
        <v>32</v>
      </c>
    </row>
    <row r="88" spans="2:10" x14ac:dyDescent="0.75">
      <c r="B88" s="283" t="s">
        <v>213</v>
      </c>
      <c r="C88" s="296" t="s">
        <v>1073</v>
      </c>
      <c r="D88" s="296" t="s">
        <v>411</v>
      </c>
      <c r="E88" s="704">
        <v>0</v>
      </c>
      <c r="F88" s="704">
        <v>0</v>
      </c>
      <c r="G88" s="704">
        <v>1</v>
      </c>
      <c r="H88" s="704">
        <v>0</v>
      </c>
      <c r="I88" s="704">
        <v>1.3514127925769837</v>
      </c>
      <c r="J88" s="707">
        <v>0</v>
      </c>
    </row>
    <row r="89" spans="2:10" x14ac:dyDescent="0.75">
      <c r="B89" s="283" t="s">
        <v>516</v>
      </c>
      <c r="C89" s="296" t="s">
        <v>1135</v>
      </c>
      <c r="D89" s="296" t="s">
        <v>411</v>
      </c>
      <c r="E89" s="704">
        <v>3</v>
      </c>
      <c r="F89" s="704">
        <v>4</v>
      </c>
      <c r="G89" s="704">
        <v>47</v>
      </c>
      <c r="H89" s="704">
        <v>7</v>
      </c>
      <c r="I89" s="704">
        <v>80.253561787833846</v>
      </c>
      <c r="J89" s="707">
        <v>5</v>
      </c>
    </row>
    <row r="90" spans="2:10" x14ac:dyDescent="0.75">
      <c r="B90" s="283" t="s">
        <v>519</v>
      </c>
      <c r="C90" s="296" t="s">
        <v>1074</v>
      </c>
      <c r="D90" s="296" t="s">
        <v>411</v>
      </c>
      <c r="E90" s="704">
        <v>2</v>
      </c>
      <c r="F90" s="704">
        <v>4</v>
      </c>
      <c r="G90" s="704">
        <v>44</v>
      </c>
      <c r="H90" s="704">
        <v>7</v>
      </c>
      <c r="I90" s="704">
        <v>75.451200888533066</v>
      </c>
      <c r="J90" s="707">
        <v>5</v>
      </c>
    </row>
    <row r="91" spans="2:10" x14ac:dyDescent="0.75">
      <c r="B91" s="283" t="s">
        <v>521</v>
      </c>
      <c r="C91" s="296" t="s">
        <v>1074</v>
      </c>
      <c r="D91" s="296" t="s">
        <v>411</v>
      </c>
      <c r="E91" s="704">
        <v>1</v>
      </c>
      <c r="F91" s="704">
        <v>1</v>
      </c>
      <c r="G91" s="704">
        <v>17</v>
      </c>
      <c r="H91" s="704">
        <v>3</v>
      </c>
      <c r="I91" s="704">
        <v>28.740442669312952</v>
      </c>
      <c r="J91" s="707">
        <v>2</v>
      </c>
    </row>
    <row r="92" spans="2:10" x14ac:dyDescent="0.75">
      <c r="B92" s="283" t="s">
        <v>530</v>
      </c>
      <c r="C92" s="296" t="s">
        <v>1074</v>
      </c>
      <c r="D92" s="296" t="s">
        <v>411</v>
      </c>
      <c r="E92" s="704">
        <v>21</v>
      </c>
      <c r="F92" s="704">
        <v>31</v>
      </c>
      <c r="G92" s="704">
        <v>379</v>
      </c>
      <c r="H92" s="704">
        <v>57</v>
      </c>
      <c r="I92" s="704">
        <v>646.20461299435965</v>
      </c>
      <c r="J92" s="707">
        <v>44</v>
      </c>
    </row>
    <row r="93" spans="2:10" x14ac:dyDescent="0.75">
      <c r="B93" s="283" t="s">
        <v>531</v>
      </c>
      <c r="C93" s="296" t="s">
        <v>1075</v>
      </c>
      <c r="D93" s="296" t="s">
        <v>411</v>
      </c>
      <c r="E93" s="704">
        <v>0</v>
      </c>
      <c r="F93" s="704">
        <v>0</v>
      </c>
      <c r="G93" s="704">
        <v>0</v>
      </c>
      <c r="H93" s="704">
        <v>0</v>
      </c>
      <c r="I93" s="704">
        <v>0.7305076015491182</v>
      </c>
      <c r="J93" s="707">
        <v>0</v>
      </c>
    </row>
    <row r="94" spans="2:10" x14ac:dyDescent="0.75">
      <c r="B94" s="283" t="s">
        <v>544</v>
      </c>
      <c r="C94" s="296" t="s">
        <v>1074</v>
      </c>
      <c r="D94" s="296" t="s">
        <v>411</v>
      </c>
      <c r="E94" s="704">
        <v>4</v>
      </c>
      <c r="F94" s="704">
        <v>7</v>
      </c>
      <c r="G94" s="704">
        <v>81</v>
      </c>
      <c r="H94" s="704">
        <v>12</v>
      </c>
      <c r="I94" s="704">
        <v>138.76783733238361</v>
      </c>
      <c r="J94" s="707">
        <v>10</v>
      </c>
    </row>
    <row r="95" spans="2:10" x14ac:dyDescent="0.75">
      <c r="B95" s="283" t="s">
        <v>545</v>
      </c>
      <c r="C95" s="296" t="s">
        <v>1074</v>
      </c>
      <c r="D95" s="296" t="s">
        <v>411</v>
      </c>
      <c r="E95" s="704">
        <v>4</v>
      </c>
      <c r="F95" s="704">
        <v>6</v>
      </c>
      <c r="G95" s="704">
        <v>70</v>
      </c>
      <c r="H95" s="704">
        <v>11</v>
      </c>
      <c r="I95" s="704">
        <v>118.78817651801175</v>
      </c>
      <c r="J95" s="707">
        <v>8</v>
      </c>
    </row>
    <row r="96" spans="2:10" x14ac:dyDescent="0.75">
      <c r="B96" s="283" t="s">
        <v>549</v>
      </c>
      <c r="C96" s="296" t="s">
        <v>1075</v>
      </c>
      <c r="D96" s="296" t="s">
        <v>411</v>
      </c>
      <c r="E96" s="704">
        <v>1</v>
      </c>
      <c r="F96" s="704">
        <v>1</v>
      </c>
      <c r="G96" s="704">
        <v>11</v>
      </c>
      <c r="H96" s="704">
        <v>2</v>
      </c>
      <c r="I96" s="704">
        <v>19.287494008126806</v>
      </c>
      <c r="J96" s="707">
        <v>1</v>
      </c>
    </row>
    <row r="97" spans="2:10" x14ac:dyDescent="0.75">
      <c r="B97" s="283" t="s">
        <v>555</v>
      </c>
      <c r="C97" s="296" t="s">
        <v>1072</v>
      </c>
      <c r="D97" s="296" t="s">
        <v>411</v>
      </c>
      <c r="E97" s="704">
        <v>4</v>
      </c>
      <c r="F97" s="704">
        <v>7</v>
      </c>
      <c r="G97" s="704">
        <v>79</v>
      </c>
      <c r="H97" s="704">
        <v>12</v>
      </c>
      <c r="I97" s="704">
        <v>135.09186346165916</v>
      </c>
      <c r="J97" s="707">
        <v>9</v>
      </c>
    </row>
    <row r="98" spans="2:10" x14ac:dyDescent="0.75">
      <c r="B98" s="283" t="s">
        <v>556</v>
      </c>
      <c r="C98" s="296" t="s">
        <v>1074</v>
      </c>
      <c r="D98" s="296" t="s">
        <v>411</v>
      </c>
      <c r="E98" s="704">
        <v>30</v>
      </c>
      <c r="F98" s="704">
        <v>45</v>
      </c>
      <c r="G98" s="704">
        <v>547</v>
      </c>
      <c r="H98" s="704">
        <v>83</v>
      </c>
      <c r="I98" s="704">
        <v>933.70359890100701</v>
      </c>
      <c r="J98" s="707">
        <v>64</v>
      </c>
    </row>
    <row r="99" spans="2:10" x14ac:dyDescent="0.75">
      <c r="B99" s="283" t="s">
        <v>557</v>
      </c>
      <c r="C99" s="296" t="s">
        <v>1075</v>
      </c>
      <c r="D99" s="296" t="s">
        <v>411</v>
      </c>
      <c r="E99" s="704">
        <v>145</v>
      </c>
      <c r="F99" s="704">
        <v>221</v>
      </c>
      <c r="G99" s="704">
        <v>2666</v>
      </c>
      <c r="H99" s="704">
        <v>404</v>
      </c>
      <c r="I99" s="704">
        <v>4549.8054902454787</v>
      </c>
      <c r="J99" s="707">
        <v>312</v>
      </c>
    </row>
    <row r="100" spans="2:10" x14ac:dyDescent="0.75">
      <c r="B100" s="283" t="s">
        <v>560</v>
      </c>
      <c r="C100" s="296" t="s">
        <v>1075</v>
      </c>
      <c r="D100" s="296" t="s">
        <v>411</v>
      </c>
      <c r="E100" s="704">
        <v>2</v>
      </c>
      <c r="F100" s="704">
        <v>2</v>
      </c>
      <c r="G100" s="704">
        <v>28</v>
      </c>
      <c r="H100" s="704">
        <v>4</v>
      </c>
      <c r="I100" s="704">
        <v>47.863512321956129</v>
      </c>
      <c r="J100" s="707">
        <v>3</v>
      </c>
    </row>
    <row r="101" spans="2:10" x14ac:dyDescent="0.75">
      <c r="B101" s="705" t="s">
        <v>230</v>
      </c>
      <c r="C101" s="702" t="s">
        <v>1072</v>
      </c>
      <c r="D101" s="702" t="s">
        <v>453</v>
      </c>
      <c r="E101" s="703">
        <v>0</v>
      </c>
      <c r="F101" s="703">
        <v>0</v>
      </c>
      <c r="G101" s="703">
        <v>0</v>
      </c>
      <c r="H101" s="703">
        <v>0</v>
      </c>
      <c r="I101" s="703">
        <v>443.64033160445643</v>
      </c>
      <c r="J101" s="727">
        <v>3</v>
      </c>
    </row>
    <row r="102" spans="2:10" x14ac:dyDescent="0.75">
      <c r="B102" s="705" t="s">
        <v>183</v>
      </c>
      <c r="C102" s="702" t="s">
        <v>1073</v>
      </c>
      <c r="D102" s="702" t="s">
        <v>453</v>
      </c>
      <c r="E102" s="703">
        <v>1</v>
      </c>
      <c r="F102" s="703">
        <v>1</v>
      </c>
      <c r="G102" s="703">
        <v>4</v>
      </c>
      <c r="H102" s="703">
        <v>1</v>
      </c>
      <c r="I102" s="703">
        <v>137.62420444866055</v>
      </c>
      <c r="J102" s="727">
        <v>3</v>
      </c>
    </row>
    <row r="103" spans="2:10" x14ac:dyDescent="0.75">
      <c r="B103" s="705" t="s">
        <v>185</v>
      </c>
      <c r="C103" s="702" t="s">
        <v>1073</v>
      </c>
      <c r="D103" s="702" t="s">
        <v>453</v>
      </c>
      <c r="E103" s="703">
        <v>1</v>
      </c>
      <c r="F103" s="703">
        <v>1</v>
      </c>
      <c r="G103" s="703">
        <v>5</v>
      </c>
      <c r="H103" s="703">
        <v>1</v>
      </c>
      <c r="I103" s="703">
        <v>385.21673644022144</v>
      </c>
      <c r="J103" s="727">
        <v>3</v>
      </c>
    </row>
    <row r="104" spans="2:10" x14ac:dyDescent="0.75">
      <c r="B104" s="705" t="s">
        <v>186</v>
      </c>
      <c r="C104" s="702" t="s">
        <v>1073</v>
      </c>
      <c r="D104" s="702" t="s">
        <v>453</v>
      </c>
      <c r="E104" s="703">
        <v>1</v>
      </c>
      <c r="F104" s="703">
        <v>1</v>
      </c>
      <c r="G104" s="703">
        <v>4</v>
      </c>
      <c r="H104" s="703">
        <v>1</v>
      </c>
      <c r="I104" s="703">
        <v>218.57622786857954</v>
      </c>
      <c r="J104" s="727">
        <v>3</v>
      </c>
    </row>
    <row r="105" spans="2:10" x14ac:dyDescent="0.75">
      <c r="B105" s="705" t="s">
        <v>188</v>
      </c>
      <c r="C105" s="702" t="s">
        <v>1073</v>
      </c>
      <c r="D105" s="702" t="s">
        <v>453</v>
      </c>
      <c r="E105" s="703">
        <v>1</v>
      </c>
      <c r="F105" s="703">
        <v>4</v>
      </c>
      <c r="G105" s="703">
        <v>6</v>
      </c>
      <c r="H105" s="703">
        <v>1</v>
      </c>
      <c r="I105" s="703">
        <v>89.950687323036703</v>
      </c>
      <c r="J105" s="727">
        <v>3</v>
      </c>
    </row>
    <row r="106" spans="2:10" x14ac:dyDescent="0.75">
      <c r="B106" s="705" t="s">
        <v>189</v>
      </c>
      <c r="C106" s="702" t="s">
        <v>1073</v>
      </c>
      <c r="D106" s="702" t="s">
        <v>453</v>
      </c>
      <c r="E106" s="703">
        <v>2</v>
      </c>
      <c r="F106" s="703">
        <v>1</v>
      </c>
      <c r="G106" s="703">
        <v>7</v>
      </c>
      <c r="H106" s="703">
        <v>1</v>
      </c>
      <c r="I106" s="703">
        <v>185.97143182785007</v>
      </c>
      <c r="J106" s="727">
        <v>3</v>
      </c>
    </row>
    <row r="107" spans="2:10" x14ac:dyDescent="0.75">
      <c r="B107" s="283" t="s">
        <v>429</v>
      </c>
      <c r="C107" s="702" t="s">
        <v>1077</v>
      </c>
      <c r="D107" s="702" t="s">
        <v>453</v>
      </c>
      <c r="E107" s="703">
        <v>0</v>
      </c>
      <c r="F107" s="703">
        <v>0</v>
      </c>
      <c r="G107" s="703">
        <v>0</v>
      </c>
      <c r="H107" s="703">
        <v>0</v>
      </c>
      <c r="I107" s="703">
        <v>431.92397260789789</v>
      </c>
      <c r="J107" s="727">
        <v>3</v>
      </c>
    </row>
    <row r="108" spans="2:10" x14ac:dyDescent="0.75">
      <c r="B108" s="283" t="s">
        <v>355</v>
      </c>
      <c r="C108" s="702" t="s">
        <v>1073</v>
      </c>
      <c r="D108" s="702" t="s">
        <v>453</v>
      </c>
      <c r="E108" s="703">
        <v>5</v>
      </c>
      <c r="F108" s="703">
        <v>1</v>
      </c>
      <c r="G108" s="703">
        <v>22</v>
      </c>
      <c r="H108" s="703">
        <v>3</v>
      </c>
      <c r="I108" s="703">
        <v>1645.2216543900142</v>
      </c>
      <c r="J108" s="727">
        <v>3</v>
      </c>
    </row>
    <row r="109" spans="2:10" x14ac:dyDescent="0.75">
      <c r="B109" s="705" t="s">
        <v>192</v>
      </c>
      <c r="C109" s="702" t="s">
        <v>1073</v>
      </c>
      <c r="D109" s="702" t="s">
        <v>453</v>
      </c>
      <c r="E109" s="703">
        <v>0</v>
      </c>
      <c r="F109" s="703">
        <v>1</v>
      </c>
      <c r="G109" s="703">
        <v>1</v>
      </c>
      <c r="H109" s="703">
        <v>0</v>
      </c>
      <c r="I109" s="703">
        <v>40.783135898259957</v>
      </c>
      <c r="J109" s="727">
        <v>3</v>
      </c>
    </row>
    <row r="110" spans="2:10" x14ac:dyDescent="0.75">
      <c r="B110" s="705" t="s">
        <v>194</v>
      </c>
      <c r="C110" s="702" t="s">
        <v>1073</v>
      </c>
      <c r="D110" s="702" t="s">
        <v>453</v>
      </c>
      <c r="E110" s="703">
        <v>8</v>
      </c>
      <c r="F110" s="703">
        <v>1</v>
      </c>
      <c r="G110" s="703">
        <v>36</v>
      </c>
      <c r="H110" s="703">
        <v>5</v>
      </c>
      <c r="I110" s="703">
        <v>1886.1213669251185</v>
      </c>
      <c r="J110" s="727">
        <v>3</v>
      </c>
    </row>
    <row r="111" spans="2:10" x14ac:dyDescent="0.75">
      <c r="B111" s="283" t="s">
        <v>399</v>
      </c>
      <c r="C111" s="702" t="s">
        <v>1073</v>
      </c>
      <c r="D111" s="702" t="s">
        <v>453</v>
      </c>
      <c r="E111" s="703">
        <v>0</v>
      </c>
      <c r="F111" s="703">
        <v>2</v>
      </c>
      <c r="G111" s="703">
        <v>1</v>
      </c>
      <c r="H111" s="703">
        <v>0</v>
      </c>
      <c r="I111" s="703">
        <v>39.508296598021076</v>
      </c>
      <c r="J111" s="727">
        <v>3</v>
      </c>
    </row>
    <row r="112" spans="2:10" x14ac:dyDescent="0.75">
      <c r="B112" s="705" t="s">
        <v>197</v>
      </c>
      <c r="C112" s="702" t="s">
        <v>1073</v>
      </c>
      <c r="D112" s="702" t="s">
        <v>453</v>
      </c>
      <c r="E112" s="703">
        <v>1</v>
      </c>
      <c r="F112" s="703">
        <v>1</v>
      </c>
      <c r="G112" s="703">
        <v>6</v>
      </c>
      <c r="H112" s="703">
        <v>1</v>
      </c>
      <c r="I112" s="703">
        <v>242.09463029141429</v>
      </c>
      <c r="J112" s="727">
        <v>3</v>
      </c>
    </row>
    <row r="113" spans="2:10" x14ac:dyDescent="0.75">
      <c r="B113" s="705" t="s">
        <v>198</v>
      </c>
      <c r="C113" s="702" t="s">
        <v>1073</v>
      </c>
      <c r="D113" s="702" t="s">
        <v>453</v>
      </c>
      <c r="E113" s="703">
        <v>0</v>
      </c>
      <c r="F113" s="703">
        <v>4</v>
      </c>
      <c r="G113" s="703">
        <v>2</v>
      </c>
      <c r="H113" s="703">
        <v>0</v>
      </c>
      <c r="I113" s="703">
        <v>22.401600821556105</v>
      </c>
      <c r="J113" s="727">
        <v>3</v>
      </c>
    </row>
    <row r="114" spans="2:10" x14ac:dyDescent="0.75">
      <c r="B114" s="705" t="s">
        <v>225</v>
      </c>
      <c r="C114" s="702" t="s">
        <v>1075</v>
      </c>
      <c r="D114" s="702" t="s">
        <v>453</v>
      </c>
      <c r="E114" s="703">
        <v>2</v>
      </c>
      <c r="F114" s="703">
        <v>2</v>
      </c>
      <c r="G114" s="703">
        <v>7</v>
      </c>
      <c r="H114" s="703">
        <v>1</v>
      </c>
      <c r="I114" s="703">
        <v>131.3492461046736</v>
      </c>
      <c r="J114" s="727">
        <v>3</v>
      </c>
    </row>
    <row r="115" spans="2:10" x14ac:dyDescent="0.75">
      <c r="B115" s="705" t="s">
        <v>201</v>
      </c>
      <c r="C115" s="702" t="s">
        <v>1073</v>
      </c>
      <c r="D115" s="702" t="s">
        <v>453</v>
      </c>
      <c r="E115" s="703">
        <v>0</v>
      </c>
      <c r="F115" s="703">
        <v>1</v>
      </c>
      <c r="G115" s="703">
        <v>2</v>
      </c>
      <c r="H115" s="703">
        <v>0</v>
      </c>
      <c r="I115" s="703">
        <v>57.579313137803325</v>
      </c>
      <c r="J115" s="727">
        <v>3</v>
      </c>
    </row>
    <row r="116" spans="2:10" x14ac:dyDescent="0.75">
      <c r="B116" s="705" t="s">
        <v>202</v>
      </c>
      <c r="C116" s="702" t="s">
        <v>1073</v>
      </c>
      <c r="D116" s="702" t="s">
        <v>453</v>
      </c>
      <c r="E116" s="703">
        <v>1</v>
      </c>
      <c r="F116" s="703">
        <v>0</v>
      </c>
      <c r="G116" s="703">
        <v>3</v>
      </c>
      <c r="H116" s="703">
        <v>0</v>
      </c>
      <c r="I116" s="703">
        <v>314.51417601405888</v>
      </c>
      <c r="J116" s="727">
        <v>3</v>
      </c>
    </row>
    <row r="117" spans="2:10" x14ac:dyDescent="0.75">
      <c r="B117" s="705" t="s">
        <v>203</v>
      </c>
      <c r="C117" s="702" t="s">
        <v>1073</v>
      </c>
      <c r="D117" s="702" t="s">
        <v>453</v>
      </c>
      <c r="E117" s="703">
        <v>13</v>
      </c>
      <c r="F117" s="703">
        <v>9</v>
      </c>
      <c r="G117" s="703">
        <v>56</v>
      </c>
      <c r="H117" s="703">
        <v>8</v>
      </c>
      <c r="I117" s="703">
        <v>217.24717877084873</v>
      </c>
      <c r="J117" s="727">
        <v>3</v>
      </c>
    </row>
    <row r="118" spans="2:10" x14ac:dyDescent="0.75">
      <c r="B118" s="705" t="s">
        <v>204</v>
      </c>
      <c r="C118" s="702" t="s">
        <v>1073</v>
      </c>
      <c r="D118" s="702" t="s">
        <v>453</v>
      </c>
      <c r="E118" s="703">
        <v>2</v>
      </c>
      <c r="F118" s="703">
        <v>1</v>
      </c>
      <c r="G118" s="703">
        <v>9</v>
      </c>
      <c r="H118" s="703">
        <v>1</v>
      </c>
      <c r="I118" s="703">
        <v>229.25050076966824</v>
      </c>
      <c r="J118" s="727">
        <v>3</v>
      </c>
    </row>
    <row r="119" spans="2:10" x14ac:dyDescent="0.75">
      <c r="B119" s="705" t="s">
        <v>207</v>
      </c>
      <c r="C119" s="702" t="s">
        <v>1073</v>
      </c>
      <c r="D119" s="702" t="s">
        <v>453</v>
      </c>
      <c r="E119" s="703">
        <v>28</v>
      </c>
      <c r="F119" s="703">
        <v>13</v>
      </c>
      <c r="G119" s="703">
        <v>124</v>
      </c>
      <c r="H119" s="703">
        <v>18</v>
      </c>
      <c r="I119" s="703">
        <v>511.0161764352207</v>
      </c>
      <c r="J119" s="727">
        <v>3</v>
      </c>
    </row>
    <row r="120" spans="2:10" x14ac:dyDescent="0.75">
      <c r="B120" s="705" t="s">
        <v>179</v>
      </c>
      <c r="C120" s="702" t="s">
        <v>1077</v>
      </c>
      <c r="D120" s="702" t="s">
        <v>453</v>
      </c>
      <c r="E120" s="703">
        <v>0</v>
      </c>
      <c r="F120" s="703">
        <v>0</v>
      </c>
      <c r="G120" s="703">
        <v>1</v>
      </c>
      <c r="H120" s="703">
        <v>0</v>
      </c>
      <c r="I120" s="703">
        <v>333.63285006466413</v>
      </c>
      <c r="J120" s="727">
        <v>3</v>
      </c>
    </row>
    <row r="121" spans="2:10" x14ac:dyDescent="0.75">
      <c r="B121" s="705" t="s">
        <v>209</v>
      </c>
      <c r="C121" s="702" t="s">
        <v>1073</v>
      </c>
      <c r="D121" s="702" t="s">
        <v>453</v>
      </c>
      <c r="E121" s="703">
        <v>1</v>
      </c>
      <c r="F121" s="703">
        <v>0</v>
      </c>
      <c r="G121" s="703">
        <v>2</v>
      </c>
      <c r="H121" s="703">
        <v>0</v>
      </c>
      <c r="I121" s="703">
        <v>441.88326637291669</v>
      </c>
      <c r="J121" s="727">
        <v>3</v>
      </c>
    </row>
    <row r="122" spans="2:10" x14ac:dyDescent="0.75">
      <c r="B122" s="705" t="s">
        <v>210</v>
      </c>
      <c r="C122" s="702" t="s">
        <v>1073</v>
      </c>
      <c r="D122" s="702" t="s">
        <v>453</v>
      </c>
      <c r="E122" s="703">
        <v>2</v>
      </c>
      <c r="F122" s="703">
        <v>3</v>
      </c>
      <c r="G122" s="703">
        <v>10</v>
      </c>
      <c r="H122" s="703">
        <v>1</v>
      </c>
      <c r="I122" s="703">
        <v>239.35909517541285</v>
      </c>
      <c r="J122" s="727">
        <v>3</v>
      </c>
    </row>
    <row r="123" spans="2:10" x14ac:dyDescent="0.75">
      <c r="B123" s="705" t="s">
        <v>214</v>
      </c>
      <c r="C123" s="702" t="s">
        <v>1073</v>
      </c>
      <c r="D123" s="702" t="s">
        <v>453</v>
      </c>
      <c r="E123" s="703">
        <v>1</v>
      </c>
      <c r="F123" s="703">
        <v>2</v>
      </c>
      <c r="G123" s="703">
        <v>4</v>
      </c>
      <c r="H123" s="703">
        <v>1</v>
      </c>
      <c r="I123" s="703">
        <v>131.48486837211226</v>
      </c>
      <c r="J123" s="727">
        <v>3</v>
      </c>
    </row>
    <row r="124" spans="2:10" x14ac:dyDescent="0.75">
      <c r="B124" s="705" t="s">
        <v>232</v>
      </c>
      <c r="C124" s="702" t="s">
        <v>1072</v>
      </c>
      <c r="D124" s="702" t="s">
        <v>453</v>
      </c>
      <c r="E124" s="703">
        <v>0</v>
      </c>
      <c r="F124" s="703">
        <v>0</v>
      </c>
      <c r="G124" s="703">
        <v>1</v>
      </c>
      <c r="H124" s="703">
        <v>0</v>
      </c>
      <c r="I124" s="703">
        <v>292.73922205359321</v>
      </c>
      <c r="J124" s="727">
        <v>3</v>
      </c>
    </row>
    <row r="125" spans="2:10" x14ac:dyDescent="0.75">
      <c r="B125" s="705" t="s">
        <v>528</v>
      </c>
      <c r="C125" s="702" t="s">
        <v>1072</v>
      </c>
      <c r="D125" s="702" t="s">
        <v>453</v>
      </c>
      <c r="E125" s="703">
        <v>2</v>
      </c>
      <c r="F125" s="703">
        <v>3</v>
      </c>
      <c r="G125" s="703">
        <v>9</v>
      </c>
      <c r="H125" s="703">
        <v>1</v>
      </c>
      <c r="I125" s="703">
        <v>209.69593719136552</v>
      </c>
      <c r="J125" s="727">
        <v>3</v>
      </c>
    </row>
    <row r="126" spans="2:10" x14ac:dyDescent="0.75">
      <c r="B126" s="705" t="s">
        <v>546</v>
      </c>
      <c r="C126" s="702" t="s">
        <v>1072</v>
      </c>
      <c r="D126" s="702" t="s">
        <v>453</v>
      </c>
      <c r="E126" s="703">
        <v>0</v>
      </c>
      <c r="F126" s="703">
        <v>0</v>
      </c>
      <c r="G126" s="703">
        <v>0</v>
      </c>
      <c r="H126" s="703">
        <v>0</v>
      </c>
      <c r="I126" s="703">
        <v>199.07069542060961</v>
      </c>
      <c r="J126" s="727">
        <v>3</v>
      </c>
    </row>
    <row r="127" spans="2:10" x14ac:dyDescent="0.75">
      <c r="B127" s="705" t="s">
        <v>238</v>
      </c>
      <c r="C127" s="702" t="s">
        <v>1074</v>
      </c>
      <c r="D127" s="702" t="s">
        <v>453</v>
      </c>
      <c r="E127" s="703">
        <v>0</v>
      </c>
      <c r="F127" s="703">
        <v>0</v>
      </c>
      <c r="G127" s="703">
        <v>1</v>
      </c>
      <c r="H127" s="703">
        <v>0</v>
      </c>
      <c r="I127" s="703">
        <v>176.69142205253658</v>
      </c>
      <c r="J127" s="727">
        <v>3</v>
      </c>
    </row>
    <row r="128" spans="2:10" x14ac:dyDescent="0.75">
      <c r="B128" s="705" t="s">
        <v>547</v>
      </c>
      <c r="C128" s="702" t="s">
        <v>1073</v>
      </c>
      <c r="D128" s="702" t="s">
        <v>453</v>
      </c>
      <c r="E128" s="703">
        <v>20</v>
      </c>
      <c r="F128" s="703">
        <v>5</v>
      </c>
      <c r="G128" s="703">
        <v>86</v>
      </c>
      <c r="H128" s="703">
        <v>12</v>
      </c>
      <c r="I128" s="703">
        <v>976.14723434931284</v>
      </c>
      <c r="J128" s="727">
        <v>3</v>
      </c>
    </row>
    <row r="129" spans="2:10" x14ac:dyDescent="0.75">
      <c r="B129" s="705" t="s">
        <v>215</v>
      </c>
      <c r="C129" s="702" t="s">
        <v>1073</v>
      </c>
      <c r="D129" s="702" t="s">
        <v>453</v>
      </c>
      <c r="E129" s="703">
        <v>1</v>
      </c>
      <c r="F129" s="703">
        <v>2</v>
      </c>
      <c r="G129" s="703">
        <v>6</v>
      </c>
      <c r="H129" s="703">
        <v>1</v>
      </c>
      <c r="I129" s="703">
        <v>94.255910075506321</v>
      </c>
      <c r="J129" s="727">
        <v>3</v>
      </c>
    </row>
    <row r="130" spans="2:10" x14ac:dyDescent="0.75">
      <c r="B130" s="705" t="s">
        <v>216</v>
      </c>
      <c r="C130" s="702" t="s">
        <v>1073</v>
      </c>
      <c r="D130" s="702" t="s">
        <v>453</v>
      </c>
      <c r="E130" s="703">
        <v>18</v>
      </c>
      <c r="F130" s="703">
        <v>6</v>
      </c>
      <c r="G130" s="703">
        <v>82</v>
      </c>
      <c r="H130" s="703">
        <v>12</v>
      </c>
      <c r="I130" s="703">
        <v>839.18431278503294</v>
      </c>
      <c r="J130" s="727">
        <v>3</v>
      </c>
    </row>
    <row r="131" spans="2:10" x14ac:dyDescent="0.75">
      <c r="B131" s="283" t="s">
        <v>572</v>
      </c>
      <c r="C131" s="702" t="s">
        <v>1072</v>
      </c>
      <c r="D131" s="702" t="s">
        <v>453</v>
      </c>
      <c r="E131" s="703">
        <v>0</v>
      </c>
      <c r="F131" s="703">
        <v>0</v>
      </c>
      <c r="G131" s="703">
        <v>0</v>
      </c>
      <c r="H131" s="703">
        <v>0</v>
      </c>
      <c r="I131" s="703">
        <v>490.75257773764412</v>
      </c>
      <c r="J131" s="727">
        <v>3</v>
      </c>
    </row>
    <row r="132" spans="2:10" x14ac:dyDescent="0.75">
      <c r="B132" s="705" t="s">
        <v>182</v>
      </c>
      <c r="C132" s="702" t="s">
        <v>1073</v>
      </c>
      <c r="D132" s="702" t="s">
        <v>455</v>
      </c>
      <c r="E132" s="703">
        <v>5</v>
      </c>
      <c r="F132" s="703">
        <v>2</v>
      </c>
      <c r="G132" s="703">
        <v>21</v>
      </c>
      <c r="H132" s="703">
        <v>3</v>
      </c>
      <c r="I132" s="703">
        <v>371.14442957434846</v>
      </c>
      <c r="J132" s="727">
        <v>3</v>
      </c>
    </row>
    <row r="133" spans="2:10" x14ac:dyDescent="0.75">
      <c r="B133" s="705" t="s">
        <v>240</v>
      </c>
      <c r="C133" s="702" t="s">
        <v>1077</v>
      </c>
      <c r="D133" s="702" t="s">
        <v>455</v>
      </c>
      <c r="E133" s="703">
        <v>0</v>
      </c>
      <c r="F133" s="703">
        <v>0</v>
      </c>
      <c r="G133" s="703">
        <v>0</v>
      </c>
      <c r="H133" s="703">
        <v>0</v>
      </c>
      <c r="I133" s="703">
        <v>2743.8290826649859</v>
      </c>
      <c r="J133" s="727">
        <v>3</v>
      </c>
    </row>
    <row r="134" spans="2:10" x14ac:dyDescent="0.75">
      <c r="B134" s="705" t="s">
        <v>241</v>
      </c>
      <c r="C134" s="702" t="s">
        <v>1077</v>
      </c>
      <c r="D134" s="702" t="s">
        <v>455</v>
      </c>
      <c r="E134" s="703">
        <v>0</v>
      </c>
      <c r="F134" s="703">
        <v>0</v>
      </c>
      <c r="G134" s="703">
        <v>0</v>
      </c>
      <c r="H134" s="703">
        <v>0</v>
      </c>
      <c r="I134" s="703">
        <v>14.465382610874187</v>
      </c>
      <c r="J134" s="727">
        <v>3</v>
      </c>
    </row>
    <row r="135" spans="2:10" x14ac:dyDescent="0.75">
      <c r="B135" s="705" t="s">
        <v>219</v>
      </c>
      <c r="C135" s="702" t="s">
        <v>1075</v>
      </c>
      <c r="D135" s="702" t="s">
        <v>455</v>
      </c>
      <c r="E135" s="703">
        <v>0</v>
      </c>
      <c r="F135" s="703">
        <v>0</v>
      </c>
      <c r="G135" s="703">
        <v>1</v>
      </c>
      <c r="H135" s="703">
        <v>0</v>
      </c>
      <c r="I135" s="703">
        <v>218.24496781264276</v>
      </c>
      <c r="J135" s="727">
        <v>3</v>
      </c>
    </row>
    <row r="136" spans="2:10" x14ac:dyDescent="0.75">
      <c r="B136" s="705" t="s">
        <v>342</v>
      </c>
      <c r="C136" s="702" t="s">
        <v>1073</v>
      </c>
      <c r="D136" s="702" t="s">
        <v>455</v>
      </c>
      <c r="E136" s="703">
        <v>0</v>
      </c>
      <c r="F136" s="703">
        <v>0</v>
      </c>
      <c r="G136" s="703">
        <v>0</v>
      </c>
      <c r="H136" s="703">
        <v>0</v>
      </c>
      <c r="I136" s="703">
        <v>6.4133154891144581</v>
      </c>
      <c r="J136" s="727">
        <v>3</v>
      </c>
    </row>
    <row r="137" spans="2:10" x14ac:dyDescent="0.75">
      <c r="B137" s="705" t="s">
        <v>247</v>
      </c>
      <c r="C137" s="702" t="s">
        <v>1135</v>
      </c>
      <c r="D137" s="702" t="s">
        <v>455</v>
      </c>
      <c r="E137" s="703">
        <v>1</v>
      </c>
      <c r="F137" s="703">
        <v>1</v>
      </c>
      <c r="G137" s="703">
        <v>3</v>
      </c>
      <c r="H137" s="703">
        <v>0</v>
      </c>
      <c r="I137" s="703">
        <v>312.52262232470309</v>
      </c>
      <c r="J137" s="727">
        <v>3</v>
      </c>
    </row>
    <row r="138" spans="2:10" x14ac:dyDescent="0.75">
      <c r="B138" s="283" t="s">
        <v>464</v>
      </c>
      <c r="C138" s="702"/>
      <c r="D138" s="296" t="s">
        <v>455</v>
      </c>
      <c r="E138" s="703">
        <v>0</v>
      </c>
      <c r="F138" s="703">
        <v>0</v>
      </c>
      <c r="G138" s="703">
        <v>0</v>
      </c>
      <c r="H138" s="703">
        <v>0</v>
      </c>
      <c r="I138" s="703">
        <v>10.302386780011028</v>
      </c>
      <c r="J138" s="727">
        <v>3</v>
      </c>
    </row>
    <row r="139" spans="2:10" x14ac:dyDescent="0.75">
      <c r="B139" s="283" t="s">
        <v>568</v>
      </c>
      <c r="C139" s="702"/>
      <c r="D139" s="296" t="s">
        <v>455</v>
      </c>
      <c r="E139" s="703">
        <v>1.4092618991648265E-2</v>
      </c>
      <c r="F139" s="703">
        <v>0.25833264674654272</v>
      </c>
      <c r="G139" s="703">
        <v>9.4047218997748483E-2</v>
      </c>
      <c r="H139" s="703">
        <v>9.6382721543346473E-3</v>
      </c>
      <c r="I139" s="703">
        <v>91.236317552146204</v>
      </c>
      <c r="J139" s="727">
        <v>5</v>
      </c>
    </row>
    <row r="140" spans="2:10" x14ac:dyDescent="0.75">
      <c r="B140" s="705" t="s">
        <v>187</v>
      </c>
      <c r="C140" s="702" t="s">
        <v>1073</v>
      </c>
      <c r="D140" s="702" t="s">
        <v>455</v>
      </c>
      <c r="E140" s="703">
        <v>7</v>
      </c>
      <c r="F140" s="703">
        <v>4</v>
      </c>
      <c r="G140" s="703">
        <v>30</v>
      </c>
      <c r="H140" s="703">
        <v>4</v>
      </c>
      <c r="I140" s="703">
        <v>301.76863043957843</v>
      </c>
      <c r="J140" s="727">
        <v>3</v>
      </c>
    </row>
    <row r="141" spans="2:10" x14ac:dyDescent="0.75">
      <c r="B141" s="705" t="s">
        <v>190</v>
      </c>
      <c r="C141" s="702" t="s">
        <v>1073</v>
      </c>
      <c r="D141" s="702" t="s">
        <v>455</v>
      </c>
      <c r="E141" s="703">
        <v>0</v>
      </c>
      <c r="F141" s="703">
        <v>0</v>
      </c>
      <c r="G141" s="703">
        <v>0</v>
      </c>
      <c r="H141" s="703">
        <v>0</v>
      </c>
      <c r="I141" s="703">
        <v>16.129682418089182</v>
      </c>
      <c r="J141" s="727">
        <v>3</v>
      </c>
    </row>
    <row r="142" spans="2:10" x14ac:dyDescent="0.75">
      <c r="B142" s="283" t="s">
        <v>356</v>
      </c>
      <c r="C142" s="702" t="s">
        <v>1073</v>
      </c>
      <c r="D142" s="702" t="s">
        <v>455</v>
      </c>
      <c r="E142" s="703">
        <v>1</v>
      </c>
      <c r="F142" s="703">
        <v>3</v>
      </c>
      <c r="G142" s="703">
        <v>5</v>
      </c>
      <c r="H142" s="703">
        <v>1</v>
      </c>
      <c r="I142" s="703">
        <v>102</v>
      </c>
      <c r="J142" s="727">
        <v>3</v>
      </c>
    </row>
    <row r="143" spans="2:10" x14ac:dyDescent="0.75">
      <c r="B143" s="283" t="s">
        <v>358</v>
      </c>
      <c r="C143" s="702" t="s">
        <v>1073</v>
      </c>
      <c r="D143" s="702" t="s">
        <v>455</v>
      </c>
      <c r="E143" s="703">
        <v>5</v>
      </c>
      <c r="F143" s="703">
        <v>3</v>
      </c>
      <c r="G143" s="703">
        <v>22</v>
      </c>
      <c r="H143" s="703">
        <v>3</v>
      </c>
      <c r="I143" s="703">
        <v>299.90466907939901</v>
      </c>
      <c r="J143" s="727">
        <v>3</v>
      </c>
    </row>
    <row r="144" spans="2:10" x14ac:dyDescent="0.75">
      <c r="B144" s="705" t="s">
        <v>231</v>
      </c>
      <c r="C144" s="702" t="s">
        <v>1072</v>
      </c>
      <c r="D144" s="702" t="s">
        <v>455</v>
      </c>
      <c r="E144" s="703">
        <v>0</v>
      </c>
      <c r="F144" s="703">
        <v>0</v>
      </c>
      <c r="G144" s="703">
        <v>0</v>
      </c>
      <c r="H144" s="703">
        <v>0</v>
      </c>
      <c r="I144" s="703">
        <v>18.454966882841223</v>
      </c>
      <c r="J144" s="727">
        <v>3</v>
      </c>
    </row>
    <row r="145" spans="2:10" x14ac:dyDescent="0.75">
      <c r="B145" s="283" t="s">
        <v>378</v>
      </c>
      <c r="C145" s="702" t="s">
        <v>1072</v>
      </c>
      <c r="D145" s="702" t="s">
        <v>455</v>
      </c>
      <c r="E145" s="703">
        <v>0</v>
      </c>
      <c r="F145" s="703">
        <v>0</v>
      </c>
      <c r="G145" s="703">
        <v>0</v>
      </c>
      <c r="H145" s="703">
        <v>0</v>
      </c>
      <c r="I145" s="703">
        <v>1170.7187795183429</v>
      </c>
      <c r="J145" s="727">
        <v>3</v>
      </c>
    </row>
    <row r="146" spans="2:10" x14ac:dyDescent="0.75">
      <c r="B146" s="705" t="s">
        <v>222</v>
      </c>
      <c r="C146" s="702" t="s">
        <v>1075</v>
      </c>
      <c r="D146" s="702" t="s">
        <v>455</v>
      </c>
      <c r="E146" s="703">
        <v>0</v>
      </c>
      <c r="F146" s="703">
        <v>1</v>
      </c>
      <c r="G146" s="703">
        <v>1</v>
      </c>
      <c r="H146" s="703">
        <v>0</v>
      </c>
      <c r="I146" s="703">
        <v>75.260852489698095</v>
      </c>
      <c r="J146" s="727">
        <v>3</v>
      </c>
    </row>
    <row r="147" spans="2:10" x14ac:dyDescent="0.75">
      <c r="B147" s="705" t="s">
        <v>380</v>
      </c>
      <c r="C147" s="702" t="s">
        <v>1073</v>
      </c>
      <c r="D147" s="702" t="s">
        <v>455</v>
      </c>
      <c r="E147" s="703">
        <v>2</v>
      </c>
      <c r="F147" s="703">
        <v>27</v>
      </c>
      <c r="G147" s="703">
        <v>10</v>
      </c>
      <c r="H147" s="703">
        <v>1</v>
      </c>
      <c r="I147" s="703">
        <v>13.389447412905231</v>
      </c>
      <c r="J147" s="727">
        <v>3</v>
      </c>
    </row>
    <row r="148" spans="2:10" x14ac:dyDescent="0.75">
      <c r="B148" s="705" t="s">
        <v>196</v>
      </c>
      <c r="C148" s="702" t="s">
        <v>1073</v>
      </c>
      <c r="D148" s="702" t="s">
        <v>455</v>
      </c>
      <c r="E148" s="703">
        <v>4</v>
      </c>
      <c r="F148" s="703">
        <v>2</v>
      </c>
      <c r="G148" s="703">
        <v>17</v>
      </c>
      <c r="H148" s="703">
        <v>2</v>
      </c>
      <c r="I148" s="703">
        <v>576.60780214919816</v>
      </c>
      <c r="J148" s="727">
        <v>3</v>
      </c>
    </row>
    <row r="149" spans="2:10" x14ac:dyDescent="0.75">
      <c r="B149" s="705" t="s">
        <v>226</v>
      </c>
      <c r="C149" s="702" t="s">
        <v>1075</v>
      </c>
      <c r="D149" s="702" t="s">
        <v>455</v>
      </c>
      <c r="E149" s="703">
        <v>0</v>
      </c>
      <c r="F149" s="703">
        <v>0</v>
      </c>
      <c r="G149" s="703">
        <v>1</v>
      </c>
      <c r="H149" s="703">
        <v>0</v>
      </c>
      <c r="I149" s="703">
        <v>184.74956223555691</v>
      </c>
      <c r="J149" s="727">
        <v>3</v>
      </c>
    </row>
    <row r="150" spans="2:10" x14ac:dyDescent="0.75">
      <c r="B150" s="705" t="s">
        <v>417</v>
      </c>
      <c r="C150" s="702" t="s">
        <v>1077</v>
      </c>
      <c r="D150" s="702" t="s">
        <v>455</v>
      </c>
      <c r="E150" s="703">
        <v>5</v>
      </c>
      <c r="F150" s="703">
        <v>0</v>
      </c>
      <c r="G150" s="703">
        <v>22</v>
      </c>
      <c r="H150" s="703">
        <v>3</v>
      </c>
      <c r="I150" s="703">
        <v>15935.069097414646</v>
      </c>
      <c r="J150" s="727">
        <v>3</v>
      </c>
    </row>
    <row r="151" spans="2:10" x14ac:dyDescent="0.75">
      <c r="B151" s="705" t="s">
        <v>242</v>
      </c>
      <c r="C151" s="702" t="s">
        <v>1077</v>
      </c>
      <c r="D151" s="702" t="s">
        <v>455</v>
      </c>
      <c r="E151" s="703">
        <v>8</v>
      </c>
      <c r="F151" s="703">
        <v>0</v>
      </c>
      <c r="G151" s="703">
        <v>35</v>
      </c>
      <c r="H151" s="703">
        <v>5</v>
      </c>
      <c r="I151" s="703">
        <v>3156.0165920970485</v>
      </c>
      <c r="J151" s="727">
        <v>3</v>
      </c>
    </row>
    <row r="152" spans="2:10" x14ac:dyDescent="0.75">
      <c r="B152" s="705" t="s">
        <v>199</v>
      </c>
      <c r="C152" s="702" t="s">
        <v>1073</v>
      </c>
      <c r="D152" s="702" t="s">
        <v>455</v>
      </c>
      <c r="E152" s="703">
        <v>18</v>
      </c>
      <c r="F152" s="703">
        <v>5</v>
      </c>
      <c r="G152" s="703">
        <v>80</v>
      </c>
      <c r="H152" s="703">
        <v>11</v>
      </c>
      <c r="I152" s="703">
        <v>996.6040199850521</v>
      </c>
      <c r="J152" s="727">
        <v>3</v>
      </c>
    </row>
    <row r="153" spans="2:10" x14ac:dyDescent="0.75">
      <c r="B153" s="705" t="s">
        <v>249</v>
      </c>
      <c r="C153" s="702" t="s">
        <v>1135</v>
      </c>
      <c r="D153" s="702" t="s">
        <v>455</v>
      </c>
      <c r="E153" s="703">
        <v>0</v>
      </c>
      <c r="F153" s="703">
        <v>0</v>
      </c>
      <c r="G153" s="703">
        <v>0</v>
      </c>
      <c r="H153" s="703">
        <v>0</v>
      </c>
      <c r="I153" s="703">
        <v>1.9791709600817411</v>
      </c>
      <c r="J153" s="727">
        <v>3</v>
      </c>
    </row>
    <row r="154" spans="2:10" x14ac:dyDescent="0.75">
      <c r="B154" s="283" t="s">
        <v>433</v>
      </c>
      <c r="C154" s="702" t="s">
        <v>1074</v>
      </c>
      <c r="D154" s="702" t="s">
        <v>455</v>
      </c>
      <c r="E154" s="703">
        <v>0</v>
      </c>
      <c r="F154" s="703">
        <v>0</v>
      </c>
      <c r="G154" s="703">
        <v>0</v>
      </c>
      <c r="H154" s="703">
        <v>0</v>
      </c>
      <c r="I154" s="703">
        <v>121.62032395662888</v>
      </c>
      <c r="J154" s="727">
        <v>3</v>
      </c>
    </row>
    <row r="155" spans="2:10" x14ac:dyDescent="0.75">
      <c r="B155" s="705" t="s">
        <v>434</v>
      </c>
      <c r="C155" s="702" t="s">
        <v>1135</v>
      </c>
      <c r="D155" s="702" t="s">
        <v>455</v>
      </c>
      <c r="E155" s="703">
        <v>0</v>
      </c>
      <c r="F155" s="703">
        <v>0</v>
      </c>
      <c r="G155" s="703">
        <v>1</v>
      </c>
      <c r="H155" s="703">
        <v>0</v>
      </c>
      <c r="I155" s="703">
        <v>83.609698607337194</v>
      </c>
      <c r="J155" s="727">
        <v>3</v>
      </c>
    </row>
    <row r="156" spans="2:10" x14ac:dyDescent="0.75">
      <c r="B156" s="705" t="s">
        <v>200</v>
      </c>
      <c r="C156" s="702" t="s">
        <v>1073</v>
      </c>
      <c r="D156" s="702" t="s">
        <v>455</v>
      </c>
      <c r="E156" s="703">
        <v>4</v>
      </c>
      <c r="F156" s="703">
        <v>24</v>
      </c>
      <c r="G156" s="703">
        <v>16</v>
      </c>
      <c r="H156" s="703">
        <v>2</v>
      </c>
      <c r="I156" s="703">
        <v>24.784716348091084</v>
      </c>
      <c r="J156" s="727">
        <v>3</v>
      </c>
    </row>
    <row r="157" spans="2:10" x14ac:dyDescent="0.75">
      <c r="B157" s="705" t="s">
        <v>205</v>
      </c>
      <c r="C157" s="702" t="s">
        <v>1073</v>
      </c>
      <c r="D157" s="702" t="s">
        <v>455</v>
      </c>
      <c r="E157" s="703">
        <v>0</v>
      </c>
      <c r="F157" s="703">
        <v>0</v>
      </c>
      <c r="G157" s="703">
        <v>0</v>
      </c>
      <c r="H157" s="703">
        <v>0</v>
      </c>
      <c r="I157" s="703">
        <v>76.160890889225357</v>
      </c>
      <c r="J157" s="727">
        <v>3</v>
      </c>
    </row>
    <row r="158" spans="2:10" x14ac:dyDescent="0.75">
      <c r="B158" s="705" t="s">
        <v>1136</v>
      </c>
      <c r="C158" s="702" t="s">
        <v>1135</v>
      </c>
      <c r="D158" s="702" t="s">
        <v>455</v>
      </c>
      <c r="E158" s="703">
        <v>0</v>
      </c>
      <c r="F158" s="703">
        <v>0</v>
      </c>
      <c r="G158" s="703">
        <v>0</v>
      </c>
      <c r="H158" s="703">
        <v>0</v>
      </c>
      <c r="I158" s="703">
        <v>6.3380610506866137</v>
      </c>
      <c r="J158" s="727">
        <v>3</v>
      </c>
    </row>
    <row r="159" spans="2:10" x14ac:dyDescent="0.75">
      <c r="B159" s="705" t="s">
        <v>474</v>
      </c>
      <c r="C159" s="702" t="s">
        <v>1074</v>
      </c>
      <c r="D159" s="702" t="s">
        <v>455</v>
      </c>
      <c r="E159" s="703">
        <v>0</v>
      </c>
      <c r="F159" s="703">
        <v>1</v>
      </c>
      <c r="G159" s="703">
        <v>1</v>
      </c>
      <c r="H159" s="703">
        <v>0</v>
      </c>
      <c r="I159" s="703">
        <v>47.152194360590954</v>
      </c>
      <c r="J159" s="727">
        <v>3</v>
      </c>
    </row>
    <row r="160" spans="2:10" x14ac:dyDescent="0.75">
      <c r="B160" s="705" t="s">
        <v>250</v>
      </c>
      <c r="C160" s="702" t="s">
        <v>1135</v>
      </c>
      <c r="D160" s="702" t="s">
        <v>455</v>
      </c>
      <c r="E160" s="703">
        <v>0</v>
      </c>
      <c r="F160" s="703">
        <v>0</v>
      </c>
      <c r="G160" s="703">
        <v>0</v>
      </c>
      <c r="H160" s="703">
        <v>0</v>
      </c>
      <c r="I160" s="703">
        <v>61.136976799165843</v>
      </c>
      <c r="J160" s="727">
        <v>3</v>
      </c>
    </row>
    <row r="161" spans="2:10" x14ac:dyDescent="0.75">
      <c r="B161" s="705" t="s">
        <v>477</v>
      </c>
      <c r="C161" s="702" t="s">
        <v>1072</v>
      </c>
      <c r="D161" s="702" t="s">
        <v>455</v>
      </c>
      <c r="E161" s="703">
        <v>0</v>
      </c>
      <c r="F161" s="703">
        <v>0</v>
      </c>
      <c r="G161" s="703">
        <v>0</v>
      </c>
      <c r="H161" s="703">
        <v>0</v>
      </c>
      <c r="I161" s="703">
        <v>691.3670526622833</v>
      </c>
      <c r="J161" s="727">
        <v>3</v>
      </c>
    </row>
    <row r="162" spans="2:10" x14ac:dyDescent="0.75">
      <c r="B162" s="705" t="s">
        <v>244</v>
      </c>
      <c r="C162" s="702" t="s">
        <v>1077</v>
      </c>
      <c r="D162" s="702" t="s">
        <v>455</v>
      </c>
      <c r="E162" s="703">
        <v>3</v>
      </c>
      <c r="F162" s="703">
        <v>1</v>
      </c>
      <c r="G162" s="703">
        <v>14</v>
      </c>
      <c r="H162" s="703">
        <v>2</v>
      </c>
      <c r="I162" s="703">
        <v>630.27396283990743</v>
      </c>
      <c r="J162" s="727">
        <v>3</v>
      </c>
    </row>
    <row r="163" spans="2:10" x14ac:dyDescent="0.75">
      <c r="B163" s="705" t="s">
        <v>227</v>
      </c>
      <c r="C163" s="702" t="s">
        <v>1075</v>
      </c>
      <c r="D163" s="702" t="s">
        <v>455</v>
      </c>
      <c r="E163" s="703">
        <v>0</v>
      </c>
      <c r="F163" s="703">
        <v>0</v>
      </c>
      <c r="G163" s="703">
        <v>0</v>
      </c>
      <c r="H163" s="703">
        <v>0</v>
      </c>
      <c r="I163" s="703">
        <v>124.07803661885013</v>
      </c>
      <c r="J163" s="727">
        <v>3</v>
      </c>
    </row>
    <row r="164" spans="2:10" x14ac:dyDescent="0.75">
      <c r="B164" s="705" t="s">
        <v>177</v>
      </c>
      <c r="C164" s="702" t="s">
        <v>1073</v>
      </c>
      <c r="D164" s="702" t="s">
        <v>455</v>
      </c>
      <c r="E164" s="703">
        <v>22</v>
      </c>
      <c r="F164" s="703">
        <v>2</v>
      </c>
      <c r="G164" s="703">
        <v>98</v>
      </c>
      <c r="H164" s="703">
        <v>14</v>
      </c>
      <c r="I164" s="703">
        <v>3809.5115519907422</v>
      </c>
      <c r="J164" s="727">
        <v>3</v>
      </c>
    </row>
    <row r="165" spans="2:10" x14ac:dyDescent="0.75">
      <c r="B165" s="705" t="s">
        <v>176</v>
      </c>
      <c r="C165" s="702" t="s">
        <v>1072</v>
      </c>
      <c r="D165" s="702" t="s">
        <v>455</v>
      </c>
      <c r="E165" s="703">
        <v>2</v>
      </c>
      <c r="F165" s="703">
        <v>0</v>
      </c>
      <c r="G165" s="703">
        <v>7</v>
      </c>
      <c r="H165" s="703">
        <v>1</v>
      </c>
      <c r="I165" s="703">
        <v>4105.2611744428023</v>
      </c>
      <c r="J165" s="727">
        <v>3</v>
      </c>
    </row>
    <row r="166" spans="2:10" x14ac:dyDescent="0.75">
      <c r="B166" s="705" t="s">
        <v>252</v>
      </c>
      <c r="C166" s="702" t="s">
        <v>1135</v>
      </c>
      <c r="D166" s="702" t="s">
        <v>455</v>
      </c>
      <c r="E166" s="703">
        <v>1</v>
      </c>
      <c r="F166" s="703">
        <v>1</v>
      </c>
      <c r="G166" s="703">
        <v>2</v>
      </c>
      <c r="H166" s="703">
        <v>0</v>
      </c>
      <c r="I166" s="703">
        <v>102.34649107716477</v>
      </c>
      <c r="J166" s="727">
        <v>3</v>
      </c>
    </row>
    <row r="167" spans="2:10" x14ac:dyDescent="0.75">
      <c r="B167" s="705" t="s">
        <v>253</v>
      </c>
      <c r="C167" s="702" t="s">
        <v>1135</v>
      </c>
      <c r="D167" s="702" t="s">
        <v>455</v>
      </c>
      <c r="E167" s="703">
        <v>1</v>
      </c>
      <c r="F167" s="703">
        <v>0</v>
      </c>
      <c r="G167" s="703">
        <v>4</v>
      </c>
      <c r="H167" s="703">
        <v>1</v>
      </c>
      <c r="I167" s="703">
        <v>1819.4449235131513</v>
      </c>
      <c r="J167" s="727">
        <v>3</v>
      </c>
    </row>
    <row r="168" spans="2:10" x14ac:dyDescent="0.75">
      <c r="B168" s="705" t="s">
        <v>1128</v>
      </c>
      <c r="C168" s="702" t="s">
        <v>1073</v>
      </c>
      <c r="D168" s="702" t="s">
        <v>455</v>
      </c>
      <c r="E168" s="703">
        <v>0</v>
      </c>
      <c r="F168" s="703">
        <v>0</v>
      </c>
      <c r="G168" s="703">
        <v>0</v>
      </c>
      <c r="H168" s="703">
        <v>0</v>
      </c>
      <c r="I168" s="703">
        <v>4.0764985699052438</v>
      </c>
      <c r="J168" s="727">
        <v>3</v>
      </c>
    </row>
    <row r="169" spans="2:10" x14ac:dyDescent="0.75">
      <c r="B169" s="705" t="s">
        <v>212</v>
      </c>
      <c r="C169" s="702" t="s">
        <v>1073</v>
      </c>
      <c r="D169" s="702" t="s">
        <v>455</v>
      </c>
      <c r="E169" s="703">
        <v>0</v>
      </c>
      <c r="F169" s="703">
        <v>0</v>
      </c>
      <c r="G169" s="703">
        <v>2</v>
      </c>
      <c r="H169" s="703">
        <v>0</v>
      </c>
      <c r="I169" s="703">
        <v>274.24398361828787</v>
      </c>
      <c r="J169" s="727">
        <v>3</v>
      </c>
    </row>
    <row r="170" spans="2:10" x14ac:dyDescent="0.75">
      <c r="B170" s="705" t="s">
        <v>255</v>
      </c>
      <c r="C170" s="702" t="s">
        <v>1135</v>
      </c>
      <c r="D170" s="702" t="s">
        <v>455</v>
      </c>
      <c r="E170" s="703">
        <v>0</v>
      </c>
      <c r="F170" s="703">
        <v>0</v>
      </c>
      <c r="G170" s="703">
        <v>0</v>
      </c>
      <c r="H170" s="703">
        <v>0</v>
      </c>
      <c r="I170" s="703">
        <v>12.69727850801914</v>
      </c>
      <c r="J170" s="727">
        <v>3</v>
      </c>
    </row>
    <row r="171" spans="2:10" x14ac:dyDescent="0.75">
      <c r="B171" s="705" t="s">
        <v>233</v>
      </c>
      <c r="C171" s="702" t="s">
        <v>1072</v>
      </c>
      <c r="D171" s="702" t="s">
        <v>455</v>
      </c>
      <c r="E171" s="703">
        <v>1</v>
      </c>
      <c r="F171" s="703">
        <v>0</v>
      </c>
      <c r="G171" s="703">
        <v>3</v>
      </c>
      <c r="H171" s="703">
        <v>0</v>
      </c>
      <c r="I171" s="703">
        <v>499.28500042046392</v>
      </c>
      <c r="J171" s="727">
        <v>3</v>
      </c>
    </row>
    <row r="172" spans="2:10" x14ac:dyDescent="0.75">
      <c r="B172" s="705" t="s">
        <v>246</v>
      </c>
      <c r="C172" s="702" t="s">
        <v>1077</v>
      </c>
      <c r="D172" s="702" t="s">
        <v>455</v>
      </c>
      <c r="E172" s="703">
        <v>0</v>
      </c>
      <c r="F172" s="703">
        <v>0</v>
      </c>
      <c r="G172" s="703">
        <v>0</v>
      </c>
      <c r="H172" s="703">
        <v>0</v>
      </c>
      <c r="I172" s="703">
        <v>15.080275750784979</v>
      </c>
      <c r="J172" s="727">
        <v>3</v>
      </c>
    </row>
    <row r="173" spans="2:10" x14ac:dyDescent="0.75">
      <c r="B173" s="705" t="s">
        <v>550</v>
      </c>
      <c r="C173" s="702" t="s">
        <v>1072</v>
      </c>
      <c r="D173" s="702" t="s">
        <v>455</v>
      </c>
      <c r="E173" s="703">
        <v>0</v>
      </c>
      <c r="F173" s="703">
        <v>0</v>
      </c>
      <c r="G173" s="703">
        <v>0</v>
      </c>
      <c r="H173" s="703">
        <v>0</v>
      </c>
      <c r="I173" s="703">
        <v>196.80508289791592</v>
      </c>
      <c r="J173" s="727">
        <v>3</v>
      </c>
    </row>
    <row r="174" spans="2:10" x14ac:dyDescent="0.75">
      <c r="B174" s="705" t="s">
        <v>239</v>
      </c>
      <c r="C174" s="702" t="s">
        <v>1074</v>
      </c>
      <c r="D174" s="702" t="s">
        <v>455</v>
      </c>
      <c r="E174" s="703">
        <v>3</v>
      </c>
      <c r="F174" s="703">
        <v>1</v>
      </c>
      <c r="G174" s="703">
        <v>14</v>
      </c>
      <c r="H174" s="703">
        <v>2</v>
      </c>
      <c r="I174" s="703">
        <v>513.05081332095347</v>
      </c>
      <c r="J174" s="727">
        <v>3</v>
      </c>
    </row>
    <row r="175" spans="2:10" x14ac:dyDescent="0.75">
      <c r="B175" s="705" t="s">
        <v>562</v>
      </c>
      <c r="C175" s="702" t="s">
        <v>1074</v>
      </c>
      <c r="D175" s="702" t="s">
        <v>455</v>
      </c>
      <c r="E175" s="703">
        <v>0</v>
      </c>
      <c r="F175" s="703">
        <v>0</v>
      </c>
      <c r="G175" s="703">
        <v>2</v>
      </c>
      <c r="H175" s="703">
        <v>0</v>
      </c>
      <c r="I175" s="703">
        <v>384.63047275875488</v>
      </c>
      <c r="J175" s="727">
        <v>3</v>
      </c>
    </row>
    <row r="176" spans="2:10" x14ac:dyDescent="0.75">
      <c r="B176" s="705" t="s">
        <v>258</v>
      </c>
      <c r="C176" s="702" t="s">
        <v>1135</v>
      </c>
      <c r="D176" s="702" t="s">
        <v>455</v>
      </c>
      <c r="E176" s="703">
        <v>0</v>
      </c>
      <c r="F176" s="703">
        <v>0</v>
      </c>
      <c r="G176" s="703">
        <v>0</v>
      </c>
      <c r="H176" s="703">
        <v>0</v>
      </c>
      <c r="I176" s="703">
        <v>5.6846310783654079</v>
      </c>
      <c r="J176" s="727">
        <v>3</v>
      </c>
    </row>
    <row r="177" spans="2:10" x14ac:dyDescent="0.75">
      <c r="B177" s="705" t="s">
        <v>565</v>
      </c>
      <c r="C177" s="702" t="s">
        <v>1135</v>
      </c>
      <c r="D177" s="702" t="s">
        <v>455</v>
      </c>
      <c r="E177" s="703">
        <v>2</v>
      </c>
      <c r="F177" s="703">
        <v>0</v>
      </c>
      <c r="G177" s="703">
        <v>9</v>
      </c>
      <c r="H177" s="703">
        <v>1</v>
      </c>
      <c r="I177" s="703">
        <v>1623.3164657325062</v>
      </c>
      <c r="J177" s="727">
        <v>3</v>
      </c>
    </row>
    <row r="178" spans="2:10" x14ac:dyDescent="0.75">
      <c r="B178" s="705" t="s">
        <v>217</v>
      </c>
      <c r="C178" s="702" t="s">
        <v>1073</v>
      </c>
      <c r="D178" s="702" t="s">
        <v>455</v>
      </c>
      <c r="E178" s="703">
        <v>15</v>
      </c>
      <c r="F178" s="703">
        <v>11</v>
      </c>
      <c r="G178" s="703">
        <v>65</v>
      </c>
      <c r="H178" s="703">
        <v>9</v>
      </c>
      <c r="I178" s="703">
        <v>300.57512932651366</v>
      </c>
      <c r="J178" s="727">
        <v>3</v>
      </c>
    </row>
    <row r="179" spans="2:10" x14ac:dyDescent="0.75">
      <c r="B179" s="705" t="s">
        <v>218</v>
      </c>
      <c r="C179" s="702" t="s">
        <v>1073</v>
      </c>
      <c r="D179" s="702" t="s">
        <v>455</v>
      </c>
      <c r="E179" s="703">
        <v>14</v>
      </c>
      <c r="F179" s="703">
        <v>13</v>
      </c>
      <c r="G179" s="703">
        <v>60</v>
      </c>
      <c r="H179" s="703">
        <v>9</v>
      </c>
      <c r="I179" s="703">
        <v>170.79449033397995</v>
      </c>
      <c r="J179" s="727">
        <v>3</v>
      </c>
    </row>
    <row r="180" spans="2:10" x14ac:dyDescent="0.75">
      <c r="B180" s="705" t="s">
        <v>312</v>
      </c>
      <c r="C180" s="702" t="s">
        <v>1074</v>
      </c>
      <c r="D180" s="702" t="s">
        <v>558</v>
      </c>
      <c r="E180" s="703">
        <v>0</v>
      </c>
      <c r="F180" s="703">
        <v>0</v>
      </c>
      <c r="G180" s="703">
        <v>0</v>
      </c>
      <c r="H180" s="703">
        <v>0</v>
      </c>
      <c r="I180" s="703">
        <v>54.611239000229837</v>
      </c>
      <c r="J180" s="727">
        <v>3</v>
      </c>
    </row>
    <row r="181" spans="2:10" x14ac:dyDescent="0.75">
      <c r="B181" s="705" t="s">
        <v>314</v>
      </c>
      <c r="C181" s="702" t="s">
        <v>1073</v>
      </c>
      <c r="D181" s="702" t="s">
        <v>558</v>
      </c>
      <c r="E181" s="703">
        <v>0</v>
      </c>
      <c r="F181" s="703">
        <v>0</v>
      </c>
      <c r="G181" s="703">
        <v>0</v>
      </c>
      <c r="H181" s="703">
        <v>0</v>
      </c>
      <c r="I181" s="703">
        <v>724.52005152396987</v>
      </c>
      <c r="J181" s="727">
        <v>3</v>
      </c>
    </row>
    <row r="182" spans="2:10" x14ac:dyDescent="0.75">
      <c r="B182" s="705" t="s">
        <v>321</v>
      </c>
      <c r="C182" s="702" t="s">
        <v>1075</v>
      </c>
      <c r="D182" s="702" t="s">
        <v>558</v>
      </c>
      <c r="E182" s="703">
        <v>1</v>
      </c>
      <c r="F182" s="703">
        <v>0</v>
      </c>
      <c r="G182" s="703">
        <v>6</v>
      </c>
      <c r="H182" s="703">
        <v>1</v>
      </c>
      <c r="I182" s="703">
        <v>753.59339103512025</v>
      </c>
      <c r="J182" s="727">
        <v>3</v>
      </c>
    </row>
    <row r="183" spans="2:10" x14ac:dyDescent="0.75">
      <c r="B183" s="705" t="s">
        <v>234</v>
      </c>
      <c r="C183" s="702" t="s">
        <v>1074</v>
      </c>
      <c r="D183" s="702" t="s">
        <v>558</v>
      </c>
      <c r="E183" s="703">
        <v>0</v>
      </c>
      <c r="F183" s="703">
        <v>0</v>
      </c>
      <c r="G183" s="703">
        <v>0</v>
      </c>
      <c r="H183" s="703">
        <v>0</v>
      </c>
      <c r="I183" s="703">
        <v>34.492818791618532</v>
      </c>
      <c r="J183" s="727">
        <v>3</v>
      </c>
    </row>
    <row r="184" spans="2:10" x14ac:dyDescent="0.75">
      <c r="B184" s="705" t="s">
        <v>235</v>
      </c>
      <c r="C184" s="702" t="s">
        <v>1074</v>
      </c>
      <c r="D184" s="702" t="s">
        <v>558</v>
      </c>
      <c r="E184" s="703">
        <v>0</v>
      </c>
      <c r="F184" s="703">
        <v>0</v>
      </c>
      <c r="G184" s="703">
        <v>0</v>
      </c>
      <c r="H184" s="703">
        <v>0</v>
      </c>
      <c r="I184" s="703">
        <v>117.17580208055054</v>
      </c>
      <c r="J184" s="727">
        <v>3</v>
      </c>
    </row>
    <row r="185" spans="2:10" x14ac:dyDescent="0.75">
      <c r="B185" s="705" t="s">
        <v>331</v>
      </c>
      <c r="C185" s="702" t="s">
        <v>1074</v>
      </c>
      <c r="D185" s="702" t="s">
        <v>558</v>
      </c>
      <c r="E185" s="703">
        <v>0</v>
      </c>
      <c r="F185" s="703">
        <v>1</v>
      </c>
      <c r="G185" s="703">
        <v>2</v>
      </c>
      <c r="H185" s="703">
        <v>0</v>
      </c>
      <c r="I185" s="703">
        <v>179.1820048112954</v>
      </c>
      <c r="J185" s="727">
        <v>3</v>
      </c>
    </row>
    <row r="186" spans="2:10" x14ac:dyDescent="0.75">
      <c r="B186" s="705" t="s">
        <v>333</v>
      </c>
      <c r="C186" s="702" t="s">
        <v>1075</v>
      </c>
      <c r="D186" s="702" t="s">
        <v>558</v>
      </c>
      <c r="E186" s="703">
        <v>0</v>
      </c>
      <c r="F186" s="703">
        <v>0</v>
      </c>
      <c r="G186" s="703">
        <v>0</v>
      </c>
      <c r="H186" s="703">
        <v>0</v>
      </c>
      <c r="I186" s="703">
        <v>4.5522462877340599</v>
      </c>
      <c r="J186" s="727">
        <v>3</v>
      </c>
    </row>
    <row r="187" spans="2:10" x14ac:dyDescent="0.75">
      <c r="B187" s="705" t="s">
        <v>336</v>
      </c>
      <c r="C187" s="702" t="s">
        <v>1074</v>
      </c>
      <c r="D187" s="702" t="s">
        <v>558</v>
      </c>
      <c r="E187" s="703">
        <v>0</v>
      </c>
      <c r="F187" s="703">
        <v>0</v>
      </c>
      <c r="G187" s="703">
        <v>0</v>
      </c>
      <c r="H187" s="703">
        <v>0</v>
      </c>
      <c r="I187" s="703">
        <v>55.550977662131032</v>
      </c>
      <c r="J187" s="727">
        <v>3</v>
      </c>
    </row>
    <row r="188" spans="2:10" x14ac:dyDescent="0.75">
      <c r="B188" s="705" t="s">
        <v>184</v>
      </c>
      <c r="C188" s="702" t="s">
        <v>1073</v>
      </c>
      <c r="D188" s="702" t="s">
        <v>558</v>
      </c>
      <c r="E188" s="703">
        <v>3</v>
      </c>
      <c r="F188" s="703">
        <v>20</v>
      </c>
      <c r="G188" s="703">
        <v>15</v>
      </c>
      <c r="H188" s="703">
        <v>2</v>
      </c>
      <c r="I188" s="703">
        <v>26.865624603989275</v>
      </c>
      <c r="J188" s="727">
        <v>3</v>
      </c>
    </row>
    <row r="189" spans="2:10" x14ac:dyDescent="0.75">
      <c r="B189" s="705" t="s">
        <v>337</v>
      </c>
      <c r="C189" s="702" t="s">
        <v>1075</v>
      </c>
      <c r="D189" s="702" t="s">
        <v>558</v>
      </c>
      <c r="E189" s="703">
        <v>8</v>
      </c>
      <c r="F189" s="703">
        <v>1</v>
      </c>
      <c r="G189" s="703">
        <v>34</v>
      </c>
      <c r="H189" s="703">
        <v>5</v>
      </c>
      <c r="I189" s="703">
        <v>4000.7024589054054</v>
      </c>
      <c r="J189" s="727">
        <v>3</v>
      </c>
    </row>
    <row r="190" spans="2:10" x14ac:dyDescent="0.75">
      <c r="B190" s="705" t="s">
        <v>341</v>
      </c>
      <c r="C190" s="702" t="s">
        <v>1074</v>
      </c>
      <c r="D190" s="702" t="s">
        <v>558</v>
      </c>
      <c r="E190" s="703">
        <v>0</v>
      </c>
      <c r="F190" s="703">
        <v>0</v>
      </c>
      <c r="G190" s="703">
        <v>0</v>
      </c>
      <c r="H190" s="703">
        <v>0</v>
      </c>
      <c r="I190" s="703">
        <v>132.6958025169701</v>
      </c>
      <c r="J190" s="727">
        <v>3</v>
      </c>
    </row>
    <row r="191" spans="2:10" x14ac:dyDescent="0.75">
      <c r="B191" s="283" t="s">
        <v>315</v>
      </c>
      <c r="C191" s="702"/>
      <c r="D191" s="296" t="s">
        <v>558</v>
      </c>
      <c r="E191" s="703">
        <v>0</v>
      </c>
      <c r="F191" s="703">
        <v>0</v>
      </c>
      <c r="G191" s="703">
        <v>0</v>
      </c>
      <c r="H191" s="703">
        <v>0</v>
      </c>
      <c r="I191" s="703">
        <v>0.76045573087787222</v>
      </c>
      <c r="J191" s="727">
        <v>0</v>
      </c>
    </row>
    <row r="192" spans="2:10" x14ac:dyDescent="0.75">
      <c r="B192" s="283" t="s">
        <v>237</v>
      </c>
      <c r="C192" s="702"/>
      <c r="D192" s="296" t="s">
        <v>558</v>
      </c>
      <c r="E192" s="703">
        <v>1</v>
      </c>
      <c r="F192" s="703">
        <v>1</v>
      </c>
      <c r="G192" s="703">
        <v>15</v>
      </c>
      <c r="H192" s="703">
        <v>2</v>
      </c>
      <c r="I192" s="703">
        <v>25.855494849847656</v>
      </c>
      <c r="J192" s="727">
        <v>2</v>
      </c>
    </row>
    <row r="193" spans="2:10" x14ac:dyDescent="0.75">
      <c r="B193" s="705" t="s">
        <v>352</v>
      </c>
      <c r="C193" s="702" t="s">
        <v>1135</v>
      </c>
      <c r="D193" s="702" t="s">
        <v>558</v>
      </c>
      <c r="E193" s="703">
        <v>6</v>
      </c>
      <c r="F193" s="703">
        <v>0</v>
      </c>
      <c r="G193" s="703">
        <v>25</v>
      </c>
      <c r="H193" s="703">
        <v>4</v>
      </c>
      <c r="I193" s="703">
        <v>16720.685970628063</v>
      </c>
      <c r="J193" s="727">
        <v>3</v>
      </c>
    </row>
    <row r="194" spans="2:10" x14ac:dyDescent="0.75">
      <c r="B194" s="705" t="s">
        <v>353</v>
      </c>
      <c r="C194" s="702" t="s">
        <v>1075</v>
      </c>
      <c r="D194" s="702" t="s">
        <v>558</v>
      </c>
      <c r="E194" s="703">
        <v>1</v>
      </c>
      <c r="F194" s="703">
        <v>0</v>
      </c>
      <c r="G194" s="703">
        <v>7</v>
      </c>
      <c r="H194" s="703">
        <v>1</v>
      </c>
      <c r="I194" s="703">
        <v>587.0550927840593</v>
      </c>
      <c r="J194" s="727">
        <v>3</v>
      </c>
    </row>
    <row r="195" spans="2:10" x14ac:dyDescent="0.75">
      <c r="B195" s="705" t="s">
        <v>357</v>
      </c>
      <c r="C195" s="702" t="s">
        <v>1075</v>
      </c>
      <c r="D195" s="702" t="s">
        <v>558</v>
      </c>
      <c r="E195" s="703">
        <v>0</v>
      </c>
      <c r="F195" s="703">
        <v>0</v>
      </c>
      <c r="G195" s="703">
        <v>1</v>
      </c>
      <c r="H195" s="703">
        <v>0</v>
      </c>
      <c r="I195" s="703">
        <v>58.864306289368336</v>
      </c>
      <c r="J195" s="727">
        <v>3</v>
      </c>
    </row>
    <row r="196" spans="2:10" x14ac:dyDescent="0.75">
      <c r="B196" s="705" t="s">
        <v>221</v>
      </c>
      <c r="C196" s="702" t="s">
        <v>1075</v>
      </c>
      <c r="D196" s="702" t="s">
        <v>558</v>
      </c>
      <c r="E196" s="703">
        <v>0</v>
      </c>
      <c r="F196" s="703">
        <v>0</v>
      </c>
      <c r="G196" s="703">
        <v>1</v>
      </c>
      <c r="H196" s="703">
        <v>0</v>
      </c>
      <c r="I196" s="703">
        <v>132.17030433146928</v>
      </c>
      <c r="J196" s="727">
        <v>3</v>
      </c>
    </row>
    <row r="197" spans="2:10" x14ac:dyDescent="0.75">
      <c r="B197" s="705" t="s">
        <v>365</v>
      </c>
      <c r="C197" s="702" t="s">
        <v>1075</v>
      </c>
      <c r="D197" s="702" t="s">
        <v>558</v>
      </c>
      <c r="E197" s="703">
        <v>0</v>
      </c>
      <c r="F197" s="703">
        <v>0</v>
      </c>
      <c r="G197" s="703">
        <v>0</v>
      </c>
      <c r="H197" s="703">
        <v>0</v>
      </c>
      <c r="I197" s="703">
        <v>1.208423817270506</v>
      </c>
      <c r="J197" s="727">
        <v>3</v>
      </c>
    </row>
    <row r="198" spans="2:10" x14ac:dyDescent="0.75">
      <c r="B198" s="705" t="s">
        <v>367</v>
      </c>
      <c r="C198" s="702" t="s">
        <v>1075</v>
      </c>
      <c r="D198" s="702" t="s">
        <v>558</v>
      </c>
      <c r="E198" s="703">
        <v>1</v>
      </c>
      <c r="F198" s="703">
        <v>1</v>
      </c>
      <c r="G198" s="703">
        <v>3</v>
      </c>
      <c r="H198" s="703">
        <v>0</v>
      </c>
      <c r="I198" s="703">
        <v>180.72096996774482</v>
      </c>
      <c r="J198" s="727">
        <v>3</v>
      </c>
    </row>
    <row r="199" spans="2:10" x14ac:dyDescent="0.75">
      <c r="B199" s="705" t="s">
        <v>377</v>
      </c>
      <c r="C199" s="702" t="s">
        <v>1075</v>
      </c>
      <c r="D199" s="702" t="s">
        <v>558</v>
      </c>
      <c r="E199" s="703">
        <v>1</v>
      </c>
      <c r="F199" s="703">
        <v>0</v>
      </c>
      <c r="G199" s="703">
        <v>2</v>
      </c>
      <c r="H199" s="703">
        <v>0</v>
      </c>
      <c r="I199" s="703">
        <v>329.33897508707003</v>
      </c>
      <c r="J199" s="727">
        <v>3</v>
      </c>
    </row>
    <row r="200" spans="2:10" x14ac:dyDescent="0.75">
      <c r="B200" s="705" t="s">
        <v>191</v>
      </c>
      <c r="C200" s="702" t="s">
        <v>1073</v>
      </c>
      <c r="D200" s="702" t="s">
        <v>558</v>
      </c>
      <c r="E200" s="703">
        <v>1</v>
      </c>
      <c r="F200" s="703">
        <v>7</v>
      </c>
      <c r="G200" s="703">
        <v>3</v>
      </c>
      <c r="H200" s="703">
        <v>0</v>
      </c>
      <c r="I200" s="703">
        <v>15.813368034753864</v>
      </c>
      <c r="J200" s="727">
        <v>3</v>
      </c>
    </row>
    <row r="201" spans="2:10" x14ac:dyDescent="0.75">
      <c r="B201" s="705" t="s">
        <v>248</v>
      </c>
      <c r="C201" s="702" t="s">
        <v>1135</v>
      </c>
      <c r="D201" s="702" t="s">
        <v>558</v>
      </c>
      <c r="E201" s="703">
        <v>0</v>
      </c>
      <c r="F201" s="703">
        <v>0</v>
      </c>
      <c r="G201" s="703">
        <v>0</v>
      </c>
      <c r="H201" s="703">
        <v>0</v>
      </c>
      <c r="I201" s="703">
        <v>14.976643525776698</v>
      </c>
      <c r="J201" s="727">
        <v>3</v>
      </c>
    </row>
    <row r="202" spans="2:10" x14ac:dyDescent="0.75">
      <c r="B202" s="705" t="s">
        <v>195</v>
      </c>
      <c r="C202" s="702" t="s">
        <v>1073</v>
      </c>
      <c r="D202" s="702" t="s">
        <v>558</v>
      </c>
      <c r="E202" s="703">
        <v>1</v>
      </c>
      <c r="F202" s="703">
        <v>4</v>
      </c>
      <c r="G202" s="703">
        <v>3</v>
      </c>
      <c r="H202" s="703">
        <v>0</v>
      </c>
      <c r="I202" s="703">
        <v>25.336453948658232</v>
      </c>
      <c r="J202" s="727">
        <v>3</v>
      </c>
    </row>
    <row r="203" spans="2:10" x14ac:dyDescent="0.75">
      <c r="B203" s="705" t="s">
        <v>236</v>
      </c>
      <c r="C203" s="702" t="s">
        <v>1074</v>
      </c>
      <c r="D203" s="702" t="s">
        <v>558</v>
      </c>
      <c r="E203" s="703">
        <v>0</v>
      </c>
      <c r="F203" s="703">
        <v>0</v>
      </c>
      <c r="G203" s="703">
        <v>1</v>
      </c>
      <c r="H203" s="703">
        <v>0</v>
      </c>
      <c r="I203" s="703">
        <v>67.259670130928328</v>
      </c>
      <c r="J203" s="727">
        <v>3</v>
      </c>
    </row>
    <row r="204" spans="2:10" x14ac:dyDescent="0.75">
      <c r="B204" s="705" t="s">
        <v>406</v>
      </c>
      <c r="C204" s="702" t="s">
        <v>1075</v>
      </c>
      <c r="D204" s="702" t="s">
        <v>558</v>
      </c>
      <c r="E204" s="703">
        <v>0</v>
      </c>
      <c r="F204" s="703">
        <v>0</v>
      </c>
      <c r="G204" s="703">
        <v>0</v>
      </c>
      <c r="H204" s="703">
        <v>0</v>
      </c>
      <c r="I204" s="703">
        <v>1.884830163518427</v>
      </c>
      <c r="J204" s="727">
        <v>3</v>
      </c>
    </row>
    <row r="205" spans="2:10" x14ac:dyDescent="0.75">
      <c r="B205" s="705" t="s">
        <v>223</v>
      </c>
      <c r="C205" s="702" t="s">
        <v>1075</v>
      </c>
      <c r="D205" s="702" t="s">
        <v>558</v>
      </c>
      <c r="E205" s="703">
        <v>1</v>
      </c>
      <c r="F205" s="703">
        <v>0</v>
      </c>
      <c r="G205" s="703">
        <v>2</v>
      </c>
      <c r="H205" s="703">
        <v>0</v>
      </c>
      <c r="I205" s="703">
        <v>333.27843909649641</v>
      </c>
      <c r="J205" s="727">
        <v>3</v>
      </c>
    </row>
    <row r="206" spans="2:10" x14ac:dyDescent="0.75">
      <c r="B206" s="705" t="s">
        <v>224</v>
      </c>
      <c r="C206" s="702" t="s">
        <v>1075</v>
      </c>
      <c r="D206" s="702" t="s">
        <v>558</v>
      </c>
      <c r="E206" s="703">
        <v>0</v>
      </c>
      <c r="F206" s="703">
        <v>0</v>
      </c>
      <c r="G206" s="703">
        <v>0</v>
      </c>
      <c r="H206" s="703">
        <v>0</v>
      </c>
      <c r="I206" s="703">
        <v>14.838460102198473</v>
      </c>
      <c r="J206" s="727">
        <v>3</v>
      </c>
    </row>
    <row r="207" spans="2:10" x14ac:dyDescent="0.75">
      <c r="B207" s="283" t="s">
        <v>418</v>
      </c>
      <c r="C207" s="702" t="s">
        <v>1072</v>
      </c>
      <c r="D207" s="702" t="s">
        <v>558</v>
      </c>
      <c r="E207" s="703">
        <v>1</v>
      </c>
      <c r="F207" s="703">
        <v>0</v>
      </c>
      <c r="G207" s="703">
        <v>3</v>
      </c>
      <c r="H207" s="703">
        <v>0</v>
      </c>
      <c r="I207" s="703">
        <v>966.93606936021445</v>
      </c>
      <c r="J207" s="727">
        <v>3</v>
      </c>
    </row>
    <row r="208" spans="2:10" x14ac:dyDescent="0.75">
      <c r="B208" s="821" t="s">
        <v>419</v>
      </c>
      <c r="C208" s="702" t="s">
        <v>1072</v>
      </c>
      <c r="D208" s="702" t="s">
        <v>558</v>
      </c>
      <c r="E208" s="703">
        <v>0</v>
      </c>
      <c r="F208" s="703">
        <v>0</v>
      </c>
      <c r="G208" s="703">
        <v>0</v>
      </c>
      <c r="H208" s="703">
        <v>0</v>
      </c>
      <c r="I208" s="703">
        <v>458.42803283931431</v>
      </c>
      <c r="J208" s="727">
        <v>3</v>
      </c>
    </row>
    <row r="209" spans="2:10" x14ac:dyDescent="0.75">
      <c r="B209" s="705" t="s">
        <v>425</v>
      </c>
      <c r="C209" s="702" t="s">
        <v>1075</v>
      </c>
      <c r="D209" s="702" t="s">
        <v>558</v>
      </c>
      <c r="E209" s="703">
        <v>0</v>
      </c>
      <c r="F209" s="703">
        <v>0</v>
      </c>
      <c r="G209" s="703">
        <v>0</v>
      </c>
      <c r="H209" s="703">
        <v>0</v>
      </c>
      <c r="I209" s="703">
        <v>55.8882062338851</v>
      </c>
      <c r="J209" s="727">
        <v>3</v>
      </c>
    </row>
    <row r="210" spans="2:10" x14ac:dyDescent="0.75">
      <c r="B210" s="705" t="s">
        <v>427</v>
      </c>
      <c r="C210" s="702" t="s">
        <v>1072</v>
      </c>
      <c r="D210" s="702" t="s">
        <v>558</v>
      </c>
      <c r="E210" s="703">
        <v>0</v>
      </c>
      <c r="F210" s="703">
        <v>0</v>
      </c>
      <c r="G210" s="703">
        <v>0</v>
      </c>
      <c r="H210" s="703">
        <v>0</v>
      </c>
      <c r="I210" s="703">
        <v>169.99681441691757</v>
      </c>
      <c r="J210" s="727">
        <v>3</v>
      </c>
    </row>
    <row r="211" spans="2:10" x14ac:dyDescent="0.75">
      <c r="B211" s="705" t="s">
        <v>428</v>
      </c>
      <c r="C211" s="702" t="s">
        <v>1074</v>
      </c>
      <c r="D211" s="702" t="s">
        <v>558</v>
      </c>
      <c r="E211" s="703">
        <v>0</v>
      </c>
      <c r="F211" s="703">
        <v>0</v>
      </c>
      <c r="G211" s="703">
        <v>1</v>
      </c>
      <c r="H211" s="703">
        <v>0</v>
      </c>
      <c r="I211" s="703">
        <v>216.34546663173836</v>
      </c>
      <c r="J211" s="727">
        <v>3</v>
      </c>
    </row>
    <row r="212" spans="2:10" x14ac:dyDescent="0.75">
      <c r="B212" s="705" t="s">
        <v>446</v>
      </c>
      <c r="C212" s="702" t="s">
        <v>1072</v>
      </c>
      <c r="D212" s="702" t="s">
        <v>558</v>
      </c>
      <c r="E212" s="703">
        <v>0</v>
      </c>
      <c r="F212" s="703">
        <v>0</v>
      </c>
      <c r="G212" s="703">
        <v>0</v>
      </c>
      <c r="H212" s="703">
        <v>0</v>
      </c>
      <c r="I212" s="703">
        <v>115.37157475317183</v>
      </c>
      <c r="J212" s="727">
        <v>3</v>
      </c>
    </row>
    <row r="213" spans="2:10" x14ac:dyDescent="0.75">
      <c r="B213" s="705" t="s">
        <v>447</v>
      </c>
      <c r="C213" s="702" t="s">
        <v>1072</v>
      </c>
      <c r="D213" s="702" t="s">
        <v>558</v>
      </c>
      <c r="E213" s="703">
        <v>0</v>
      </c>
      <c r="F213" s="703">
        <v>0</v>
      </c>
      <c r="G213" s="703">
        <v>0</v>
      </c>
      <c r="H213" s="703">
        <v>0</v>
      </c>
      <c r="I213" s="703">
        <v>79.038186810183831</v>
      </c>
      <c r="J213" s="727">
        <v>3</v>
      </c>
    </row>
    <row r="214" spans="2:10" x14ac:dyDescent="0.75">
      <c r="B214" s="705" t="s">
        <v>460</v>
      </c>
      <c r="C214" s="702" t="s">
        <v>1135</v>
      </c>
      <c r="D214" s="702" t="s">
        <v>558</v>
      </c>
      <c r="E214" s="703">
        <v>1</v>
      </c>
      <c r="F214" s="703">
        <v>0</v>
      </c>
      <c r="G214" s="703">
        <v>4</v>
      </c>
      <c r="H214" s="703">
        <v>1</v>
      </c>
      <c r="I214" s="703">
        <v>605.6474329790293</v>
      </c>
      <c r="J214" s="727">
        <v>3</v>
      </c>
    </row>
    <row r="215" spans="2:10" x14ac:dyDescent="0.75">
      <c r="B215" s="705" t="s">
        <v>243</v>
      </c>
      <c r="C215" s="702" t="s">
        <v>1077</v>
      </c>
      <c r="D215" s="702" t="s">
        <v>558</v>
      </c>
      <c r="E215" s="703">
        <v>0</v>
      </c>
      <c r="F215" s="703">
        <v>0</v>
      </c>
      <c r="G215" s="703">
        <v>0</v>
      </c>
      <c r="H215" s="703">
        <v>0</v>
      </c>
      <c r="I215" s="703">
        <v>8.935231238114083</v>
      </c>
      <c r="J215" s="727">
        <v>3</v>
      </c>
    </row>
    <row r="216" spans="2:10" x14ac:dyDescent="0.75">
      <c r="B216" s="705" t="s">
        <v>462</v>
      </c>
      <c r="C216" s="702" t="s">
        <v>1135</v>
      </c>
      <c r="D216" s="702" t="s">
        <v>558</v>
      </c>
      <c r="E216" s="703">
        <v>0</v>
      </c>
      <c r="F216" s="703">
        <v>0</v>
      </c>
      <c r="G216" s="703">
        <v>0</v>
      </c>
      <c r="H216" s="703">
        <v>0</v>
      </c>
      <c r="I216" s="703">
        <v>0.98936670901780188</v>
      </c>
      <c r="J216" s="727">
        <v>3</v>
      </c>
    </row>
    <row r="217" spans="2:10" x14ac:dyDescent="0.75">
      <c r="B217" s="705" t="s">
        <v>206</v>
      </c>
      <c r="C217" s="702" t="s">
        <v>1073</v>
      </c>
      <c r="D217" s="702" t="s">
        <v>558</v>
      </c>
      <c r="E217" s="703">
        <v>0</v>
      </c>
      <c r="F217" s="703">
        <v>1</v>
      </c>
      <c r="G217" s="703">
        <v>1</v>
      </c>
      <c r="H217" s="703">
        <v>0</v>
      </c>
      <c r="I217" s="703">
        <v>21.366692681509626</v>
      </c>
      <c r="J217" s="727">
        <v>3</v>
      </c>
    </row>
    <row r="218" spans="2:10" x14ac:dyDescent="0.75">
      <c r="B218" s="705" t="s">
        <v>463</v>
      </c>
      <c r="C218" s="702" t="s">
        <v>1075</v>
      </c>
      <c r="D218" s="702" t="s">
        <v>558</v>
      </c>
      <c r="E218" s="703">
        <v>2</v>
      </c>
      <c r="F218" s="703">
        <v>0</v>
      </c>
      <c r="G218" s="703">
        <v>8</v>
      </c>
      <c r="H218" s="703">
        <v>1</v>
      </c>
      <c r="I218" s="703">
        <v>1487.7769707159939</v>
      </c>
      <c r="J218" s="727">
        <v>3</v>
      </c>
    </row>
    <row r="219" spans="2:10" x14ac:dyDescent="0.75">
      <c r="B219" s="705" t="s">
        <v>476</v>
      </c>
      <c r="C219" s="702" t="s">
        <v>1074</v>
      </c>
      <c r="D219" s="702" t="s">
        <v>558</v>
      </c>
      <c r="E219" s="703">
        <v>0</v>
      </c>
      <c r="F219" s="703">
        <v>0</v>
      </c>
      <c r="G219" s="703">
        <v>0</v>
      </c>
      <c r="H219" s="703">
        <v>0</v>
      </c>
      <c r="I219" s="703">
        <v>11.904282689993183</v>
      </c>
      <c r="J219" s="727">
        <v>3</v>
      </c>
    </row>
    <row r="220" spans="2:10" x14ac:dyDescent="0.75">
      <c r="B220" s="705" t="s">
        <v>208</v>
      </c>
      <c r="C220" s="702" t="s">
        <v>1073</v>
      </c>
      <c r="D220" s="702" t="s">
        <v>558</v>
      </c>
      <c r="E220" s="703">
        <v>2</v>
      </c>
      <c r="F220" s="703">
        <v>12</v>
      </c>
      <c r="G220" s="703">
        <v>10</v>
      </c>
      <c r="H220" s="703">
        <v>1</v>
      </c>
      <c r="I220" s="703">
        <v>29.090965870879078</v>
      </c>
      <c r="J220" s="727">
        <v>3</v>
      </c>
    </row>
    <row r="221" spans="2:10" x14ac:dyDescent="0.75">
      <c r="B221" s="705" t="s">
        <v>251</v>
      </c>
      <c r="C221" s="702" t="s">
        <v>1135</v>
      </c>
      <c r="D221" s="702" t="s">
        <v>558</v>
      </c>
      <c r="E221" s="703">
        <v>0</v>
      </c>
      <c r="F221" s="703">
        <v>0</v>
      </c>
      <c r="G221" s="703">
        <v>0</v>
      </c>
      <c r="H221" s="703">
        <v>0</v>
      </c>
      <c r="I221" s="703">
        <v>0.12552902142218009</v>
      </c>
      <c r="J221" s="727">
        <v>3</v>
      </c>
    </row>
    <row r="222" spans="2:10" x14ac:dyDescent="0.75">
      <c r="B222" s="1047" t="s">
        <v>484</v>
      </c>
      <c r="C222" s="702" t="s">
        <v>1074</v>
      </c>
      <c r="D222" s="702" t="s">
        <v>558</v>
      </c>
      <c r="E222" s="703">
        <v>0</v>
      </c>
      <c r="F222" s="703">
        <v>0</v>
      </c>
      <c r="G222" s="703">
        <v>0</v>
      </c>
      <c r="H222" s="703">
        <v>0</v>
      </c>
      <c r="I222" s="703">
        <v>24</v>
      </c>
      <c r="J222" s="727">
        <v>3</v>
      </c>
    </row>
    <row r="223" spans="2:10" x14ac:dyDescent="0.75">
      <c r="B223" s="705" t="s">
        <v>228</v>
      </c>
      <c r="C223" s="702" t="s">
        <v>1075</v>
      </c>
      <c r="D223" s="702" t="s">
        <v>558</v>
      </c>
      <c r="E223" s="703">
        <v>0</v>
      </c>
      <c r="F223" s="703">
        <v>1</v>
      </c>
      <c r="G223" s="703">
        <v>1</v>
      </c>
      <c r="H223" s="703">
        <v>0</v>
      </c>
      <c r="I223" s="703">
        <v>82.15409141049102</v>
      </c>
      <c r="J223" s="727">
        <v>3</v>
      </c>
    </row>
    <row r="224" spans="2:10" x14ac:dyDescent="0.75">
      <c r="B224" s="705" t="s">
        <v>501</v>
      </c>
      <c r="C224" s="702" t="s">
        <v>1075</v>
      </c>
      <c r="D224" s="702" t="s">
        <v>558</v>
      </c>
      <c r="E224" s="703">
        <v>1</v>
      </c>
      <c r="F224" s="703">
        <v>0</v>
      </c>
      <c r="G224" s="703">
        <v>3</v>
      </c>
      <c r="H224" s="703">
        <v>0</v>
      </c>
      <c r="I224" s="703">
        <v>547.10361785967746</v>
      </c>
      <c r="J224" s="727">
        <v>3</v>
      </c>
    </row>
    <row r="225" spans="2:10" x14ac:dyDescent="0.75">
      <c r="B225" s="705" t="s">
        <v>511</v>
      </c>
      <c r="C225" s="702" t="s">
        <v>1074</v>
      </c>
      <c r="D225" s="702" t="s">
        <v>558</v>
      </c>
      <c r="E225" s="703">
        <v>0</v>
      </c>
      <c r="F225" s="703">
        <v>0</v>
      </c>
      <c r="G225" s="703">
        <v>1</v>
      </c>
      <c r="H225" s="703">
        <v>0</v>
      </c>
      <c r="I225" s="703">
        <v>225.82813229404019</v>
      </c>
      <c r="J225" s="727">
        <v>3</v>
      </c>
    </row>
    <row r="226" spans="2:10" x14ac:dyDescent="0.75">
      <c r="B226" s="705" t="s">
        <v>512</v>
      </c>
      <c r="C226" s="702" t="s">
        <v>1074</v>
      </c>
      <c r="D226" s="702" t="s">
        <v>558</v>
      </c>
      <c r="E226" s="703">
        <v>0</v>
      </c>
      <c r="F226" s="703">
        <v>0</v>
      </c>
      <c r="G226" s="703">
        <v>0</v>
      </c>
      <c r="H226" s="703">
        <v>0</v>
      </c>
      <c r="I226" s="703">
        <v>2454.8171967340095</v>
      </c>
      <c r="J226" s="727">
        <v>3</v>
      </c>
    </row>
    <row r="227" spans="2:10" x14ac:dyDescent="0.75">
      <c r="B227" s="283" t="s">
        <v>533</v>
      </c>
      <c r="C227" s="702" t="s">
        <v>1075</v>
      </c>
      <c r="D227" s="702" t="s">
        <v>558</v>
      </c>
      <c r="E227" s="703">
        <v>0</v>
      </c>
      <c r="F227" s="703">
        <v>0</v>
      </c>
      <c r="G227" s="703">
        <v>0</v>
      </c>
      <c r="H227" s="703">
        <v>0</v>
      </c>
      <c r="I227" s="703">
        <v>2.1317426115633045</v>
      </c>
      <c r="J227" s="727">
        <v>3</v>
      </c>
    </row>
    <row r="228" spans="2:10" x14ac:dyDescent="0.75">
      <c r="B228" s="705" t="s">
        <v>254</v>
      </c>
      <c r="C228" s="702" t="s">
        <v>1135</v>
      </c>
      <c r="D228" s="702" t="s">
        <v>558</v>
      </c>
      <c r="E228" s="703">
        <v>0</v>
      </c>
      <c r="F228" s="703">
        <v>0</v>
      </c>
      <c r="G228" s="703">
        <v>0</v>
      </c>
      <c r="H228" s="703">
        <v>0</v>
      </c>
      <c r="I228" s="703">
        <v>3.7361395253075322</v>
      </c>
      <c r="J228" s="727">
        <v>3</v>
      </c>
    </row>
    <row r="229" spans="2:10" x14ac:dyDescent="0.75">
      <c r="B229" s="705" t="s">
        <v>515</v>
      </c>
      <c r="C229" s="702" t="s">
        <v>1074</v>
      </c>
      <c r="D229" s="702" t="s">
        <v>558</v>
      </c>
      <c r="E229" s="703">
        <v>0</v>
      </c>
      <c r="F229" s="703">
        <v>0</v>
      </c>
      <c r="G229" s="703">
        <v>0</v>
      </c>
      <c r="H229" s="703">
        <v>0</v>
      </c>
      <c r="I229" s="703">
        <v>166.28833979801132</v>
      </c>
      <c r="J229" s="727">
        <v>3</v>
      </c>
    </row>
    <row r="230" spans="2:10" x14ac:dyDescent="0.75">
      <c r="B230" s="705" t="s">
        <v>178</v>
      </c>
      <c r="C230" s="702" t="s">
        <v>1073</v>
      </c>
      <c r="D230" s="702" t="s">
        <v>558</v>
      </c>
      <c r="E230" s="703">
        <v>87</v>
      </c>
      <c r="F230" s="703">
        <v>20</v>
      </c>
      <c r="G230" s="703">
        <v>387</v>
      </c>
      <c r="H230" s="703">
        <v>55</v>
      </c>
      <c r="I230" s="703">
        <v>1110.043765492492</v>
      </c>
      <c r="J230" s="727">
        <v>3</v>
      </c>
    </row>
    <row r="231" spans="2:10" x14ac:dyDescent="0.75">
      <c r="B231" s="705" t="s">
        <v>245</v>
      </c>
      <c r="C231" s="702" t="s">
        <v>1077</v>
      </c>
      <c r="D231" s="702" t="s">
        <v>558</v>
      </c>
      <c r="E231" s="703">
        <v>0</v>
      </c>
      <c r="F231" s="703">
        <v>0</v>
      </c>
      <c r="G231" s="703">
        <v>0</v>
      </c>
      <c r="H231" s="703">
        <v>0</v>
      </c>
      <c r="I231" s="703">
        <v>404.21752890535987</v>
      </c>
      <c r="J231" s="727">
        <v>3</v>
      </c>
    </row>
    <row r="232" spans="2:10" x14ac:dyDescent="0.75">
      <c r="B232" s="705" t="s">
        <v>536</v>
      </c>
      <c r="C232" s="702" t="s">
        <v>1075</v>
      </c>
      <c r="D232" s="702" t="s">
        <v>558</v>
      </c>
      <c r="E232" s="703">
        <v>0</v>
      </c>
      <c r="F232" s="703">
        <v>0</v>
      </c>
      <c r="G232" s="703">
        <v>0</v>
      </c>
      <c r="H232" s="703">
        <v>0</v>
      </c>
      <c r="I232" s="703">
        <v>1.2897278954053477</v>
      </c>
      <c r="J232" s="727">
        <v>3</v>
      </c>
    </row>
    <row r="233" spans="2:10" x14ac:dyDescent="0.75">
      <c r="B233" s="705" t="s">
        <v>229</v>
      </c>
      <c r="C233" s="702" t="s">
        <v>1075</v>
      </c>
      <c r="D233" s="702" t="s">
        <v>558</v>
      </c>
      <c r="E233" s="703">
        <v>0</v>
      </c>
      <c r="F233" s="703">
        <v>0</v>
      </c>
      <c r="G233" s="703">
        <v>0</v>
      </c>
      <c r="H233" s="703">
        <v>0</v>
      </c>
      <c r="I233" s="703">
        <v>6.7798149833763359</v>
      </c>
      <c r="J233" s="727">
        <v>3</v>
      </c>
    </row>
    <row r="234" spans="2:10" x14ac:dyDescent="0.75">
      <c r="B234" s="705" t="s">
        <v>548</v>
      </c>
      <c r="C234" s="702" t="s">
        <v>1077</v>
      </c>
      <c r="D234" s="702" t="s">
        <v>558</v>
      </c>
      <c r="E234" s="703">
        <v>6</v>
      </c>
      <c r="F234" s="703">
        <v>1</v>
      </c>
      <c r="G234" s="703">
        <v>25</v>
      </c>
      <c r="H234" s="703">
        <v>4</v>
      </c>
      <c r="I234" s="703">
        <v>1319.8382750610176</v>
      </c>
      <c r="J234" s="727">
        <v>3</v>
      </c>
    </row>
    <row r="235" spans="2:10" x14ac:dyDescent="0.75">
      <c r="B235" s="705" t="s">
        <v>256</v>
      </c>
      <c r="C235" s="702" t="s">
        <v>1135</v>
      </c>
      <c r="D235" s="702" t="s">
        <v>558</v>
      </c>
      <c r="E235" s="703">
        <v>0</v>
      </c>
      <c r="F235" s="703">
        <v>0</v>
      </c>
      <c r="G235" s="703">
        <v>0</v>
      </c>
      <c r="H235" s="703">
        <v>0</v>
      </c>
      <c r="I235" s="703">
        <v>1.980868787709666</v>
      </c>
      <c r="J235" s="727">
        <v>3</v>
      </c>
    </row>
    <row r="236" spans="2:10" x14ac:dyDescent="0.75">
      <c r="B236" s="705" t="s">
        <v>551</v>
      </c>
      <c r="C236" s="702" t="s">
        <v>1074</v>
      </c>
      <c r="D236" s="702" t="s">
        <v>558</v>
      </c>
      <c r="E236" s="703">
        <v>0</v>
      </c>
      <c r="F236" s="703">
        <v>0</v>
      </c>
      <c r="G236" s="703">
        <v>0</v>
      </c>
      <c r="H236" s="703">
        <v>0</v>
      </c>
      <c r="I236" s="703">
        <v>1581.510516829994</v>
      </c>
      <c r="J236" s="727">
        <v>3</v>
      </c>
    </row>
    <row r="237" spans="2:10" x14ac:dyDescent="0.75">
      <c r="B237" s="705" t="s">
        <v>552</v>
      </c>
      <c r="C237" s="702" t="s">
        <v>1074</v>
      </c>
      <c r="D237" s="702" t="s">
        <v>558</v>
      </c>
      <c r="E237" s="703">
        <v>0</v>
      </c>
      <c r="F237" s="703">
        <v>0</v>
      </c>
      <c r="G237" s="703">
        <v>0</v>
      </c>
      <c r="H237" s="703">
        <v>0</v>
      </c>
      <c r="I237" s="703">
        <v>69.296288091658099</v>
      </c>
      <c r="J237" s="727">
        <v>3</v>
      </c>
    </row>
    <row r="238" spans="2:10" x14ac:dyDescent="0.75">
      <c r="B238" s="705" t="s">
        <v>257</v>
      </c>
      <c r="C238" s="702" t="s">
        <v>1135</v>
      </c>
      <c r="D238" s="702" t="s">
        <v>558</v>
      </c>
      <c r="E238" s="703">
        <v>0</v>
      </c>
      <c r="F238" s="703">
        <v>0</v>
      </c>
      <c r="G238" s="703">
        <v>0</v>
      </c>
      <c r="H238" s="703">
        <v>0</v>
      </c>
      <c r="I238" s="703">
        <v>0.13591980162351439</v>
      </c>
      <c r="J238" s="727">
        <v>3</v>
      </c>
    </row>
    <row r="239" spans="2:10" ht="15.5" thickBot="1" x14ac:dyDescent="0.9">
      <c r="B239" s="285" t="s">
        <v>563</v>
      </c>
      <c r="C239" s="710" t="s">
        <v>1075</v>
      </c>
      <c r="D239" s="710" t="s">
        <v>558</v>
      </c>
      <c r="E239" s="711">
        <v>0</v>
      </c>
      <c r="F239" s="711">
        <v>0</v>
      </c>
      <c r="G239" s="711">
        <v>0</v>
      </c>
      <c r="H239" s="711">
        <v>0</v>
      </c>
      <c r="I239" s="711">
        <v>540.55250984971951</v>
      </c>
      <c r="J239" s="812">
        <v>3</v>
      </c>
    </row>
  </sheetData>
  <autoFilter ref="B19:J239" xr:uid="{00000000-0009-0000-0000-000008000000}"/>
  <mergeCells count="2">
    <mergeCell ref="D4:E4"/>
    <mergeCell ref="G14:H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t H s 8 U B q V 7 F m n A A A A + Q A A A B I A H A B D b 2 5 m a W c v U G F j a 2 F n Z S 5 4 b W w g o h g A K K A U A A A A A A A A A A A A A A A A A A A A A A A A A A A A h Y / R C o I w G I V f R X b v N i d G y O + 8 6 D Y h k K L b M Z e O d I a b z X f r o k f q F R L K 6 q 7 L c / g O f O d x u 0 M + d W 1 w V Y P V v c l Q h C k K l J F 9 p U 2 d o d G d w j X K O e y E P I t a B T N s b D p Z n a H G u U t K i P c e + x j 3 Q 0 0 Y p R E 5 F t t S N q o T o T b W C S M V + q y q / y v E 4 f C S 4 Q w n K 5 x Q F u M o o g z I 0 k O h z Z d h s z K m Q H 5 K 2 I y t G w f F l Q n 3 J Z A l A n n f 4 E 9 Q S w M E F A A C A A g A t H s 8 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R 7 P F A o i k e 4 D g A A A B E A A A A T A B w A R m 9 y b X V s Y X M v U 2 V j d G l v b j E u b S C i G A A o o B Q A A A A A A A A A A A A A A A A A A A A A A A A A A A A r T k 0 u y c z P U w i G 0 I b W A F B L A Q I t A B Q A A g A I A L R 7 P F A a l e x Z p w A A A P k A A A A S A A A A A A A A A A A A A A A A A A A A A A B D b 2 5 m a W c v U G F j a 2 F n Z S 5 4 b W x Q S w E C L Q A U A A I A C A C 0 e z x Q D 8 r p q 6 Q A A A D p A A A A E w A A A A A A A A A A A A A A A A D z A A A A W 0 N v b n R l b n R f V H l w Z X N d L n h t b F B L A Q I t A B Q A A g A I A L R 7 P 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c g g D j f F D p R Z + s F S V 1 p f K H A A A A A A I A A A A A A A N m A A D A A A A A E A A A A I Q b / T A 9 Y P X O J e v F J w G B P M M A A A A A B I A A A K A A A A A Q A A A A B 2 O z D W b r X 2 Z n r K n 7 4 f A W 1 V A A A A A s p w U s 4 1 P x n b m u W H j Q G h Z b Z x Z I m H j b W e T W p S 6 e 3 7 g z u U u 6 Y 3 W q c E p X Y g 4 T i Z Q Z x d H b 6 l I s I h K k P n N U t 1 Z 0 b 9 L R Y B Q / Z i F c 5 h m x n Q D E O / 7 y e B Q A A A D p 9 i r c J 7 2 o E O g s w 7 A e v x 6 Z D a 2 q 1 Q = = < / D a t a M a s h u p > 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0286B3B45C49A4F8171599D907ECCD8" ma:contentTypeVersion="13" ma:contentTypeDescription="Create a new document." ma:contentTypeScope="" ma:versionID="6437627d9a52e0b755cf587b1c47a126">
  <xsd:schema xmlns:xsd="http://www.w3.org/2001/XMLSchema" xmlns:xs="http://www.w3.org/2001/XMLSchema" xmlns:p="http://schemas.microsoft.com/office/2006/metadata/properties" xmlns:ns3="b7a63352-765f-4f80-a2ca-5551bcebce40" xmlns:ns4="2f7087ff-3fee-40f1-9c46-baa7a18a8d5c" targetNamespace="http://schemas.microsoft.com/office/2006/metadata/properties" ma:root="true" ma:fieldsID="bddc1bfca8529ced144a020243fc85ff" ns3:_="" ns4:_="">
    <xsd:import namespace="b7a63352-765f-4f80-a2ca-5551bcebce40"/>
    <xsd:import namespace="2f7087ff-3fee-40f1-9c46-baa7a18a8d5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a63352-765f-4f80-a2ca-5551bcebce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7087ff-3fee-40f1-9c46-baa7a18a8d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5B1FE2-4DF2-424F-A0C7-F9C8EF7245E3}">
  <ds:schemaRefs>
    <ds:schemaRef ds:uri="http://schemas.microsoft.com/DataMashup"/>
  </ds:schemaRefs>
</ds:datastoreItem>
</file>

<file path=customXml/itemProps2.xml><?xml version="1.0" encoding="utf-8"?>
<ds:datastoreItem xmlns:ds="http://schemas.openxmlformats.org/officeDocument/2006/customXml" ds:itemID="{7A253DB3-17EC-4F53-AA94-487C04F0E967}">
  <ds:schemaRefs>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dcmitype/"/>
    <ds:schemaRef ds:uri="2f7087ff-3fee-40f1-9c46-baa7a18a8d5c"/>
    <ds:schemaRef ds:uri="http://schemas.openxmlformats.org/package/2006/metadata/core-properties"/>
    <ds:schemaRef ds:uri="b7a63352-765f-4f80-a2ca-5551bcebce40"/>
    <ds:schemaRef ds:uri="http://www.w3.org/XML/1998/namespace"/>
  </ds:schemaRefs>
</ds:datastoreItem>
</file>

<file path=customXml/itemProps3.xml><?xml version="1.0" encoding="utf-8"?>
<ds:datastoreItem xmlns:ds="http://schemas.openxmlformats.org/officeDocument/2006/customXml" ds:itemID="{AA13482A-2B3D-4BFC-97F0-84259D10CABF}">
  <ds:schemaRefs>
    <ds:schemaRef ds:uri="http://schemas.microsoft.com/sharepoint/v3/contenttype/forms"/>
  </ds:schemaRefs>
</ds:datastoreItem>
</file>

<file path=customXml/itemProps4.xml><?xml version="1.0" encoding="utf-8"?>
<ds:datastoreItem xmlns:ds="http://schemas.openxmlformats.org/officeDocument/2006/customXml" ds:itemID="{D5DF53CD-CB05-4C47-A250-BC38289E25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a63352-765f-4f80-a2ca-5551bcebce40"/>
    <ds:schemaRef ds:uri="2f7087ff-3fee-40f1-9c46-baa7a18a8d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89</vt:i4>
      </vt:variant>
    </vt:vector>
  </HeadingPairs>
  <TitlesOfParts>
    <vt:vector size="110" baseType="lpstr">
      <vt:lpstr>DISCLAIMER</vt:lpstr>
      <vt:lpstr>Tool Overview</vt:lpstr>
      <vt:lpstr>lists</vt:lpstr>
      <vt:lpstr>Staffing from HRH tool</vt:lpstr>
      <vt:lpstr>Inputs</vt:lpstr>
      <vt:lpstr>User Dashboard</vt:lpstr>
      <vt:lpstr>Equipment List &amp; Usage</vt:lpstr>
      <vt:lpstr>SUMMARY TABS -&gt;</vt:lpstr>
      <vt:lpstr>Diagnostics Module</vt:lpstr>
      <vt:lpstr>HCW &amp; Staff</vt:lpstr>
      <vt:lpstr>Patients</vt:lpstr>
      <vt:lpstr>Patient Calcs -&gt; </vt:lpstr>
      <vt:lpstr>Patient Calcs</vt:lpstr>
      <vt:lpstr>SIR Model Patient Calcs</vt:lpstr>
      <vt:lpstr>REFERENCE DATA -&gt;</vt:lpstr>
      <vt:lpstr>HCW + Staff Summary</vt:lpstr>
      <vt:lpstr>WHO GHO Data</vt:lpstr>
      <vt:lpstr>WB HCW &amp; Beds</vt:lpstr>
      <vt:lpstr>WB Population Data</vt:lpstr>
      <vt:lpstr>Back Calculations</vt:lpstr>
      <vt:lpstr>Daily Contacts by Country</vt:lpstr>
      <vt:lpstr>Ambulanciers_per_bed</vt:lpstr>
      <vt:lpstr>Attack_rate_modelled</vt:lpstr>
      <vt:lpstr>AttackRate</vt:lpstr>
      <vt:lpstr>BedStay_Critical</vt:lpstr>
      <vt:lpstr>BedStay_Severe</vt:lpstr>
      <vt:lpstr>BiomedEngineers_per_bed</vt:lpstr>
      <vt:lpstr>Caretaker_to_outpatient</vt:lpstr>
      <vt:lpstr>Caretakers_per_bed</vt:lpstr>
      <vt:lpstr>CritcalCasePercentage</vt:lpstr>
      <vt:lpstr>CriticalCasePercentage</vt:lpstr>
      <vt:lpstr>Current_known_cases</vt:lpstr>
      <vt:lpstr>Doubling_rate_modelled</vt:lpstr>
      <vt:lpstr>Fast_doubling_rate</vt:lpstr>
      <vt:lpstr>HCW_per_lab</vt:lpstr>
      <vt:lpstr>HCWs_per_bed</vt:lpstr>
      <vt:lpstr>Hygienists_per_bed</vt:lpstr>
      <vt:lpstr>Hygienists_per_lab</vt:lpstr>
      <vt:lpstr>LinkToSIR</vt:lpstr>
      <vt:lpstr>LU_StaffCategory</vt:lpstr>
      <vt:lpstr>Max_caretakers_per_week_for_outpatients</vt:lpstr>
      <vt:lpstr>Max_critical_beds_for_period</vt:lpstr>
      <vt:lpstr>Max_critical_capped_beds</vt:lpstr>
      <vt:lpstr>Max_HCW_for_outpatient</vt:lpstr>
      <vt:lpstr>Max_hospitals_operating</vt:lpstr>
      <vt:lpstr>Max_inpatient_ambulancier</vt:lpstr>
      <vt:lpstr>Max_inpatient_caretaker</vt:lpstr>
      <vt:lpstr>Max_inpatient_HCWs</vt:lpstr>
      <vt:lpstr>Max_inpatient_hygienist</vt:lpstr>
      <vt:lpstr>Max_Lab_HCWs</vt:lpstr>
      <vt:lpstr>Max_Lab_hygienists</vt:lpstr>
      <vt:lpstr>Max_outpatients_diagnosed_per_week</vt:lpstr>
      <vt:lpstr>Max_severe_beds_for_period</vt:lpstr>
      <vt:lpstr>Max_severe_capped_beds</vt:lpstr>
      <vt:lpstr>Max_total_capped_beds</vt:lpstr>
      <vt:lpstr>MaxTestsPerDay</vt:lpstr>
      <vt:lpstr>Medium_doubling_rate</vt:lpstr>
      <vt:lpstr>Mild_testing_percentage</vt:lpstr>
      <vt:lpstr>Mild_testing_strategy</vt:lpstr>
      <vt:lpstr>MildCasePercentage</vt:lpstr>
      <vt:lpstr>ModerateCasePercentage</vt:lpstr>
      <vt:lpstr>NumberOfBeds_per_centre</vt:lpstr>
      <vt:lpstr>DISCLAIMER!OLE_LINK1</vt:lpstr>
      <vt:lpstr>Output_beds_in_country</vt:lpstr>
      <vt:lpstr>SelfQuarantine_Mild</vt:lpstr>
      <vt:lpstr>SelfQuarantine_Moderate</vt:lpstr>
      <vt:lpstr>SevereCasePercentage</vt:lpstr>
      <vt:lpstr>Slow_doubling_rate</vt:lpstr>
      <vt:lpstr>Start_week_for_forecasting</vt:lpstr>
      <vt:lpstr>SuspectedCaseMultiplier</vt:lpstr>
      <vt:lpstr>Tests_for_diagnosis</vt:lpstr>
      <vt:lpstr>Tests_for_release</vt:lpstr>
      <vt:lpstr>Tests_per_HCW</vt:lpstr>
      <vt:lpstr>Tests_SevereOrCritical</vt:lpstr>
      <vt:lpstr>Toggle_biomedical</vt:lpstr>
      <vt:lpstr>Toggle_consultation</vt:lpstr>
      <vt:lpstr>Toggle_Consumables</vt:lpstr>
      <vt:lpstr>Toggle_Diagnostics</vt:lpstr>
      <vt:lpstr>Toggle_Drugs</vt:lpstr>
      <vt:lpstr>Toggle_Hygiene</vt:lpstr>
      <vt:lpstr>Toggle_inpatient</vt:lpstr>
      <vt:lpstr>Toggle_labs</vt:lpstr>
      <vt:lpstr>Toggle_outpatient</vt:lpstr>
      <vt:lpstr>Toggle_PPE</vt:lpstr>
      <vt:lpstr>Total_admitted_capped_critical_patients</vt:lpstr>
      <vt:lpstr>Total_admitted_capped_moderate_patients</vt:lpstr>
      <vt:lpstr>Total_admitted_capped_severe_patients</vt:lpstr>
      <vt:lpstr>Total_caretaker</vt:lpstr>
      <vt:lpstr>Total_caretaker_for_outpatient</vt:lpstr>
      <vt:lpstr>Total_crit_patients_in_bed_over_forecast</vt:lpstr>
      <vt:lpstr>Total_critical_cases_for_period</vt:lpstr>
      <vt:lpstr>Total_HCW_for_outpatient_over_time</vt:lpstr>
      <vt:lpstr>Total_HCW_labs_over_time</vt:lpstr>
      <vt:lpstr>Total_hospitals_operating_per_week_over_time</vt:lpstr>
      <vt:lpstr>Total_hygienist_labs_over_time</vt:lpstr>
      <vt:lpstr>Total_inpatient_ambulancier_over_time</vt:lpstr>
      <vt:lpstr>Total_Inpatient_caretaker_over_time</vt:lpstr>
      <vt:lpstr>Total_inpatient_HCWs_over_time</vt:lpstr>
      <vt:lpstr>Total_inpatient_Hygienist_over_time</vt:lpstr>
      <vt:lpstr>Total_Inpatients_in_beds_over_time</vt:lpstr>
      <vt:lpstr>Total_labs</vt:lpstr>
      <vt:lpstr>Total_mild_cases_for_period</vt:lpstr>
      <vt:lpstr>Total_Mild_Outpatient</vt:lpstr>
      <vt:lpstr>Total_moderate_outpatient</vt:lpstr>
      <vt:lpstr>Total_new_cases_for_period</vt:lpstr>
      <vt:lpstr>Total_Outpatient</vt:lpstr>
      <vt:lpstr>Total_severe_cases_for_period</vt:lpstr>
      <vt:lpstr>Total_severe_patients_in_bed_over_forecast</vt:lpstr>
      <vt:lpstr>Total_tests_conducted</vt:lpstr>
      <vt:lpstr>WeekSuppliedUntil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GRANT, Rebecca</dc:creator>
  <cp:lastModifiedBy>Zampino</cp:lastModifiedBy>
  <cp:lastPrinted>2020-04-20T19:23:00Z</cp:lastPrinted>
  <dcterms:created xsi:type="dcterms:W3CDTF">2020-01-28T10:36:37Z</dcterms:created>
  <dcterms:modified xsi:type="dcterms:W3CDTF">2020-07-02T20:03:23Z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0x01010010286B3B45C49A4F8171599D907ECCD8</vt:lpwstr>
  </property>
</Properties>
</file>